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ocumenttasks/documenttask1.xml" ContentType="application/vnd.ms-excel.documenttask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5"/>
  <workbookPr/>
  <mc:AlternateContent xmlns:mc="http://schemas.openxmlformats.org/markup-compatibility/2006">
    <mc:Choice Requires="x15">
      <x15ac:absPath xmlns:x15ac="http://schemas.microsoft.com/office/spreadsheetml/2010/11/ac" url="https://netorgft10673332-my.sharepoint.com/personal/guilherme_nimi_live/Documents/Nimi_shared_folders/Marketing/Nimi Collective/"/>
    </mc:Choice>
  </mc:AlternateContent>
  <xr:revisionPtr revIDLastSave="0" documentId="8_{022C5D94-A45C-4684-88CD-EC47266B84BA}" xr6:coauthVersionLast="47" xr6:coauthVersionMax="47" xr10:uidLastSave="{00000000-0000-0000-0000-000000000000}"/>
  <bookViews>
    <workbookView xWindow="0" yWindow="500" windowWidth="28800" windowHeight="17500" firstSheet="12" activeTab="11" xr2:uid="{20133B8A-D008-534A-A2F7-9399F1A36DF8}"/>
  </bookViews>
  <sheets>
    <sheet name="OPERATIONS &gt;" sheetId="14" r:id="rId1"/>
    <sheet name="Orders" sheetId="12" r:id="rId2"/>
    <sheet name="Credits" sheetId="15" r:id="rId3"/>
    <sheet name="Manual Cleanup" sheetId="6" state="hidden" r:id="rId4"/>
    <sheet name="ANALYTICS &gt;" sheetId="13" r:id="rId5"/>
    <sheet name="Summer Challenge" sheetId="21" r:id="rId6"/>
    <sheet name="User Engagement" sheetId="5" r:id="rId7"/>
    <sheet name="New Dashboard" sheetId="19" r:id="rId8"/>
    <sheet name="Instructions " sheetId="20" r:id="rId9"/>
    <sheet name="DATABASE &gt;" sheetId="10" r:id="rId10"/>
    <sheet name="Sessions" sheetId="4" r:id="rId11"/>
    <sheet name="Users" sheetId="11" r:id="rId12"/>
    <sheet name="Visits" sheetId="3" r:id="rId13"/>
    <sheet name="Neighborhoods" sheetId="22" r:id="rId14"/>
    <sheet name="Users from Visits" sheetId="17" r:id="rId15"/>
    <sheet name="Journeys" sheetId="23" r:id="rId16"/>
  </sheets>
  <definedNames>
    <definedName name="_xlnm._FilterDatabase" localSheetId="2" hidden="1">Credits!$A$2:$H$2</definedName>
    <definedName name="_xlnm._FilterDatabase" localSheetId="3" hidden="1">'Manual Cleanup'!$A$1:$U$56</definedName>
    <definedName name="_xlnm._FilterDatabase" localSheetId="1" hidden="1">Orders!$A$2:$M$119</definedName>
    <definedName name="_xlnm._FilterDatabase" localSheetId="10" hidden="1">Sessions!$A$1:$O$31</definedName>
    <definedName name="_xlnm._FilterDatabase" localSheetId="5" hidden="1">'Summer Challenge'!$A$3:$T$316</definedName>
    <definedName name="_xlnm._FilterDatabase" localSheetId="6" hidden="1">'User Engagement'!$A$3:$W$61</definedName>
    <definedName name="_xlnm._FilterDatabase" localSheetId="11" hidden="1">Users!$A$1:$F$1</definedName>
    <definedName name="_xlnm._FilterDatabase" localSheetId="14" hidden="1">'Users from Visits'!$A$1:$C$62</definedName>
    <definedName name="_xlnm._FilterDatabase" localSheetId="12" hidden="1">Visits!$A$1:$AM$229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291" i="3" l="1"/>
  <c r="AE291" i="3"/>
  <c r="AF291" i="3"/>
  <c r="AG291" i="3"/>
  <c r="AH291" i="3"/>
  <c r="AD292" i="3"/>
  <c r="AE292" i="3"/>
  <c r="AF292" i="3"/>
  <c r="AG292" i="3"/>
  <c r="AH292" i="3"/>
  <c r="AD293" i="3"/>
  <c r="AE293" i="3"/>
  <c r="AF293" i="3"/>
  <c r="AG293" i="3"/>
  <c r="AH293" i="3"/>
  <c r="F180" i="12"/>
  <c r="G180" i="12"/>
  <c r="H180" i="12"/>
  <c r="I180" i="12"/>
  <c r="J180" i="12"/>
  <c r="F181" i="12"/>
  <c r="G181" i="12"/>
  <c r="H181" i="12"/>
  <c r="I181" i="12"/>
  <c r="J181" i="12"/>
  <c r="F182" i="12"/>
  <c r="G182" i="12"/>
  <c r="H182" i="12"/>
  <c r="I182" i="12"/>
  <c r="J182" i="12"/>
  <c r="F183" i="12"/>
  <c r="G183" i="12"/>
  <c r="H183" i="12"/>
  <c r="I183" i="12"/>
  <c r="J183" i="12"/>
  <c r="F184" i="12"/>
  <c r="G184" i="12"/>
  <c r="H184" i="12"/>
  <c r="I184" i="12"/>
  <c r="J184" i="12"/>
  <c r="F185" i="12"/>
  <c r="G185" i="12"/>
  <c r="H185" i="12"/>
  <c r="I185" i="12"/>
  <c r="J185" i="12"/>
  <c r="F186" i="12"/>
  <c r="G186" i="12"/>
  <c r="H186" i="12"/>
  <c r="I186" i="12"/>
  <c r="J186" i="12"/>
  <c r="F187" i="12"/>
  <c r="G187" i="12"/>
  <c r="H187" i="12"/>
  <c r="I187" i="12"/>
  <c r="J187" i="12"/>
  <c r="F188" i="12"/>
  <c r="G188" i="12"/>
  <c r="H188" i="12"/>
  <c r="I188" i="12"/>
  <c r="J188" i="12"/>
  <c r="F189" i="12"/>
  <c r="G189" i="12"/>
  <c r="H189" i="12"/>
  <c r="I189" i="12"/>
  <c r="J189" i="12"/>
  <c r="F190" i="12"/>
  <c r="G190" i="12"/>
  <c r="H190" i="12"/>
  <c r="I190" i="12"/>
  <c r="J190" i="12"/>
  <c r="F191" i="12"/>
  <c r="G191" i="12"/>
  <c r="H191" i="12"/>
  <c r="I191" i="12"/>
  <c r="J191" i="12"/>
  <c r="F192" i="12"/>
  <c r="G192" i="12"/>
  <c r="H192" i="12"/>
  <c r="I192" i="12"/>
  <c r="J192" i="12"/>
  <c r="F193" i="12"/>
  <c r="G193" i="12"/>
  <c r="H193" i="12"/>
  <c r="I193" i="12"/>
  <c r="J193" i="12"/>
  <c r="F194" i="12"/>
  <c r="G194" i="12"/>
  <c r="H194" i="12"/>
  <c r="I194" i="12"/>
  <c r="J194" i="12"/>
  <c r="F195" i="12"/>
  <c r="G195" i="12"/>
  <c r="H195" i="12"/>
  <c r="I195" i="12"/>
  <c r="J195" i="12"/>
  <c r="F196" i="12"/>
  <c r="G196" i="12"/>
  <c r="H196" i="12"/>
  <c r="I196" i="12"/>
  <c r="J196" i="12"/>
  <c r="F197" i="12"/>
  <c r="G197" i="12"/>
  <c r="H197" i="12"/>
  <c r="I197" i="12"/>
  <c r="J197" i="12"/>
  <c r="F198" i="12"/>
  <c r="G198" i="12"/>
  <c r="H198" i="12"/>
  <c r="I198" i="12"/>
  <c r="J198" i="12"/>
  <c r="F199" i="12"/>
  <c r="G199" i="12"/>
  <c r="H199" i="12"/>
  <c r="I199" i="12"/>
  <c r="J199" i="12"/>
  <c r="F200" i="12"/>
  <c r="G200" i="12"/>
  <c r="H200" i="12"/>
  <c r="I200" i="12"/>
  <c r="J200" i="12"/>
  <c r="F201" i="12"/>
  <c r="G201" i="12"/>
  <c r="H201" i="12"/>
  <c r="I201" i="12"/>
  <c r="J201" i="12"/>
  <c r="F202" i="12"/>
  <c r="G202" i="12"/>
  <c r="H202" i="12"/>
  <c r="I202" i="12"/>
  <c r="J202" i="12"/>
  <c r="F203" i="12"/>
  <c r="G203" i="12"/>
  <c r="H203" i="12"/>
  <c r="I203" i="12"/>
  <c r="J203" i="12"/>
  <c r="F204" i="12"/>
  <c r="G204" i="12"/>
  <c r="H204" i="12"/>
  <c r="I204" i="12"/>
  <c r="J204" i="12"/>
  <c r="F205" i="12"/>
  <c r="G205" i="12"/>
  <c r="H205" i="12"/>
  <c r="I205" i="12"/>
  <c r="J205" i="12"/>
  <c r="F206" i="12"/>
  <c r="G206" i="12"/>
  <c r="H206" i="12"/>
  <c r="I206" i="12"/>
  <c r="J206" i="12"/>
  <c r="F207" i="12"/>
  <c r="G207" i="12"/>
  <c r="H207" i="12"/>
  <c r="I207" i="12"/>
  <c r="J207" i="12"/>
  <c r="F208" i="12"/>
  <c r="G208" i="12"/>
  <c r="H208" i="12"/>
  <c r="I208" i="12"/>
  <c r="J208" i="12"/>
  <c r="F209" i="12"/>
  <c r="G209" i="12"/>
  <c r="H209" i="12"/>
  <c r="I209" i="12"/>
  <c r="J209" i="12"/>
  <c r="F210" i="12"/>
  <c r="G210" i="12"/>
  <c r="H210" i="12"/>
  <c r="I210" i="12"/>
  <c r="J210" i="12"/>
  <c r="F211" i="12"/>
  <c r="G211" i="12"/>
  <c r="H211" i="12"/>
  <c r="I211" i="12"/>
  <c r="J211" i="12"/>
  <c r="F212" i="12"/>
  <c r="G212" i="12"/>
  <c r="H212" i="12"/>
  <c r="I212" i="12"/>
  <c r="J212" i="12"/>
  <c r="F213" i="12"/>
  <c r="G213" i="12"/>
  <c r="H213" i="12"/>
  <c r="I213" i="12"/>
  <c r="J213" i="12"/>
  <c r="F214" i="12"/>
  <c r="G214" i="12"/>
  <c r="H214" i="12"/>
  <c r="I214" i="12"/>
  <c r="J214" i="12"/>
  <c r="F215" i="12"/>
  <c r="G215" i="12"/>
  <c r="H215" i="12"/>
  <c r="I215" i="12"/>
  <c r="J215" i="12"/>
  <c r="F216" i="12"/>
  <c r="G216" i="12"/>
  <c r="H216" i="12"/>
  <c r="I216" i="12"/>
  <c r="J216" i="12"/>
  <c r="F217" i="12"/>
  <c r="G217" i="12"/>
  <c r="H217" i="12"/>
  <c r="I217" i="12"/>
  <c r="J217" i="12"/>
  <c r="F218" i="12"/>
  <c r="G218" i="12"/>
  <c r="H218" i="12"/>
  <c r="I218" i="12"/>
  <c r="J218" i="12"/>
  <c r="F219" i="12"/>
  <c r="G219" i="12"/>
  <c r="H219" i="12"/>
  <c r="I219" i="12"/>
  <c r="J219" i="12"/>
  <c r="F220" i="12"/>
  <c r="G220" i="12"/>
  <c r="H220" i="12"/>
  <c r="I220" i="12"/>
  <c r="J220" i="12"/>
  <c r="F221" i="12"/>
  <c r="G221" i="12"/>
  <c r="H221" i="12"/>
  <c r="I221" i="12"/>
  <c r="J221" i="12"/>
  <c r="F222" i="12"/>
  <c r="G222" i="12"/>
  <c r="H222" i="12"/>
  <c r="I222" i="12"/>
  <c r="J222" i="12"/>
  <c r="F223" i="12"/>
  <c r="G223" i="12"/>
  <c r="H223" i="12"/>
  <c r="I223" i="12"/>
  <c r="J223" i="12"/>
  <c r="F224" i="12"/>
  <c r="G224" i="12"/>
  <c r="H224" i="12"/>
  <c r="I224" i="12"/>
  <c r="J224" i="12"/>
  <c r="F225" i="12"/>
  <c r="G225" i="12"/>
  <c r="H225" i="12"/>
  <c r="I225" i="12"/>
  <c r="J225" i="12"/>
  <c r="F226" i="12"/>
  <c r="G226" i="12"/>
  <c r="H226" i="12"/>
  <c r="I226" i="12"/>
  <c r="J226" i="12"/>
  <c r="F227" i="12"/>
  <c r="G227" i="12"/>
  <c r="H227" i="12"/>
  <c r="I227" i="12"/>
  <c r="J227" i="12"/>
  <c r="F228" i="12"/>
  <c r="G228" i="12"/>
  <c r="H228" i="12"/>
  <c r="I228" i="12"/>
  <c r="J228" i="12"/>
  <c r="F229" i="12"/>
  <c r="G229" i="12"/>
  <c r="H229" i="12"/>
  <c r="I229" i="12"/>
  <c r="J229" i="12"/>
  <c r="F230" i="12"/>
  <c r="G230" i="12"/>
  <c r="H230" i="12"/>
  <c r="I230" i="12"/>
  <c r="J230" i="12"/>
  <c r="F231" i="12"/>
  <c r="G231" i="12"/>
  <c r="H231" i="12"/>
  <c r="I231" i="12"/>
  <c r="J231" i="12"/>
  <c r="F232" i="12"/>
  <c r="G232" i="12"/>
  <c r="H232" i="12"/>
  <c r="I232" i="12"/>
  <c r="J232" i="12"/>
  <c r="F233" i="12"/>
  <c r="G233" i="12"/>
  <c r="H233" i="12"/>
  <c r="I233" i="12"/>
  <c r="J233" i="12"/>
  <c r="F234" i="12"/>
  <c r="G234" i="12"/>
  <c r="H234" i="12"/>
  <c r="I234" i="12"/>
  <c r="J234" i="12"/>
  <c r="F235" i="12"/>
  <c r="G235" i="12"/>
  <c r="H235" i="12"/>
  <c r="I235" i="12"/>
  <c r="J235" i="12"/>
  <c r="F236" i="12"/>
  <c r="G236" i="12"/>
  <c r="H236" i="12"/>
  <c r="I236" i="12"/>
  <c r="J236" i="12"/>
  <c r="F237" i="12"/>
  <c r="G237" i="12"/>
  <c r="H237" i="12"/>
  <c r="I237" i="12"/>
  <c r="J237" i="12"/>
  <c r="F238" i="12"/>
  <c r="G238" i="12"/>
  <c r="H238" i="12"/>
  <c r="I238" i="12"/>
  <c r="J238" i="12"/>
  <c r="F239" i="12"/>
  <c r="G239" i="12"/>
  <c r="H239" i="12"/>
  <c r="I239" i="12"/>
  <c r="J239" i="12"/>
  <c r="F240" i="12"/>
  <c r="G240" i="12"/>
  <c r="H240" i="12"/>
  <c r="I240" i="12"/>
  <c r="J240" i="12"/>
  <c r="F241" i="12"/>
  <c r="G241" i="12"/>
  <c r="H241" i="12"/>
  <c r="I241" i="12"/>
  <c r="J241" i="12"/>
  <c r="F242" i="12"/>
  <c r="G242" i="12"/>
  <c r="H242" i="12"/>
  <c r="I242" i="12"/>
  <c r="J242" i="12"/>
  <c r="F243" i="12"/>
  <c r="G243" i="12"/>
  <c r="H243" i="12"/>
  <c r="I243" i="12"/>
  <c r="J243" i="12"/>
  <c r="F244" i="12"/>
  <c r="G244" i="12"/>
  <c r="H244" i="12"/>
  <c r="I244" i="12"/>
  <c r="J244" i="12"/>
  <c r="F245" i="12"/>
  <c r="G245" i="12"/>
  <c r="H245" i="12"/>
  <c r="I245" i="12"/>
  <c r="J245" i="12"/>
  <c r="F246" i="12"/>
  <c r="G246" i="12"/>
  <c r="H246" i="12"/>
  <c r="I246" i="12"/>
  <c r="J246" i="12"/>
  <c r="F247" i="12"/>
  <c r="G247" i="12"/>
  <c r="H247" i="12"/>
  <c r="I247" i="12"/>
  <c r="J247" i="12"/>
  <c r="F248" i="12"/>
  <c r="G248" i="12"/>
  <c r="H248" i="12"/>
  <c r="I248" i="12"/>
  <c r="J248" i="12"/>
  <c r="F249" i="12"/>
  <c r="G249" i="12"/>
  <c r="H249" i="12"/>
  <c r="I249" i="12"/>
  <c r="J249" i="12"/>
  <c r="F250" i="12"/>
  <c r="G250" i="12"/>
  <c r="H250" i="12"/>
  <c r="I250" i="12"/>
  <c r="J250" i="12"/>
  <c r="F251" i="12"/>
  <c r="G251" i="12"/>
  <c r="H251" i="12"/>
  <c r="I251" i="12"/>
  <c r="J251" i="12"/>
  <c r="F252" i="12"/>
  <c r="G252" i="12"/>
  <c r="H252" i="12"/>
  <c r="I252" i="12"/>
  <c r="J252" i="12"/>
  <c r="F253" i="12"/>
  <c r="G253" i="12"/>
  <c r="H253" i="12"/>
  <c r="I253" i="12"/>
  <c r="J253" i="12"/>
  <c r="F254" i="12"/>
  <c r="G254" i="12"/>
  <c r="H254" i="12"/>
  <c r="I254" i="12"/>
  <c r="J254" i="12"/>
  <c r="F255" i="12"/>
  <c r="G255" i="12"/>
  <c r="H255" i="12"/>
  <c r="I255" i="12"/>
  <c r="J255" i="12"/>
  <c r="F256" i="12"/>
  <c r="G256" i="12"/>
  <c r="H256" i="12"/>
  <c r="I256" i="12"/>
  <c r="J256" i="12"/>
  <c r="F257" i="12"/>
  <c r="G257" i="12"/>
  <c r="H257" i="12"/>
  <c r="I257" i="12"/>
  <c r="J257" i="12"/>
  <c r="F258" i="12"/>
  <c r="G258" i="12"/>
  <c r="H258" i="12"/>
  <c r="I258" i="12"/>
  <c r="J258" i="12"/>
  <c r="F259" i="12"/>
  <c r="G259" i="12"/>
  <c r="H259" i="12"/>
  <c r="I259" i="12"/>
  <c r="J259" i="12"/>
  <c r="F260" i="12"/>
  <c r="G260" i="12"/>
  <c r="H260" i="12"/>
  <c r="I260" i="12"/>
  <c r="J260" i="12"/>
  <c r="F261" i="12"/>
  <c r="G261" i="12"/>
  <c r="H261" i="12"/>
  <c r="I261" i="12"/>
  <c r="J261" i="12"/>
  <c r="F262" i="12"/>
  <c r="G262" i="12"/>
  <c r="H262" i="12"/>
  <c r="I262" i="12"/>
  <c r="J262" i="12"/>
  <c r="F263" i="12"/>
  <c r="G263" i="12"/>
  <c r="H263" i="12"/>
  <c r="I263" i="12"/>
  <c r="J263" i="12"/>
  <c r="F264" i="12"/>
  <c r="G264" i="12"/>
  <c r="H264" i="12"/>
  <c r="I264" i="12"/>
  <c r="J264" i="12"/>
  <c r="F265" i="12"/>
  <c r="G265" i="12"/>
  <c r="H265" i="12"/>
  <c r="I265" i="12"/>
  <c r="J265" i="12"/>
  <c r="F266" i="12"/>
  <c r="G266" i="12"/>
  <c r="H266" i="12"/>
  <c r="I266" i="12"/>
  <c r="J266" i="12"/>
  <c r="E134" i="15"/>
  <c r="F134" i="15" s="1"/>
  <c r="E135" i="15"/>
  <c r="F135" i="15" s="1"/>
  <c r="E136" i="15"/>
  <c r="F136" i="15" s="1"/>
  <c r="E137" i="15"/>
  <c r="F137" i="15" s="1"/>
  <c r="E138" i="15"/>
  <c r="F138" i="15" s="1"/>
  <c r="E139" i="15"/>
  <c r="F139" i="15" s="1"/>
  <c r="E140" i="15"/>
  <c r="F140" i="15" s="1"/>
  <c r="E141" i="15"/>
  <c r="F141" i="15" s="1"/>
  <c r="E142" i="15"/>
  <c r="F142" i="15" s="1"/>
  <c r="E143" i="15"/>
  <c r="F143" i="15" s="1"/>
  <c r="E144" i="15"/>
  <c r="F144" i="15" s="1"/>
  <c r="E145" i="15"/>
  <c r="F145" i="15" s="1"/>
  <c r="E146" i="15"/>
  <c r="F146" i="15" s="1"/>
  <c r="F171" i="12"/>
  <c r="G171" i="12"/>
  <c r="H171" i="12"/>
  <c r="I171" i="12"/>
  <c r="J171" i="12"/>
  <c r="F172" i="12"/>
  <c r="G172" i="12"/>
  <c r="H172" i="12"/>
  <c r="I172" i="12"/>
  <c r="J172" i="12"/>
  <c r="F173" i="12"/>
  <c r="G173" i="12"/>
  <c r="H173" i="12"/>
  <c r="I173" i="12"/>
  <c r="J173" i="12"/>
  <c r="F174" i="12"/>
  <c r="G174" i="12"/>
  <c r="H174" i="12"/>
  <c r="I174" i="12"/>
  <c r="J174" i="12"/>
  <c r="F175" i="12"/>
  <c r="G175" i="12"/>
  <c r="H175" i="12"/>
  <c r="I175" i="12"/>
  <c r="J175" i="12"/>
  <c r="F176" i="12"/>
  <c r="G176" i="12"/>
  <c r="H176" i="12"/>
  <c r="I176" i="12"/>
  <c r="J176" i="12"/>
  <c r="F177" i="12"/>
  <c r="G177" i="12"/>
  <c r="H177" i="12"/>
  <c r="I177" i="12"/>
  <c r="J177" i="12"/>
  <c r="F178" i="12"/>
  <c r="G178" i="12"/>
  <c r="H178" i="12"/>
  <c r="I178" i="12"/>
  <c r="J178" i="12"/>
  <c r="F179" i="12"/>
  <c r="G179" i="12"/>
  <c r="H179" i="12"/>
  <c r="I179" i="12"/>
  <c r="J179" i="12"/>
  <c r="E121" i="15"/>
  <c r="F121" i="15"/>
  <c r="E122" i="15"/>
  <c r="F122" i="15"/>
  <c r="E123" i="15"/>
  <c r="F123" i="15"/>
  <c r="E124" i="15"/>
  <c r="F124" i="15"/>
  <c r="E125" i="15"/>
  <c r="F125" i="15"/>
  <c r="E126" i="15"/>
  <c r="F126" i="15"/>
  <c r="E127" i="15"/>
  <c r="F127" i="15"/>
  <c r="E128" i="15"/>
  <c r="F128" i="15"/>
  <c r="E129" i="15"/>
  <c r="F129" i="15"/>
  <c r="E130" i="15"/>
  <c r="F130" i="15" s="1"/>
  <c r="E131" i="15"/>
  <c r="F131" i="15"/>
  <c r="E132" i="15"/>
  <c r="F132" i="15" s="1"/>
  <c r="E133" i="15"/>
  <c r="F133" i="15"/>
  <c r="E119" i="15"/>
  <c r="F119" i="15"/>
  <c r="E120" i="15"/>
  <c r="F120" i="15"/>
  <c r="E116" i="15"/>
  <c r="F116" i="15"/>
  <c r="E117" i="15"/>
  <c r="F117" i="15"/>
  <c r="E118" i="15"/>
  <c r="F118" i="15"/>
  <c r="E114" i="15"/>
  <c r="E115" i="15"/>
  <c r="S327" i="21"/>
  <c r="S326" i="21"/>
  <c r="S325" i="21"/>
  <c r="S324" i="21"/>
  <c r="S323" i="21"/>
  <c r="S322" i="21"/>
  <c r="S321" i="21"/>
  <c r="S320" i="21"/>
  <c r="S319" i="21"/>
  <c r="S318" i="21"/>
  <c r="S317" i="21"/>
  <c r="AD284" i="3"/>
  <c r="AE284" i="3"/>
  <c r="AF284" i="3"/>
  <c r="AG284" i="3"/>
  <c r="AH284" i="3"/>
  <c r="AK284" i="3"/>
  <c r="L214" i="21"/>
  <c r="L215" i="21"/>
  <c r="L216" i="21"/>
  <c r="L217" i="21"/>
  <c r="L218" i="21"/>
  <c r="L219" i="21"/>
  <c r="L220" i="21"/>
  <c r="L221" i="21"/>
  <c r="L222" i="21"/>
  <c r="L223" i="21"/>
  <c r="L224" i="21"/>
  <c r="L225" i="21"/>
  <c r="L226" i="21"/>
  <c r="L227" i="21"/>
  <c r="AK323" i="3"/>
  <c r="AK322" i="3"/>
  <c r="AK321" i="3"/>
  <c r="AK320" i="3"/>
  <c r="AK319" i="3"/>
  <c r="AK318" i="3"/>
  <c r="AK317" i="3"/>
  <c r="AK316" i="3"/>
  <c r="AK315" i="3"/>
  <c r="AK314" i="3"/>
  <c r="AK313" i="3"/>
  <c r="AK312" i="3"/>
  <c r="AK311" i="3"/>
  <c r="AK310" i="3"/>
  <c r="AK309" i="3"/>
  <c r="AK308" i="3"/>
  <c r="AK307" i="3"/>
  <c r="AK306" i="3"/>
  <c r="AK305" i="3"/>
  <c r="AK304" i="3"/>
  <c r="AK303" i="3"/>
  <c r="AK302" i="3"/>
  <c r="AK301" i="3"/>
  <c r="AK300" i="3"/>
  <c r="AK299" i="3"/>
  <c r="AK298" i="3"/>
  <c r="AK297" i="3"/>
  <c r="AK296" i="3"/>
  <c r="AK295" i="3"/>
  <c r="AK294" i="3"/>
  <c r="AK293" i="3"/>
  <c r="AK292" i="3"/>
  <c r="AK291" i="3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H214" i="21"/>
  <c r="K214" i="21"/>
  <c r="E215" i="21"/>
  <c r="H215" i="21"/>
  <c r="K215" i="21"/>
  <c r="E216" i="21"/>
  <c r="H216" i="21"/>
  <c r="M216" i="21"/>
  <c r="E217" i="21"/>
  <c r="H217" i="21"/>
  <c r="E218" i="21"/>
  <c r="H218" i="21"/>
  <c r="K218" i="21"/>
  <c r="M218" i="21"/>
  <c r="E219" i="21"/>
  <c r="H219" i="21"/>
  <c r="M219" i="21"/>
  <c r="E220" i="21"/>
  <c r="H220" i="21"/>
  <c r="E221" i="21"/>
  <c r="H221" i="21"/>
  <c r="M221" i="21"/>
  <c r="E222" i="21"/>
  <c r="H222" i="21"/>
  <c r="M222" i="21"/>
  <c r="E223" i="21"/>
  <c r="H223" i="21"/>
  <c r="K223" i="21"/>
  <c r="E224" i="21"/>
  <c r="H224" i="21"/>
  <c r="K224" i="21"/>
  <c r="E225" i="21"/>
  <c r="H225" i="21"/>
  <c r="M225" i="21"/>
  <c r="E226" i="21"/>
  <c r="H226" i="21"/>
  <c r="E227" i="21"/>
  <c r="H227" i="21"/>
  <c r="K227" i="21"/>
  <c r="M227" i="21"/>
  <c r="A208" i="21"/>
  <c r="C208" i="21"/>
  <c r="D208" i="21"/>
  <c r="A122" i="21"/>
  <c r="AE205" i="3"/>
  <c r="AE215" i="3"/>
  <c r="A126" i="5"/>
  <c r="A127" i="5"/>
  <c r="B127" i="17"/>
  <c r="C127" i="17"/>
  <c r="B128" i="17"/>
  <c r="C128" i="17"/>
  <c r="B129" i="17"/>
  <c r="C129" i="17"/>
  <c r="B130" i="17"/>
  <c r="C130" i="17"/>
  <c r="B131" i="17"/>
  <c r="C131" i="17"/>
  <c r="B132" i="17"/>
  <c r="C132" i="17"/>
  <c r="B133" i="17"/>
  <c r="C133" i="17"/>
  <c r="B134" i="17"/>
  <c r="C134" i="17"/>
  <c r="B135" i="17"/>
  <c r="C135" i="17"/>
  <c r="B136" i="17"/>
  <c r="C136" i="17"/>
  <c r="B137" i="17"/>
  <c r="C137" i="17"/>
  <c r="B138" i="17"/>
  <c r="C138" i="17"/>
  <c r="B139" i="17"/>
  <c r="C139" i="17"/>
  <c r="B140" i="17"/>
  <c r="C140" i="17"/>
  <c r="B141" i="17"/>
  <c r="C141" i="17"/>
  <c r="B142" i="17"/>
  <c r="C142" i="17"/>
  <c r="B143" i="17"/>
  <c r="C143" i="17"/>
  <c r="B144" i="17"/>
  <c r="C144" i="17"/>
  <c r="B145" i="17"/>
  <c r="C145" i="17"/>
  <c r="B146" i="17"/>
  <c r="C146" i="17"/>
  <c r="B147" i="17"/>
  <c r="C147" i="17"/>
  <c r="B148" i="17"/>
  <c r="C148" i="17"/>
  <c r="B149" i="17"/>
  <c r="C149" i="17"/>
  <c r="B150" i="17"/>
  <c r="C150" i="17"/>
  <c r="B151" i="17"/>
  <c r="C151" i="17"/>
  <c r="B152" i="17"/>
  <c r="C152" i="17"/>
  <c r="B153" i="17"/>
  <c r="C153" i="17"/>
  <c r="B154" i="17"/>
  <c r="C154" i="17"/>
  <c r="B155" i="17"/>
  <c r="C155" i="17"/>
  <c r="B156" i="17"/>
  <c r="C156" i="17"/>
  <c r="B157" i="17"/>
  <c r="C157" i="17"/>
  <c r="B158" i="17"/>
  <c r="C158" i="17"/>
  <c r="B159" i="17"/>
  <c r="C159" i="17"/>
  <c r="B160" i="17"/>
  <c r="C160" i="17"/>
  <c r="B161" i="17"/>
  <c r="C161" i="17"/>
  <c r="B162" i="17"/>
  <c r="C162" i="17"/>
  <c r="B163" i="17"/>
  <c r="C163" i="17"/>
  <c r="B164" i="17"/>
  <c r="C164" i="17"/>
  <c r="B165" i="17"/>
  <c r="C165" i="17"/>
  <c r="B166" i="17"/>
  <c r="C166" i="17"/>
  <c r="B167" i="17"/>
  <c r="C167" i="17"/>
  <c r="B168" i="17"/>
  <c r="C168" i="17"/>
  <c r="B169" i="17"/>
  <c r="C169" i="17"/>
  <c r="B170" i="17"/>
  <c r="C170" i="17"/>
  <c r="B171" i="17"/>
  <c r="C171" i="17"/>
  <c r="B172" i="17"/>
  <c r="C172" i="17"/>
  <c r="B173" i="17"/>
  <c r="C173" i="17"/>
  <c r="B174" i="17"/>
  <c r="C174" i="17"/>
  <c r="B175" i="17"/>
  <c r="C175" i="17"/>
  <c r="B176" i="17"/>
  <c r="C176" i="17"/>
  <c r="B177" i="17"/>
  <c r="C177" i="17"/>
  <c r="B178" i="17"/>
  <c r="C178" i="17"/>
  <c r="B179" i="17"/>
  <c r="C179" i="17"/>
  <c r="B180" i="17"/>
  <c r="C180" i="17"/>
  <c r="B181" i="17"/>
  <c r="C181" i="17"/>
  <c r="B182" i="17"/>
  <c r="C182" i="17"/>
  <c r="B183" i="17"/>
  <c r="C183" i="17"/>
  <c r="B184" i="17"/>
  <c r="C184" i="17"/>
  <c r="B185" i="17"/>
  <c r="C185" i="17"/>
  <c r="B186" i="17"/>
  <c r="C186" i="17"/>
  <c r="B187" i="17"/>
  <c r="C187" i="17"/>
  <c r="B188" i="17"/>
  <c r="C188" i="17"/>
  <c r="B189" i="17"/>
  <c r="C189" i="17"/>
  <c r="B190" i="17"/>
  <c r="C190" i="17"/>
  <c r="B191" i="17"/>
  <c r="C191" i="17"/>
  <c r="B192" i="17"/>
  <c r="C192" i="17"/>
  <c r="B193" i="17"/>
  <c r="C193" i="17"/>
  <c r="B194" i="17"/>
  <c r="C194" i="17"/>
  <c r="B195" i="17"/>
  <c r="C195" i="17"/>
  <c r="B196" i="17"/>
  <c r="C196" i="17"/>
  <c r="B197" i="17"/>
  <c r="C197" i="17"/>
  <c r="B198" i="17"/>
  <c r="C198" i="17"/>
  <c r="B199" i="17"/>
  <c r="C199" i="17"/>
  <c r="B200" i="17"/>
  <c r="C200" i="17"/>
  <c r="B201" i="17"/>
  <c r="C201" i="17"/>
  <c r="B202" i="17"/>
  <c r="C202" i="17"/>
  <c r="B203" i="17"/>
  <c r="C203" i="17"/>
  <c r="B204" i="17"/>
  <c r="C204" i="17"/>
  <c r="B205" i="17"/>
  <c r="C205" i="17"/>
  <c r="AH285" i="3"/>
  <c r="AH286" i="3"/>
  <c r="AH287" i="3"/>
  <c r="AH288" i="3"/>
  <c r="AH289" i="3"/>
  <c r="AH290" i="3"/>
  <c r="AE285" i="3"/>
  <c r="AE286" i="3"/>
  <c r="AE287" i="3"/>
  <c r="AE288" i="3"/>
  <c r="AE289" i="3"/>
  <c r="AE290" i="3"/>
  <c r="AF285" i="3"/>
  <c r="AG285" i="3" s="1"/>
  <c r="AF286" i="3"/>
  <c r="AG286" i="3" s="1"/>
  <c r="AF287" i="3"/>
  <c r="AG287" i="3" s="1"/>
  <c r="AF288" i="3"/>
  <c r="AG288" i="3" s="1"/>
  <c r="AF289" i="3"/>
  <c r="AG289" i="3" s="1"/>
  <c r="AF290" i="3"/>
  <c r="AG290" i="3" s="1"/>
  <c r="AD285" i="3"/>
  <c r="AK285" i="3" s="1"/>
  <c r="AD286" i="3"/>
  <c r="AK286" i="3" s="1"/>
  <c r="AD287" i="3"/>
  <c r="AK287" i="3" s="1"/>
  <c r="AD288" i="3"/>
  <c r="AK288" i="3" s="1"/>
  <c r="AD289" i="3"/>
  <c r="AK289" i="3" s="1"/>
  <c r="AD290" i="3"/>
  <c r="AK290" i="3" s="1"/>
  <c r="AD264" i="3"/>
  <c r="AK264" i="3" s="1"/>
  <c r="AE264" i="3"/>
  <c r="AF264" i="3"/>
  <c r="AG264" i="3" s="1"/>
  <c r="AH264" i="3"/>
  <c r="AD265" i="3"/>
  <c r="AK265" i="3" s="1"/>
  <c r="AE265" i="3"/>
  <c r="AF265" i="3"/>
  <c r="AG265" i="3" s="1"/>
  <c r="AH265" i="3"/>
  <c r="AD266" i="3"/>
  <c r="AK266" i="3" s="1"/>
  <c r="AE266" i="3"/>
  <c r="AF266" i="3"/>
  <c r="AG266" i="3" s="1"/>
  <c r="AH266" i="3"/>
  <c r="AD267" i="3"/>
  <c r="AK267" i="3" s="1"/>
  <c r="AE267" i="3"/>
  <c r="AF267" i="3"/>
  <c r="AG267" i="3" s="1"/>
  <c r="AH267" i="3"/>
  <c r="AD268" i="3"/>
  <c r="AK268" i="3" s="1"/>
  <c r="AE268" i="3"/>
  <c r="AF268" i="3"/>
  <c r="AG268" i="3" s="1"/>
  <c r="AH268" i="3"/>
  <c r="AD269" i="3"/>
  <c r="AK269" i="3" s="1"/>
  <c r="AE269" i="3"/>
  <c r="AF269" i="3"/>
  <c r="AG269" i="3" s="1"/>
  <c r="AH269" i="3"/>
  <c r="AD270" i="3"/>
  <c r="AK270" i="3" s="1"/>
  <c r="AE270" i="3"/>
  <c r="AF270" i="3"/>
  <c r="AG270" i="3" s="1"/>
  <c r="AH270" i="3"/>
  <c r="AD271" i="3"/>
  <c r="AK271" i="3" s="1"/>
  <c r="AE271" i="3"/>
  <c r="AF271" i="3"/>
  <c r="AG271" i="3" s="1"/>
  <c r="AH271" i="3"/>
  <c r="AD272" i="3"/>
  <c r="AK272" i="3" s="1"/>
  <c r="AE272" i="3"/>
  <c r="AF272" i="3"/>
  <c r="AG272" i="3" s="1"/>
  <c r="AH272" i="3"/>
  <c r="AD273" i="3"/>
  <c r="AK273" i="3" s="1"/>
  <c r="AE273" i="3"/>
  <c r="AF273" i="3"/>
  <c r="AG273" i="3" s="1"/>
  <c r="AH273" i="3"/>
  <c r="AD274" i="3"/>
  <c r="AK274" i="3" s="1"/>
  <c r="AE274" i="3"/>
  <c r="AF274" i="3"/>
  <c r="AG274" i="3" s="1"/>
  <c r="AH274" i="3"/>
  <c r="AD275" i="3"/>
  <c r="AK275" i="3" s="1"/>
  <c r="AE275" i="3"/>
  <c r="AF275" i="3"/>
  <c r="AG275" i="3" s="1"/>
  <c r="AH275" i="3"/>
  <c r="AD276" i="3"/>
  <c r="AK276" i="3" s="1"/>
  <c r="AE276" i="3"/>
  <c r="AF276" i="3"/>
  <c r="AG276" i="3" s="1"/>
  <c r="AH276" i="3"/>
  <c r="AD277" i="3"/>
  <c r="AK277" i="3" s="1"/>
  <c r="AE277" i="3"/>
  <c r="AF277" i="3"/>
  <c r="AG277" i="3" s="1"/>
  <c r="AH277" i="3"/>
  <c r="AD278" i="3"/>
  <c r="AK278" i="3" s="1"/>
  <c r="AE278" i="3"/>
  <c r="AF278" i="3"/>
  <c r="AG278" i="3" s="1"/>
  <c r="AH278" i="3"/>
  <c r="AD279" i="3"/>
  <c r="AK279" i="3" s="1"/>
  <c r="AE279" i="3"/>
  <c r="AF279" i="3"/>
  <c r="AG279" i="3" s="1"/>
  <c r="AH279" i="3"/>
  <c r="AD280" i="3"/>
  <c r="AK280" i="3" s="1"/>
  <c r="AE280" i="3"/>
  <c r="AF280" i="3"/>
  <c r="AG280" i="3" s="1"/>
  <c r="AH280" i="3"/>
  <c r="AD281" i="3"/>
  <c r="AK281" i="3" s="1"/>
  <c r="AE281" i="3"/>
  <c r="AF281" i="3"/>
  <c r="AG281" i="3" s="1"/>
  <c r="AH281" i="3"/>
  <c r="AD282" i="3"/>
  <c r="AK282" i="3" s="1"/>
  <c r="AE282" i="3"/>
  <c r="AF282" i="3"/>
  <c r="AG282" i="3" s="1"/>
  <c r="AH282" i="3"/>
  <c r="AD283" i="3"/>
  <c r="AK283" i="3" s="1"/>
  <c r="AE283" i="3"/>
  <c r="AF283" i="3"/>
  <c r="AG283" i="3" s="1"/>
  <c r="AH283" i="3"/>
  <c r="AD247" i="3"/>
  <c r="AK247" i="3" s="1"/>
  <c r="AE247" i="3"/>
  <c r="AF247" i="3"/>
  <c r="AG247" i="3" s="1"/>
  <c r="AH247" i="3"/>
  <c r="AD248" i="3"/>
  <c r="AK248" i="3" s="1"/>
  <c r="AE248" i="3"/>
  <c r="AF248" i="3"/>
  <c r="AG248" i="3" s="1"/>
  <c r="AH248" i="3"/>
  <c r="AD241" i="3"/>
  <c r="AK241" i="3" s="1"/>
  <c r="AE241" i="3"/>
  <c r="AF241" i="3"/>
  <c r="AG241" i="3" s="1"/>
  <c r="AH241" i="3"/>
  <c r="AD242" i="3"/>
  <c r="AK242" i="3" s="1"/>
  <c r="AE242" i="3"/>
  <c r="AF242" i="3"/>
  <c r="AG242" i="3" s="1"/>
  <c r="AH242" i="3"/>
  <c r="AD249" i="3"/>
  <c r="AK249" i="3" s="1"/>
  <c r="AE249" i="3"/>
  <c r="AF249" i="3"/>
  <c r="AG249" i="3" s="1"/>
  <c r="AH249" i="3"/>
  <c r="AD250" i="3"/>
  <c r="AK250" i="3" s="1"/>
  <c r="AE250" i="3"/>
  <c r="AF250" i="3"/>
  <c r="AG250" i="3" s="1"/>
  <c r="AH250" i="3"/>
  <c r="AD253" i="3"/>
  <c r="AK253" i="3" s="1"/>
  <c r="AE253" i="3"/>
  <c r="AF253" i="3"/>
  <c r="AG253" i="3" s="1"/>
  <c r="AH253" i="3"/>
  <c r="AD243" i="3"/>
  <c r="AK243" i="3" s="1"/>
  <c r="AE243" i="3"/>
  <c r="AF243" i="3"/>
  <c r="AG243" i="3" s="1"/>
  <c r="AH243" i="3"/>
  <c r="AD254" i="3"/>
  <c r="AK254" i="3" s="1"/>
  <c r="AE254" i="3"/>
  <c r="AF254" i="3"/>
  <c r="AG254" i="3" s="1"/>
  <c r="AH254" i="3"/>
  <c r="AD255" i="3"/>
  <c r="AK255" i="3" s="1"/>
  <c r="AE255" i="3"/>
  <c r="AF255" i="3"/>
  <c r="AG255" i="3" s="1"/>
  <c r="AH255" i="3"/>
  <c r="AD256" i="3"/>
  <c r="AK256" i="3" s="1"/>
  <c r="AE256" i="3"/>
  <c r="AF256" i="3"/>
  <c r="AG256" i="3" s="1"/>
  <c r="AH256" i="3"/>
  <c r="AD257" i="3"/>
  <c r="AK257" i="3" s="1"/>
  <c r="AE257" i="3"/>
  <c r="AF257" i="3"/>
  <c r="AG257" i="3" s="1"/>
  <c r="AH257" i="3"/>
  <c r="AD258" i="3"/>
  <c r="AK258" i="3" s="1"/>
  <c r="AE258" i="3"/>
  <c r="AF258" i="3"/>
  <c r="AG258" i="3" s="1"/>
  <c r="AH258" i="3"/>
  <c r="AD259" i="3"/>
  <c r="AK259" i="3" s="1"/>
  <c r="AE259" i="3"/>
  <c r="AF259" i="3"/>
  <c r="AG259" i="3" s="1"/>
  <c r="AH259" i="3"/>
  <c r="AD260" i="3"/>
  <c r="AK260" i="3" s="1"/>
  <c r="AF260" i="3"/>
  <c r="AG260" i="3" s="1"/>
  <c r="AH260" i="3"/>
  <c r="AD261" i="3"/>
  <c r="AK261" i="3" s="1"/>
  <c r="AE261" i="3"/>
  <c r="AF261" i="3"/>
  <c r="AG261" i="3" s="1"/>
  <c r="AH261" i="3"/>
  <c r="AD251" i="3"/>
  <c r="AK251" i="3" s="1"/>
  <c r="AE251" i="3"/>
  <c r="AF251" i="3"/>
  <c r="AG251" i="3" s="1"/>
  <c r="AH251" i="3"/>
  <c r="AD244" i="3"/>
  <c r="AK244" i="3" s="1"/>
  <c r="AE244" i="3"/>
  <c r="AF244" i="3"/>
  <c r="AG244" i="3" s="1"/>
  <c r="AH244" i="3"/>
  <c r="AD245" i="3"/>
  <c r="AK245" i="3" s="1"/>
  <c r="AE245" i="3"/>
  <c r="AF245" i="3"/>
  <c r="AG245" i="3" s="1"/>
  <c r="AH245" i="3"/>
  <c r="AD246" i="3"/>
  <c r="AK246" i="3" s="1"/>
  <c r="AE246" i="3"/>
  <c r="AF246" i="3"/>
  <c r="AG246" i="3" s="1"/>
  <c r="AH246" i="3"/>
  <c r="AD252" i="3"/>
  <c r="AK252" i="3" s="1"/>
  <c r="AE252" i="3"/>
  <c r="AF252" i="3"/>
  <c r="AG252" i="3" s="1"/>
  <c r="AH252" i="3"/>
  <c r="AD262" i="3"/>
  <c r="AK262" i="3" s="1"/>
  <c r="AE262" i="3"/>
  <c r="AF262" i="3"/>
  <c r="AG262" i="3"/>
  <c r="AH262" i="3"/>
  <c r="AD263" i="3"/>
  <c r="AK263" i="3" s="1"/>
  <c r="AE263" i="3"/>
  <c r="AF263" i="3"/>
  <c r="AG263" i="3" s="1"/>
  <c r="AH263" i="3"/>
  <c r="F8" i="12"/>
  <c r="G8" i="12"/>
  <c r="H8" i="12"/>
  <c r="I8" i="12"/>
  <c r="J8" i="12"/>
  <c r="F9" i="12"/>
  <c r="G9" i="12"/>
  <c r="H9" i="12"/>
  <c r="I9" i="12"/>
  <c r="J9" i="12"/>
  <c r="F10" i="12"/>
  <c r="G10" i="12"/>
  <c r="H10" i="12"/>
  <c r="I10" i="12"/>
  <c r="J10" i="12"/>
  <c r="F11" i="12"/>
  <c r="G11" i="12"/>
  <c r="H11" i="12"/>
  <c r="I11" i="12"/>
  <c r="J11" i="12"/>
  <c r="F12" i="12"/>
  <c r="G12" i="12"/>
  <c r="H12" i="12"/>
  <c r="I12" i="12"/>
  <c r="J12" i="12"/>
  <c r="F13" i="12"/>
  <c r="G13" i="12"/>
  <c r="H13" i="12"/>
  <c r="I13" i="12"/>
  <c r="J13" i="12"/>
  <c r="F14" i="12"/>
  <c r="G14" i="12"/>
  <c r="H14" i="12"/>
  <c r="I14" i="12"/>
  <c r="J14" i="12"/>
  <c r="F15" i="12"/>
  <c r="G15" i="12"/>
  <c r="H15" i="12"/>
  <c r="I15" i="12"/>
  <c r="J15" i="12"/>
  <c r="F16" i="12"/>
  <c r="G16" i="12"/>
  <c r="H16" i="12"/>
  <c r="I16" i="12"/>
  <c r="J16" i="12"/>
  <c r="F17" i="12"/>
  <c r="G17" i="12"/>
  <c r="H17" i="12"/>
  <c r="I17" i="12"/>
  <c r="J17" i="12"/>
  <c r="F18" i="12"/>
  <c r="G18" i="12"/>
  <c r="H18" i="12"/>
  <c r="I18" i="12"/>
  <c r="J18" i="12"/>
  <c r="F19" i="12"/>
  <c r="G19" i="12"/>
  <c r="H19" i="12"/>
  <c r="I19" i="12"/>
  <c r="J19" i="12"/>
  <c r="F20" i="12"/>
  <c r="G20" i="12"/>
  <c r="H20" i="12"/>
  <c r="I20" i="12"/>
  <c r="J20" i="12"/>
  <c r="F21" i="12"/>
  <c r="G21" i="12"/>
  <c r="H21" i="12"/>
  <c r="I21" i="12"/>
  <c r="J21" i="12"/>
  <c r="F22" i="12"/>
  <c r="G22" i="12"/>
  <c r="H22" i="12"/>
  <c r="I22" i="12"/>
  <c r="J22" i="12"/>
  <c r="F160" i="12"/>
  <c r="G160" i="12"/>
  <c r="H160" i="12"/>
  <c r="I160" i="12"/>
  <c r="J160" i="12"/>
  <c r="F161" i="12"/>
  <c r="G161" i="12"/>
  <c r="H161" i="12"/>
  <c r="I161" i="12"/>
  <c r="J161" i="12"/>
  <c r="F162" i="12"/>
  <c r="G162" i="12"/>
  <c r="H162" i="12"/>
  <c r="I162" i="12"/>
  <c r="J162" i="12"/>
  <c r="F91" i="12"/>
  <c r="G91" i="12"/>
  <c r="H91" i="12"/>
  <c r="I91" i="12"/>
  <c r="J91" i="12"/>
  <c r="F92" i="12"/>
  <c r="G92" i="12"/>
  <c r="H92" i="12"/>
  <c r="I92" i="12"/>
  <c r="J92" i="12"/>
  <c r="F169" i="12"/>
  <c r="G169" i="12"/>
  <c r="H169" i="12"/>
  <c r="I169" i="12"/>
  <c r="J169" i="12"/>
  <c r="F170" i="12"/>
  <c r="G170" i="12"/>
  <c r="H170" i="12"/>
  <c r="I170" i="12"/>
  <c r="J170" i="12"/>
  <c r="F93" i="12"/>
  <c r="G93" i="12"/>
  <c r="H93" i="12"/>
  <c r="I93" i="12"/>
  <c r="J93" i="12"/>
  <c r="F3" i="12"/>
  <c r="G3" i="12"/>
  <c r="H3" i="12"/>
  <c r="I3" i="12"/>
  <c r="J3" i="12"/>
  <c r="F4" i="12"/>
  <c r="G4" i="12"/>
  <c r="H4" i="12"/>
  <c r="I4" i="12"/>
  <c r="J4" i="12"/>
  <c r="F5" i="12"/>
  <c r="G5" i="12"/>
  <c r="H5" i="12"/>
  <c r="I5" i="12"/>
  <c r="J5" i="12"/>
  <c r="F6" i="12"/>
  <c r="G6" i="12"/>
  <c r="H6" i="12"/>
  <c r="I6" i="12"/>
  <c r="J6" i="12"/>
  <c r="F7" i="12"/>
  <c r="G7" i="12"/>
  <c r="H7" i="12"/>
  <c r="I7" i="12"/>
  <c r="J7" i="12"/>
  <c r="E111" i="15"/>
  <c r="F135" i="12"/>
  <c r="E110" i="15"/>
  <c r="E112" i="15"/>
  <c r="E113" i="15"/>
  <c r="F110" i="15"/>
  <c r="F111" i="15"/>
  <c r="F112" i="15"/>
  <c r="F113" i="15"/>
  <c r="F114" i="15"/>
  <c r="F115" i="15"/>
  <c r="E109" i="15"/>
  <c r="F109" i="15"/>
  <c r="E108" i="15"/>
  <c r="F132" i="12"/>
  <c r="G132" i="12"/>
  <c r="H132" i="12"/>
  <c r="I132" i="12"/>
  <c r="J132" i="12"/>
  <c r="F133" i="12"/>
  <c r="G133" i="12"/>
  <c r="H133" i="12"/>
  <c r="I133" i="12"/>
  <c r="J133" i="12"/>
  <c r="F134" i="12"/>
  <c r="G134" i="12"/>
  <c r="H134" i="12"/>
  <c r="I134" i="12"/>
  <c r="J134" i="12"/>
  <c r="G135" i="12"/>
  <c r="H135" i="12"/>
  <c r="I135" i="12"/>
  <c r="J135" i="12"/>
  <c r="F77" i="12"/>
  <c r="G77" i="12"/>
  <c r="H77" i="12"/>
  <c r="I77" i="12"/>
  <c r="J77" i="12"/>
  <c r="F159" i="12"/>
  <c r="G159" i="12"/>
  <c r="H159" i="12"/>
  <c r="I159" i="12"/>
  <c r="J159" i="12"/>
  <c r="F78" i="12"/>
  <c r="G78" i="12"/>
  <c r="H78" i="12"/>
  <c r="I78" i="12"/>
  <c r="J78" i="12"/>
  <c r="E106" i="15"/>
  <c r="E107" i="15"/>
  <c r="F80" i="12"/>
  <c r="G80" i="12"/>
  <c r="H80" i="12"/>
  <c r="I80" i="12"/>
  <c r="J80" i="12"/>
  <c r="AE230" i="3"/>
  <c r="AF230" i="3"/>
  <c r="AG230" i="3" s="1"/>
  <c r="AH230" i="3"/>
  <c r="AE231" i="3"/>
  <c r="AF231" i="3"/>
  <c r="AG231" i="3" s="1"/>
  <c r="AH231" i="3"/>
  <c r="AE232" i="3"/>
  <c r="AF232" i="3"/>
  <c r="AG232" i="3" s="1"/>
  <c r="AH232" i="3"/>
  <c r="AE233" i="3"/>
  <c r="AF233" i="3"/>
  <c r="AG233" i="3" s="1"/>
  <c r="AH233" i="3"/>
  <c r="AE234" i="3"/>
  <c r="AF234" i="3"/>
  <c r="AG234" i="3" s="1"/>
  <c r="AH234" i="3"/>
  <c r="AE235" i="3"/>
  <c r="AF235" i="3"/>
  <c r="AG235" i="3" s="1"/>
  <c r="AH235" i="3"/>
  <c r="AE236" i="3"/>
  <c r="AF236" i="3"/>
  <c r="AG236" i="3" s="1"/>
  <c r="AH236" i="3"/>
  <c r="AE237" i="3"/>
  <c r="AF237" i="3"/>
  <c r="AG237" i="3" s="1"/>
  <c r="AH237" i="3"/>
  <c r="AE238" i="3"/>
  <c r="AF238" i="3"/>
  <c r="AG238" i="3" s="1"/>
  <c r="AH238" i="3"/>
  <c r="AE239" i="3"/>
  <c r="AF239" i="3"/>
  <c r="AG239" i="3" s="1"/>
  <c r="AH239" i="3"/>
  <c r="AE240" i="3"/>
  <c r="AF240" i="3"/>
  <c r="AG240" i="3" s="1"/>
  <c r="AH240" i="3"/>
  <c r="AD212" i="3"/>
  <c r="AK212" i="3" s="1"/>
  <c r="AD211" i="3"/>
  <c r="AK211" i="3" s="1"/>
  <c r="AD214" i="3"/>
  <c r="AK214" i="3" s="1"/>
  <c r="AD220" i="3"/>
  <c r="AK220" i="3" s="1"/>
  <c r="AD221" i="3"/>
  <c r="AK221" i="3" s="1"/>
  <c r="AD216" i="3"/>
  <c r="AK216" i="3" s="1"/>
  <c r="AD217" i="3"/>
  <c r="AK217" i="3" s="1"/>
  <c r="AD222" i="3"/>
  <c r="AK222" i="3" s="1"/>
  <c r="AD213" i="3"/>
  <c r="AK213" i="3" s="1"/>
  <c r="AD223" i="3"/>
  <c r="AK223" i="3" s="1"/>
  <c r="H122" i="21" s="1"/>
  <c r="AD219" i="3"/>
  <c r="AK219" i="3" s="1"/>
  <c r="AD218" i="3"/>
  <c r="AK218" i="3" s="1"/>
  <c r="AD215" i="3"/>
  <c r="AK215" i="3" s="1"/>
  <c r="AD206" i="3"/>
  <c r="AK206" i="3" s="1"/>
  <c r="AD205" i="3"/>
  <c r="AK205" i="3" s="1"/>
  <c r="AD204" i="3"/>
  <c r="AK204" i="3" s="1"/>
  <c r="AD208" i="3"/>
  <c r="AK208" i="3" s="1"/>
  <c r="AD209" i="3"/>
  <c r="AK209" i="3" s="1"/>
  <c r="AD210" i="3"/>
  <c r="AK210" i="3" s="1"/>
  <c r="AD207" i="3"/>
  <c r="AK207" i="3" s="1"/>
  <c r="AD226" i="3"/>
  <c r="AK226" i="3" s="1"/>
  <c r="AD225" i="3"/>
  <c r="AK225" i="3" s="1"/>
  <c r="AD224" i="3"/>
  <c r="AK224" i="3" s="1"/>
  <c r="AD228" i="3"/>
  <c r="AK228" i="3" s="1"/>
  <c r="AD229" i="3"/>
  <c r="AK229" i="3" s="1"/>
  <c r="AD227" i="3"/>
  <c r="AK227" i="3" s="1"/>
  <c r="AD230" i="3"/>
  <c r="AK230" i="3" s="1"/>
  <c r="AD231" i="3"/>
  <c r="AK231" i="3" s="1"/>
  <c r="AD232" i="3"/>
  <c r="AK232" i="3" s="1"/>
  <c r="AD233" i="3"/>
  <c r="AK233" i="3" s="1"/>
  <c r="AD234" i="3"/>
  <c r="AK234" i="3" s="1"/>
  <c r="AD235" i="3"/>
  <c r="AK235" i="3" s="1"/>
  <c r="AD236" i="3"/>
  <c r="AK236" i="3" s="1"/>
  <c r="AD237" i="3"/>
  <c r="AK237" i="3" s="1"/>
  <c r="AD238" i="3"/>
  <c r="AK238" i="3" s="1"/>
  <c r="AD239" i="3"/>
  <c r="AK239" i="3" s="1"/>
  <c r="AD240" i="3"/>
  <c r="AK240" i="3" s="1"/>
  <c r="F127" i="12"/>
  <c r="G127" i="12"/>
  <c r="H127" i="12"/>
  <c r="I127" i="12"/>
  <c r="J127" i="12"/>
  <c r="F128" i="12"/>
  <c r="G128" i="12"/>
  <c r="H128" i="12"/>
  <c r="I128" i="12"/>
  <c r="J128" i="12"/>
  <c r="E97" i="15"/>
  <c r="F97" i="15"/>
  <c r="E98" i="15"/>
  <c r="F98" i="15"/>
  <c r="E99" i="15"/>
  <c r="F99" i="15"/>
  <c r="E100" i="15"/>
  <c r="F100" i="15"/>
  <c r="E101" i="15"/>
  <c r="F101" i="15"/>
  <c r="E102" i="15"/>
  <c r="F102" i="15"/>
  <c r="E103" i="15"/>
  <c r="F103" i="15"/>
  <c r="E104" i="15"/>
  <c r="F104" i="15"/>
  <c r="E105" i="15"/>
  <c r="F105" i="15"/>
  <c r="F106" i="15"/>
  <c r="F107" i="15"/>
  <c r="F108" i="15"/>
  <c r="F84" i="12"/>
  <c r="G84" i="12"/>
  <c r="H84" i="12"/>
  <c r="I84" i="12"/>
  <c r="J84" i="12"/>
  <c r="F85" i="12"/>
  <c r="G85" i="12"/>
  <c r="H85" i="12"/>
  <c r="I85" i="12"/>
  <c r="J85" i="12"/>
  <c r="F86" i="12"/>
  <c r="G86" i="12"/>
  <c r="H86" i="12"/>
  <c r="I86" i="12"/>
  <c r="J86" i="12"/>
  <c r="F87" i="12"/>
  <c r="G87" i="12"/>
  <c r="H87" i="12"/>
  <c r="I87" i="12"/>
  <c r="J87" i="12"/>
  <c r="F88" i="12"/>
  <c r="G88" i="12"/>
  <c r="H88" i="12"/>
  <c r="I88" i="12"/>
  <c r="J88" i="12"/>
  <c r="E90" i="15"/>
  <c r="E91" i="15"/>
  <c r="E92" i="15"/>
  <c r="E93" i="15"/>
  <c r="E94" i="15"/>
  <c r="E95" i="15"/>
  <c r="F95" i="15" s="1"/>
  <c r="E96" i="15"/>
  <c r="F96" i="15" s="1"/>
  <c r="F92" i="15"/>
  <c r="F93" i="15"/>
  <c r="F94" i="15"/>
  <c r="F26" i="12"/>
  <c r="G26" i="12"/>
  <c r="H26" i="12"/>
  <c r="I26" i="12"/>
  <c r="J26" i="12"/>
  <c r="F27" i="12"/>
  <c r="G27" i="12"/>
  <c r="H27" i="12"/>
  <c r="I27" i="12"/>
  <c r="J27" i="12"/>
  <c r="F28" i="12"/>
  <c r="G28" i="12"/>
  <c r="H28" i="12"/>
  <c r="I28" i="12"/>
  <c r="J28" i="12"/>
  <c r="F81" i="12"/>
  <c r="G81" i="12"/>
  <c r="H81" i="12"/>
  <c r="I81" i="12"/>
  <c r="J81" i="12"/>
  <c r="F82" i="12"/>
  <c r="G82" i="12"/>
  <c r="H82" i="12"/>
  <c r="I82" i="12"/>
  <c r="J82" i="12"/>
  <c r="F126" i="12"/>
  <c r="G126" i="12"/>
  <c r="H126" i="12"/>
  <c r="I126" i="12"/>
  <c r="J126" i="12"/>
  <c r="F168" i="12"/>
  <c r="G168" i="12"/>
  <c r="H168" i="12"/>
  <c r="I168" i="12"/>
  <c r="J168" i="12"/>
  <c r="F83" i="12"/>
  <c r="G83" i="12"/>
  <c r="H83" i="12"/>
  <c r="I83" i="12"/>
  <c r="J83" i="12"/>
  <c r="F124" i="12"/>
  <c r="F123" i="12"/>
  <c r="E82" i="15"/>
  <c r="E83" i="15"/>
  <c r="E84" i="15"/>
  <c r="E85" i="15"/>
  <c r="E86" i="15"/>
  <c r="E87" i="15"/>
  <c r="E88" i="15"/>
  <c r="E89" i="15"/>
  <c r="F91" i="15"/>
  <c r="F82" i="15"/>
  <c r="F83" i="15"/>
  <c r="F84" i="15"/>
  <c r="F85" i="15"/>
  <c r="F86" i="15"/>
  <c r="F87" i="15"/>
  <c r="F88" i="15"/>
  <c r="F89" i="15"/>
  <c r="F90" i="15"/>
  <c r="E79" i="15"/>
  <c r="E80" i="15"/>
  <c r="E81" i="15"/>
  <c r="F79" i="15"/>
  <c r="F80" i="15"/>
  <c r="F81" i="15"/>
  <c r="B92" i="21"/>
  <c r="B93" i="21"/>
  <c r="B94" i="21"/>
  <c r="B95" i="21"/>
  <c r="B96" i="21"/>
  <c r="B97" i="21"/>
  <c r="B98" i="21"/>
  <c r="B100" i="21"/>
  <c r="B101" i="21"/>
  <c r="B102" i="21"/>
  <c r="B103" i="21"/>
  <c r="B105" i="21"/>
  <c r="B106" i="21"/>
  <c r="B107" i="21"/>
  <c r="B108" i="21"/>
  <c r="B109" i="21"/>
  <c r="B110" i="21"/>
  <c r="B111" i="21"/>
  <c r="B112" i="21"/>
  <c r="B113" i="21"/>
  <c r="B114" i="21"/>
  <c r="B115" i="21"/>
  <c r="B116" i="21"/>
  <c r="B117" i="21"/>
  <c r="B118" i="21"/>
  <c r="B120" i="21"/>
  <c r="B121" i="21"/>
  <c r="B123" i="21"/>
  <c r="B104" i="21"/>
  <c r="B51" i="21"/>
  <c r="B67" i="21"/>
  <c r="B74" i="21"/>
  <c r="B75" i="21"/>
  <c r="B76" i="21"/>
  <c r="B78" i="21"/>
  <c r="B79" i="21"/>
  <c r="B80" i="21"/>
  <c r="B81" i="21"/>
  <c r="B82" i="21"/>
  <c r="B83" i="21"/>
  <c r="B84" i="21"/>
  <c r="B86" i="21"/>
  <c r="B87" i="21"/>
  <c r="B88" i="21"/>
  <c r="B89" i="21"/>
  <c r="B54" i="21"/>
  <c r="B55" i="21"/>
  <c r="B56" i="21"/>
  <c r="B57" i="21"/>
  <c r="B58" i="21"/>
  <c r="B59" i="21"/>
  <c r="B60" i="21"/>
  <c r="B61" i="21"/>
  <c r="B62" i="21"/>
  <c r="B64" i="21"/>
  <c r="B65" i="21"/>
  <c r="B68" i="21"/>
  <c r="B69" i="21"/>
  <c r="B70" i="21"/>
  <c r="B73" i="21"/>
  <c r="B33" i="21"/>
  <c r="B34" i="21"/>
  <c r="B35" i="21"/>
  <c r="B37" i="21"/>
  <c r="B38" i="21"/>
  <c r="B39" i="21"/>
  <c r="B40" i="21"/>
  <c r="B41" i="21"/>
  <c r="B42" i="21"/>
  <c r="B44" i="21"/>
  <c r="B45" i="21"/>
  <c r="B47" i="21"/>
  <c r="B48" i="21"/>
  <c r="B49" i="21"/>
  <c r="B50" i="21"/>
  <c r="B126" i="21"/>
  <c r="B7" i="21"/>
  <c r="B125" i="21"/>
  <c r="B8" i="21"/>
  <c r="B5" i="21"/>
  <c r="B28" i="21"/>
  <c r="B22" i="21"/>
  <c r="B23" i="21"/>
  <c r="B24" i="21"/>
  <c r="B20" i="21"/>
  <c r="B21" i="21"/>
  <c r="B11" i="21"/>
  <c r="B12" i="21"/>
  <c r="B13" i="21"/>
  <c r="B14" i="21"/>
  <c r="B15" i="21"/>
  <c r="B9" i="21"/>
  <c r="B53" i="21"/>
  <c r="B52" i="21"/>
  <c r="B32" i="21"/>
  <c r="B30" i="21"/>
  <c r="B29" i="21"/>
  <c r="B27" i="21"/>
  <c r="B26" i="21"/>
  <c r="B18" i="21"/>
  <c r="B17" i="21"/>
  <c r="B16" i="21"/>
  <c r="A9" i="21"/>
  <c r="A5" i="21"/>
  <c r="L5" i="21" s="1"/>
  <c r="A72" i="21"/>
  <c r="A43" i="21"/>
  <c r="A46" i="21"/>
  <c r="A66" i="21"/>
  <c r="A4" i="21"/>
  <c r="L4" i="21" s="1"/>
  <c r="A124" i="21"/>
  <c r="A36" i="21"/>
  <c r="A119" i="21"/>
  <c r="C119" i="21"/>
  <c r="A6" i="21"/>
  <c r="A19" i="21"/>
  <c r="L19" i="21" s="1"/>
  <c r="C19" i="21"/>
  <c r="A63" i="21"/>
  <c r="A91" i="21"/>
  <c r="L91" i="21" s="1"/>
  <c r="A25" i="21"/>
  <c r="A90" i="21"/>
  <c r="L90" i="21" s="1"/>
  <c r="A10" i="21"/>
  <c r="A31" i="21"/>
  <c r="A99" i="21"/>
  <c r="A71" i="21"/>
  <c r="L71" i="21" s="1"/>
  <c r="M71" i="21" s="1"/>
  <c r="A77" i="21"/>
  <c r="A85" i="21"/>
  <c r="A127" i="21"/>
  <c r="D127" i="21"/>
  <c r="A128" i="21"/>
  <c r="C128" i="21"/>
  <c r="A129" i="21"/>
  <c r="A130" i="21"/>
  <c r="A131" i="21"/>
  <c r="D131" i="21"/>
  <c r="A132" i="21"/>
  <c r="A133" i="21"/>
  <c r="C133" i="21"/>
  <c r="D133" i="21"/>
  <c r="A134" i="21"/>
  <c r="A135" i="21"/>
  <c r="A136" i="21"/>
  <c r="A137" i="21"/>
  <c r="A138" i="21"/>
  <c r="D138" i="21"/>
  <c r="A139" i="21"/>
  <c r="D139" i="21"/>
  <c r="A140" i="21"/>
  <c r="A141" i="21"/>
  <c r="A142" i="21"/>
  <c r="D142" i="21"/>
  <c r="A143" i="21"/>
  <c r="C143" i="21"/>
  <c r="D143" i="21"/>
  <c r="A144" i="21"/>
  <c r="A145" i="21"/>
  <c r="A146" i="21"/>
  <c r="A147" i="21"/>
  <c r="A148" i="21"/>
  <c r="D148" i="21"/>
  <c r="A149" i="21"/>
  <c r="A150" i="21"/>
  <c r="A151" i="21"/>
  <c r="A152" i="21"/>
  <c r="A153" i="21"/>
  <c r="A154" i="21"/>
  <c r="A155" i="21"/>
  <c r="A156" i="21"/>
  <c r="A157" i="21"/>
  <c r="A158" i="21"/>
  <c r="C158" i="21"/>
  <c r="A159" i="21"/>
  <c r="C159" i="21"/>
  <c r="A160" i="21"/>
  <c r="A161" i="21"/>
  <c r="A162" i="21"/>
  <c r="A163" i="21"/>
  <c r="A164" i="21"/>
  <c r="D164" i="21"/>
  <c r="A165" i="21"/>
  <c r="A166" i="21"/>
  <c r="A167" i="21"/>
  <c r="A168" i="21"/>
  <c r="A169" i="21"/>
  <c r="A170" i="21"/>
  <c r="C170" i="21"/>
  <c r="D170" i="21"/>
  <c r="A171" i="21"/>
  <c r="D171" i="21"/>
  <c r="A172" i="21"/>
  <c r="A173" i="21"/>
  <c r="A174" i="21"/>
  <c r="A175" i="21"/>
  <c r="A176" i="21"/>
  <c r="D176" i="21"/>
  <c r="A177" i="21"/>
  <c r="A178" i="21"/>
  <c r="C178" i="21"/>
  <c r="A179" i="21"/>
  <c r="A180" i="21"/>
  <c r="A181" i="21"/>
  <c r="A182" i="21"/>
  <c r="A183" i="21"/>
  <c r="A184" i="21"/>
  <c r="A185" i="21"/>
  <c r="A186" i="21"/>
  <c r="C186" i="21"/>
  <c r="A187" i="21"/>
  <c r="D187" i="21"/>
  <c r="A188" i="21"/>
  <c r="C188" i="21"/>
  <c r="D188" i="21"/>
  <c r="A189" i="21"/>
  <c r="A190" i="21"/>
  <c r="A191" i="21"/>
  <c r="A192" i="21"/>
  <c r="A193" i="21"/>
  <c r="A194" i="21"/>
  <c r="A195" i="21"/>
  <c r="A196" i="21"/>
  <c r="A197" i="21"/>
  <c r="A198" i="21"/>
  <c r="A199" i="21"/>
  <c r="A200" i="21"/>
  <c r="A201" i="21"/>
  <c r="A202" i="21"/>
  <c r="C202" i="21"/>
  <c r="A203" i="21"/>
  <c r="A204" i="21"/>
  <c r="A205" i="21"/>
  <c r="A206" i="21"/>
  <c r="A207" i="21"/>
  <c r="A209" i="21"/>
  <c r="A210" i="21"/>
  <c r="A211" i="21"/>
  <c r="A212" i="21"/>
  <c r="A213" i="21"/>
  <c r="E170" i="11"/>
  <c r="E169" i="11"/>
  <c r="E168" i="11"/>
  <c r="E167" i="11"/>
  <c r="E166" i="11"/>
  <c r="E165" i="11"/>
  <c r="E164" i="11"/>
  <c r="AD201" i="3"/>
  <c r="AE152" i="3"/>
  <c r="E67" i="15"/>
  <c r="E68" i="15"/>
  <c r="E69" i="15"/>
  <c r="E70" i="15"/>
  <c r="E71" i="15"/>
  <c r="F71" i="15" s="1"/>
  <c r="E72" i="15"/>
  <c r="F72" i="15" s="1"/>
  <c r="E73" i="15"/>
  <c r="F73" i="15" s="1"/>
  <c r="E74" i="15"/>
  <c r="F74" i="15" s="1"/>
  <c r="E75" i="15"/>
  <c r="F75" i="15" s="1"/>
  <c r="E76" i="15"/>
  <c r="F76" i="15" s="1"/>
  <c r="E77" i="15"/>
  <c r="F77" i="15" s="1"/>
  <c r="E78" i="15"/>
  <c r="F78" i="15" s="1"/>
  <c r="A98" i="21"/>
  <c r="L98" i="21" s="1"/>
  <c r="A67" i="21"/>
  <c r="L67" i="21" s="1"/>
  <c r="A51" i="21"/>
  <c r="L51" i="21" s="1"/>
  <c r="A104" i="21"/>
  <c r="L104" i="21" s="1"/>
  <c r="A123" i="21"/>
  <c r="A121" i="21"/>
  <c r="A120" i="21"/>
  <c r="A118" i="21"/>
  <c r="A117" i="21"/>
  <c r="A116" i="21"/>
  <c r="A115" i="21"/>
  <c r="A114" i="21"/>
  <c r="A113" i="21"/>
  <c r="A112" i="21"/>
  <c r="L112" i="21" s="1"/>
  <c r="A111" i="21"/>
  <c r="L111" i="21" s="1"/>
  <c r="K111" i="21" s="1"/>
  <c r="A110" i="21"/>
  <c r="L110" i="21" s="1"/>
  <c r="M110" i="21" s="1"/>
  <c r="A109" i="21"/>
  <c r="L109" i="21" s="1"/>
  <c r="K109" i="21" s="1"/>
  <c r="A108" i="21"/>
  <c r="L108" i="21" s="1"/>
  <c r="A107" i="21"/>
  <c r="L107" i="21" s="1"/>
  <c r="A106" i="21"/>
  <c r="L106" i="21" s="1"/>
  <c r="A105" i="21"/>
  <c r="L105" i="21" s="1"/>
  <c r="A103" i="21"/>
  <c r="L103" i="21" s="1"/>
  <c r="A102" i="21"/>
  <c r="L102" i="21" s="1"/>
  <c r="A101" i="21"/>
  <c r="L101" i="21" s="1"/>
  <c r="A100" i="21"/>
  <c r="A97" i="21"/>
  <c r="L97" i="21" s="1"/>
  <c r="A96" i="21"/>
  <c r="A95" i="21"/>
  <c r="L95" i="21" s="1"/>
  <c r="A94" i="21"/>
  <c r="L94" i="21" s="1"/>
  <c r="A93" i="21"/>
  <c r="L93" i="21" s="1"/>
  <c r="A92" i="21"/>
  <c r="A89" i="21"/>
  <c r="L89" i="21" s="1"/>
  <c r="A88" i="21"/>
  <c r="L88" i="21" s="1"/>
  <c r="A87" i="21"/>
  <c r="L87" i="21" s="1"/>
  <c r="A86" i="21"/>
  <c r="L86" i="21" s="1"/>
  <c r="A84" i="21"/>
  <c r="L84" i="21" s="1"/>
  <c r="A83" i="21"/>
  <c r="A82" i="21"/>
  <c r="L82" i="21" s="1"/>
  <c r="A81" i="21"/>
  <c r="L81" i="21" s="1"/>
  <c r="A80" i="21"/>
  <c r="L80" i="21" s="1"/>
  <c r="M80" i="21" s="1"/>
  <c r="A79" i="21"/>
  <c r="L79" i="21" s="1"/>
  <c r="K79" i="21" s="1"/>
  <c r="A78" i="21"/>
  <c r="L78" i="21" s="1"/>
  <c r="K78" i="21" s="1"/>
  <c r="A76" i="21"/>
  <c r="A75" i="21"/>
  <c r="A74" i="21"/>
  <c r="L74" i="21" s="1"/>
  <c r="A73" i="21"/>
  <c r="L73" i="21" s="1"/>
  <c r="A70" i="21"/>
  <c r="A69" i="21"/>
  <c r="L69" i="21" s="1"/>
  <c r="K69" i="21" s="1"/>
  <c r="A68" i="21"/>
  <c r="L68" i="21" s="1"/>
  <c r="M68" i="21" s="1"/>
  <c r="A65" i="21"/>
  <c r="A64" i="21"/>
  <c r="L64" i="21" s="1"/>
  <c r="A62" i="21"/>
  <c r="A61" i="21"/>
  <c r="L61" i="21" s="1"/>
  <c r="K61" i="21" s="1"/>
  <c r="A60" i="21"/>
  <c r="L60" i="21" s="1"/>
  <c r="A59" i="21"/>
  <c r="L59" i="21" s="1"/>
  <c r="M59" i="21" s="1"/>
  <c r="A58" i="21"/>
  <c r="L58" i="21" s="1"/>
  <c r="A57" i="21"/>
  <c r="L57" i="21" s="1"/>
  <c r="A56" i="21"/>
  <c r="L56" i="21" s="1"/>
  <c r="M56" i="21" s="1"/>
  <c r="A55" i="21"/>
  <c r="L55" i="21" s="1"/>
  <c r="A54" i="21"/>
  <c r="L54" i="21" s="1"/>
  <c r="K54" i="21" s="1"/>
  <c r="A53" i="21"/>
  <c r="A52" i="21"/>
  <c r="A126" i="21"/>
  <c r="A50" i="21"/>
  <c r="L50" i="21" s="1"/>
  <c r="M50" i="21" s="1"/>
  <c r="A49" i="21"/>
  <c r="L49" i="21" s="1"/>
  <c r="K49" i="21" s="1"/>
  <c r="A48" i="21"/>
  <c r="L48" i="21" s="1"/>
  <c r="A47" i="21"/>
  <c r="A45" i="21"/>
  <c r="L45" i="21" s="1"/>
  <c r="K45" i="21" s="1"/>
  <c r="A44" i="21"/>
  <c r="A42" i="21"/>
  <c r="L42" i="21" s="1"/>
  <c r="A41" i="21"/>
  <c r="L41" i="21" s="1"/>
  <c r="M41" i="21" s="1"/>
  <c r="A40" i="21"/>
  <c r="A39" i="21"/>
  <c r="L39" i="21" s="1"/>
  <c r="K39" i="21" s="1"/>
  <c r="A38" i="21"/>
  <c r="A37" i="21"/>
  <c r="L37" i="21" s="1"/>
  <c r="K37" i="21" s="1"/>
  <c r="A35" i="21"/>
  <c r="L35" i="21" s="1"/>
  <c r="M35" i="21" s="1"/>
  <c r="A34" i="21"/>
  <c r="A33" i="21"/>
  <c r="L33" i="21" s="1"/>
  <c r="A32" i="21"/>
  <c r="A30" i="21"/>
  <c r="A29" i="21"/>
  <c r="L29" i="21" s="1"/>
  <c r="M29" i="21" s="1"/>
  <c r="A28" i="21"/>
  <c r="L28" i="21" s="1"/>
  <c r="K28" i="21" s="1"/>
  <c r="A27" i="21"/>
  <c r="L27" i="21" s="1"/>
  <c r="A26" i="21"/>
  <c r="L26" i="21" s="1"/>
  <c r="A24" i="21"/>
  <c r="A23" i="21"/>
  <c r="L23" i="21" s="1"/>
  <c r="A22" i="21"/>
  <c r="A21" i="21"/>
  <c r="L21" i="21" s="1"/>
  <c r="A20" i="21"/>
  <c r="L20" i="21" s="1"/>
  <c r="M20" i="21" s="1"/>
  <c r="A18" i="21"/>
  <c r="L18" i="21" s="1"/>
  <c r="K18" i="21" s="1"/>
  <c r="A17" i="21"/>
  <c r="A16" i="21"/>
  <c r="A15" i="21"/>
  <c r="L15" i="21" s="1"/>
  <c r="A14" i="21"/>
  <c r="L14" i="21" s="1"/>
  <c r="M14" i="21" s="1"/>
  <c r="A13" i="21"/>
  <c r="L13" i="21" s="1"/>
  <c r="K13" i="21" s="1"/>
  <c r="A12" i="21"/>
  <c r="L12" i="21" s="1"/>
  <c r="A11" i="21"/>
  <c r="A8" i="21"/>
  <c r="L8" i="21" s="1"/>
  <c r="A125" i="21"/>
  <c r="A7" i="21"/>
  <c r="L7" i="21" s="1"/>
  <c r="C1" i="21"/>
  <c r="F129" i="12"/>
  <c r="G129" i="12"/>
  <c r="H129" i="12"/>
  <c r="I129" i="12"/>
  <c r="J129" i="12"/>
  <c r="F154" i="12"/>
  <c r="G154" i="12"/>
  <c r="H154" i="12"/>
  <c r="I154" i="12"/>
  <c r="J154" i="12"/>
  <c r="F90" i="12"/>
  <c r="G90" i="12"/>
  <c r="H90" i="12"/>
  <c r="I90" i="12"/>
  <c r="J90" i="12"/>
  <c r="F149" i="12"/>
  <c r="G149" i="12"/>
  <c r="H149" i="12"/>
  <c r="I149" i="12"/>
  <c r="J149" i="12"/>
  <c r="F150" i="12"/>
  <c r="G150" i="12"/>
  <c r="H150" i="12"/>
  <c r="I150" i="12"/>
  <c r="J150" i="12"/>
  <c r="F89" i="12"/>
  <c r="G89" i="12"/>
  <c r="H89" i="12"/>
  <c r="I89" i="12"/>
  <c r="J89" i="12"/>
  <c r="F94" i="12"/>
  <c r="G94" i="12"/>
  <c r="H94" i="12"/>
  <c r="I94" i="12"/>
  <c r="J94" i="12"/>
  <c r="F165" i="12"/>
  <c r="G165" i="12"/>
  <c r="H165" i="12"/>
  <c r="I165" i="12"/>
  <c r="J165" i="12"/>
  <c r="F136" i="12"/>
  <c r="G136" i="12"/>
  <c r="H136" i="12"/>
  <c r="I136" i="12"/>
  <c r="J136" i="12"/>
  <c r="F130" i="12"/>
  <c r="G130" i="12"/>
  <c r="H130" i="12"/>
  <c r="I130" i="12"/>
  <c r="J130" i="12"/>
  <c r="F155" i="12"/>
  <c r="G155" i="12"/>
  <c r="H155" i="12"/>
  <c r="I155" i="12"/>
  <c r="J155" i="12"/>
  <c r="F166" i="12"/>
  <c r="G166" i="12"/>
  <c r="H166" i="12"/>
  <c r="I166" i="12"/>
  <c r="J166" i="12"/>
  <c r="F137" i="12"/>
  <c r="G137" i="12"/>
  <c r="H137" i="12"/>
  <c r="I137" i="12"/>
  <c r="J137" i="12"/>
  <c r="F138" i="12"/>
  <c r="G138" i="12"/>
  <c r="H138" i="12"/>
  <c r="I138" i="12"/>
  <c r="J138" i="12"/>
  <c r="F122" i="12"/>
  <c r="G122" i="12"/>
  <c r="H122" i="12"/>
  <c r="I122" i="12"/>
  <c r="J122" i="12"/>
  <c r="F167" i="12"/>
  <c r="G167" i="12"/>
  <c r="H167" i="12"/>
  <c r="I167" i="12"/>
  <c r="J167" i="12"/>
  <c r="F139" i="12"/>
  <c r="G139" i="12"/>
  <c r="H139" i="12"/>
  <c r="I139" i="12"/>
  <c r="J139" i="12"/>
  <c r="F140" i="12"/>
  <c r="G140" i="12"/>
  <c r="H140" i="12"/>
  <c r="I140" i="12"/>
  <c r="J140" i="12"/>
  <c r="F141" i="12"/>
  <c r="G141" i="12"/>
  <c r="H141" i="12"/>
  <c r="I141" i="12"/>
  <c r="J141" i="12"/>
  <c r="F142" i="12"/>
  <c r="G142" i="12"/>
  <c r="H142" i="12"/>
  <c r="I142" i="12"/>
  <c r="J142" i="12"/>
  <c r="F143" i="12"/>
  <c r="G143" i="12"/>
  <c r="H143" i="12"/>
  <c r="I143" i="12"/>
  <c r="J143" i="12"/>
  <c r="F144" i="12"/>
  <c r="G144" i="12"/>
  <c r="H144" i="12"/>
  <c r="I144" i="12"/>
  <c r="J144" i="12"/>
  <c r="F145" i="12"/>
  <c r="G145" i="12"/>
  <c r="H145" i="12"/>
  <c r="I145" i="12"/>
  <c r="J145" i="12"/>
  <c r="F146" i="12"/>
  <c r="G146" i="12"/>
  <c r="H146" i="12"/>
  <c r="I146" i="12"/>
  <c r="J146" i="12"/>
  <c r="F131" i="12"/>
  <c r="G131" i="12"/>
  <c r="H131" i="12"/>
  <c r="I131" i="12"/>
  <c r="J131" i="12"/>
  <c r="F147" i="12"/>
  <c r="G147" i="12"/>
  <c r="H147" i="12"/>
  <c r="I147" i="12"/>
  <c r="J147" i="12"/>
  <c r="F148" i="12"/>
  <c r="G148" i="12"/>
  <c r="H148" i="12"/>
  <c r="I148" i="12"/>
  <c r="J148" i="12"/>
  <c r="F23" i="12"/>
  <c r="G23" i="12"/>
  <c r="H23" i="12"/>
  <c r="I23" i="12"/>
  <c r="J23" i="12"/>
  <c r="F79" i="12"/>
  <c r="G79" i="12"/>
  <c r="H79" i="12"/>
  <c r="I79" i="12"/>
  <c r="J79" i="12"/>
  <c r="G123" i="12"/>
  <c r="H123" i="12"/>
  <c r="I123" i="12"/>
  <c r="J123" i="12"/>
  <c r="G124" i="12"/>
  <c r="H124" i="12"/>
  <c r="I124" i="12"/>
  <c r="J124" i="12"/>
  <c r="F24" i="12"/>
  <c r="G24" i="12"/>
  <c r="H24" i="12"/>
  <c r="I24" i="12"/>
  <c r="J24" i="12"/>
  <c r="F125" i="12"/>
  <c r="G125" i="12"/>
  <c r="H125" i="12"/>
  <c r="I125" i="12"/>
  <c r="J125" i="12"/>
  <c r="F25" i="12"/>
  <c r="G25" i="12"/>
  <c r="H25" i="12"/>
  <c r="I25" i="12"/>
  <c r="J25" i="12"/>
  <c r="G164" i="12"/>
  <c r="H164" i="12"/>
  <c r="I164" i="12"/>
  <c r="J164" i="12"/>
  <c r="AF196" i="3"/>
  <c r="AF194" i="3"/>
  <c r="AF195" i="3"/>
  <c r="AG195" i="3" s="1"/>
  <c r="AF202" i="3"/>
  <c r="AG202" i="3" s="1"/>
  <c r="AF203" i="3"/>
  <c r="AG203" i="3" s="1"/>
  <c r="AF200" i="3"/>
  <c r="AG200" i="3" s="1"/>
  <c r="AF192" i="3"/>
  <c r="AG192" i="3" s="1"/>
  <c r="AF193" i="3"/>
  <c r="AG193" i="3" s="1"/>
  <c r="AF198" i="3"/>
  <c r="AG198" i="3" s="1"/>
  <c r="AF199" i="3"/>
  <c r="AG199" i="3" s="1"/>
  <c r="AF197" i="3"/>
  <c r="AG197" i="3" s="1"/>
  <c r="AF201" i="3"/>
  <c r="AG201" i="3" s="1"/>
  <c r="AF212" i="3"/>
  <c r="AG212" i="3" s="1"/>
  <c r="AF211" i="3"/>
  <c r="AG211" i="3" s="1"/>
  <c r="AF214" i="3"/>
  <c r="AG214" i="3" s="1"/>
  <c r="AF220" i="3"/>
  <c r="AG220" i="3" s="1"/>
  <c r="AF221" i="3"/>
  <c r="AF216" i="3"/>
  <c r="AG216" i="3" s="1"/>
  <c r="AF217" i="3"/>
  <c r="AF222" i="3"/>
  <c r="AG222" i="3" s="1"/>
  <c r="AF213" i="3"/>
  <c r="AG213" i="3" s="1"/>
  <c r="AF223" i="3"/>
  <c r="AG223" i="3" s="1"/>
  <c r="AF219" i="3"/>
  <c r="AG219" i="3" s="1"/>
  <c r="AF218" i="3"/>
  <c r="AG218" i="3" s="1"/>
  <c r="AF215" i="3"/>
  <c r="AG215" i="3" s="1"/>
  <c r="AF206" i="3"/>
  <c r="AG206" i="3" s="1"/>
  <c r="AF205" i="3"/>
  <c r="AG205" i="3" s="1"/>
  <c r="AF204" i="3"/>
  <c r="AG204" i="3" s="1"/>
  <c r="AF208" i="3"/>
  <c r="AG208" i="3" s="1"/>
  <c r="AF209" i="3"/>
  <c r="AG209" i="3" s="1"/>
  <c r="AF210" i="3"/>
  <c r="AG210" i="3" s="1"/>
  <c r="AF207" i="3"/>
  <c r="AG207" i="3" s="1"/>
  <c r="AF226" i="3"/>
  <c r="AG226" i="3" s="1"/>
  <c r="AF225" i="3"/>
  <c r="AF224" i="3"/>
  <c r="AG224" i="3" s="1"/>
  <c r="AF228" i="3"/>
  <c r="AG228" i="3" s="1"/>
  <c r="AF229" i="3"/>
  <c r="AG229" i="3" s="1"/>
  <c r="AF227" i="3"/>
  <c r="AG227" i="3" s="1"/>
  <c r="AF168" i="3"/>
  <c r="AF157" i="3"/>
  <c r="AF156" i="3"/>
  <c r="AG156" i="3" s="1"/>
  <c r="AF161" i="3"/>
  <c r="AG161" i="3" s="1"/>
  <c r="AF155" i="3"/>
  <c r="AF171" i="3"/>
  <c r="AF162" i="3"/>
  <c r="AG162" i="3" s="1"/>
  <c r="AF172" i="3"/>
  <c r="AG172" i="3" s="1"/>
  <c r="AF170" i="3"/>
  <c r="AG170" i="3" s="1"/>
  <c r="AF176" i="3"/>
  <c r="AG176" i="3" s="1"/>
  <c r="AF191" i="3"/>
  <c r="AG191" i="3" s="1"/>
  <c r="AF175" i="3"/>
  <c r="AG175" i="3" s="1"/>
  <c r="AF185" i="3"/>
  <c r="AG185" i="3" s="1"/>
  <c r="AF179" i="3"/>
  <c r="AG179" i="3" s="1"/>
  <c r="AF187" i="3"/>
  <c r="AF190" i="3"/>
  <c r="AG190" i="3" s="1"/>
  <c r="AF181" i="3"/>
  <c r="AG181" i="3" s="1"/>
  <c r="AF169" i="3"/>
  <c r="AG169" i="3" s="1"/>
  <c r="AF166" i="3"/>
  <c r="AG166" i="3" s="1"/>
  <c r="AF160" i="3"/>
  <c r="AF163" i="3"/>
  <c r="AG163" i="3" s="1"/>
  <c r="AF165" i="3"/>
  <c r="AF158" i="3"/>
  <c r="AG158" i="3" s="1"/>
  <c r="AF154" i="3"/>
  <c r="AF182" i="3"/>
  <c r="AG182" i="3" s="1"/>
  <c r="AF180" i="3"/>
  <c r="AG180" i="3" s="1"/>
  <c r="AF174" i="3"/>
  <c r="AG174" i="3" s="1"/>
  <c r="AF184" i="3"/>
  <c r="AG184" i="3" s="1"/>
  <c r="AF189" i="3"/>
  <c r="AG189" i="3" s="1"/>
  <c r="AF159" i="3"/>
  <c r="AG159" i="3" s="1"/>
  <c r="AF186" i="3"/>
  <c r="AG186" i="3" s="1"/>
  <c r="AF167" i="3"/>
  <c r="AG167" i="3" s="1"/>
  <c r="AF173" i="3"/>
  <c r="AG173" i="3" s="1"/>
  <c r="AF183" i="3"/>
  <c r="AG183" i="3" s="1"/>
  <c r="AF178" i="3"/>
  <c r="AG178" i="3" s="1"/>
  <c r="AF177" i="3"/>
  <c r="AG177" i="3" s="1"/>
  <c r="AF188" i="3"/>
  <c r="AG188" i="3" s="1"/>
  <c r="AF164" i="3"/>
  <c r="AE136" i="3"/>
  <c r="AE142" i="3"/>
  <c r="G56" i="12"/>
  <c r="H56" i="12"/>
  <c r="I56" i="12"/>
  <c r="J56" i="12"/>
  <c r="G66" i="12"/>
  <c r="H66" i="12"/>
  <c r="I66" i="12"/>
  <c r="J66" i="12"/>
  <c r="G70" i="12"/>
  <c r="H70" i="12"/>
  <c r="I70" i="12"/>
  <c r="J70" i="12"/>
  <c r="G163" i="12"/>
  <c r="H163" i="12"/>
  <c r="I163" i="12"/>
  <c r="J163" i="12"/>
  <c r="G151" i="12"/>
  <c r="H151" i="12"/>
  <c r="I151" i="12"/>
  <c r="J151" i="12"/>
  <c r="G152" i="12"/>
  <c r="H152" i="12"/>
  <c r="I152" i="12"/>
  <c r="J152" i="12"/>
  <c r="G32" i="12"/>
  <c r="H32" i="12"/>
  <c r="I32" i="12"/>
  <c r="J32" i="12"/>
  <c r="G153" i="12"/>
  <c r="H153" i="12"/>
  <c r="I153" i="12"/>
  <c r="J153" i="12"/>
  <c r="F56" i="12"/>
  <c r="F66" i="12"/>
  <c r="F70" i="12"/>
  <c r="F163" i="12"/>
  <c r="F151" i="12"/>
  <c r="F152" i="12"/>
  <c r="F32" i="12"/>
  <c r="F153" i="12"/>
  <c r="F164" i="12"/>
  <c r="F61" i="12"/>
  <c r="G61" i="12"/>
  <c r="H61" i="12"/>
  <c r="I61" i="12"/>
  <c r="J61" i="12"/>
  <c r="F97" i="12"/>
  <c r="AH152" i="3"/>
  <c r="AG152" i="3"/>
  <c r="AE131" i="3"/>
  <c r="AH148" i="3"/>
  <c r="AF148" i="3"/>
  <c r="AG148" i="3" s="1"/>
  <c r="AE148" i="3"/>
  <c r="J15" i="4"/>
  <c r="J16" i="4"/>
  <c r="J17" i="4"/>
  <c r="J18" i="4"/>
  <c r="J19" i="4"/>
  <c r="J21" i="4"/>
  <c r="J22" i="4"/>
  <c r="J23" i="4"/>
  <c r="J24" i="4"/>
  <c r="AF131" i="3"/>
  <c r="AG131" i="3" s="1"/>
  <c r="F118" i="12"/>
  <c r="F117" i="12"/>
  <c r="AG31" i="3"/>
  <c r="AG33" i="3"/>
  <c r="AG36" i="3"/>
  <c r="AG38" i="3"/>
  <c r="AG34" i="3"/>
  <c r="AG35" i="3"/>
  <c r="AG39" i="3"/>
  <c r="AG32" i="3"/>
  <c r="AG37" i="3"/>
  <c r="AG45" i="3"/>
  <c r="AG43" i="3"/>
  <c r="AG54" i="3"/>
  <c r="AG41" i="3"/>
  <c r="AG44" i="3"/>
  <c r="AG56" i="3"/>
  <c r="AG51" i="3"/>
  <c r="AG48" i="3"/>
  <c r="AG50" i="3"/>
  <c r="AG46" i="3"/>
  <c r="AG42" i="3"/>
  <c r="AG55" i="3"/>
  <c r="AG57" i="3"/>
  <c r="AG59" i="3"/>
  <c r="AG53" i="3"/>
  <c r="AG40" i="3"/>
  <c r="AG58" i="3"/>
  <c r="AG47" i="3"/>
  <c r="AG49" i="3"/>
  <c r="AG60" i="3"/>
  <c r="AG63" i="3"/>
  <c r="AG64" i="3"/>
  <c r="AG114" i="3"/>
  <c r="AG117" i="3"/>
  <c r="AG112" i="3"/>
  <c r="AG116" i="3"/>
  <c r="AG115" i="3"/>
  <c r="AG118" i="3"/>
  <c r="AG113" i="3"/>
  <c r="AG119" i="3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R167" i="5" s="1"/>
  <c r="A168" i="5"/>
  <c r="A169" i="5"/>
  <c r="A170" i="5"/>
  <c r="Q170" i="5" s="1"/>
  <c r="A171" i="5"/>
  <c r="A172" i="5"/>
  <c r="A173" i="5"/>
  <c r="A174" i="5"/>
  <c r="A175" i="5"/>
  <c r="R175" i="5" s="1"/>
  <c r="A176" i="5"/>
  <c r="A177" i="5"/>
  <c r="A178" i="5"/>
  <c r="Q178" i="5" s="1"/>
  <c r="A179" i="5"/>
  <c r="A180" i="5"/>
  <c r="A181" i="5"/>
  <c r="A182" i="5"/>
  <c r="A183" i="5"/>
  <c r="R183" i="5" s="1"/>
  <c r="A184" i="5"/>
  <c r="A185" i="5"/>
  <c r="A186" i="5"/>
  <c r="Q186" i="5" s="1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R242" i="5" s="1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72" i="5"/>
  <c r="A73" i="5"/>
  <c r="A74" i="5"/>
  <c r="A75" i="5"/>
  <c r="Q75" i="5" s="1"/>
  <c r="A76" i="5"/>
  <c r="E76" i="5" s="1"/>
  <c r="A77" i="5"/>
  <c r="E77" i="5" s="1"/>
  <c r="A78" i="5"/>
  <c r="Q78" i="5" s="1"/>
  <c r="A79" i="5"/>
  <c r="A80" i="5"/>
  <c r="Q80" i="5" s="1"/>
  <c r="A81" i="5"/>
  <c r="E81" i="5" s="1"/>
  <c r="A82" i="5"/>
  <c r="A83" i="5"/>
  <c r="A84" i="5"/>
  <c r="Q84" i="5" s="1"/>
  <c r="A85" i="5"/>
  <c r="E85" i="5" s="1"/>
  <c r="A86" i="5"/>
  <c r="A87" i="5"/>
  <c r="A88" i="5"/>
  <c r="D88" i="5" s="1" a="1"/>
  <c r="D88" i="5" s="1"/>
  <c r="A89" i="5"/>
  <c r="A90" i="5"/>
  <c r="A91" i="5"/>
  <c r="D91" i="5" s="1" a="1"/>
  <c r="D91" i="5" s="1"/>
  <c r="A92" i="5"/>
  <c r="R92" i="5" s="1"/>
  <c r="A93" i="5"/>
  <c r="Q93" i="5" s="1"/>
  <c r="A94" i="5"/>
  <c r="E94" i="5" s="1"/>
  <c r="A95" i="5"/>
  <c r="A96" i="5"/>
  <c r="E96" i="5" s="1"/>
  <c r="A97" i="5"/>
  <c r="A98" i="5"/>
  <c r="E98" i="5" s="1"/>
  <c r="A99" i="5"/>
  <c r="Q99" i="5" s="1"/>
  <c r="A100" i="5"/>
  <c r="A101" i="5"/>
  <c r="A102" i="5"/>
  <c r="Q102" i="5" s="1"/>
  <c r="A103" i="5"/>
  <c r="E103" i="5" s="1"/>
  <c r="A104" i="5"/>
  <c r="A105" i="5"/>
  <c r="R105" i="5" s="1"/>
  <c r="A106" i="5"/>
  <c r="R106" i="5" s="1"/>
  <c r="A107" i="5"/>
  <c r="Q107" i="5" s="1"/>
  <c r="A108" i="5"/>
  <c r="Q108" i="5" s="1"/>
  <c r="A109" i="5"/>
  <c r="E109" i="5" s="1"/>
  <c r="A110" i="5"/>
  <c r="Q110" i="5" s="1"/>
  <c r="A111" i="5"/>
  <c r="Q111" i="5" s="1"/>
  <c r="A112" i="5"/>
  <c r="R112" i="5" s="1"/>
  <c r="A113" i="5"/>
  <c r="Q113" i="5" s="1"/>
  <c r="A114" i="5"/>
  <c r="Q114" i="5" s="1"/>
  <c r="A115" i="5"/>
  <c r="Q115" i="5" s="1"/>
  <c r="A116" i="5"/>
  <c r="Q116" i="5" s="1"/>
  <c r="A117" i="5"/>
  <c r="Q117" i="5" s="1"/>
  <c r="A118" i="5"/>
  <c r="E118" i="5" s="1"/>
  <c r="A119" i="5"/>
  <c r="Q119" i="5" s="1"/>
  <c r="A120" i="5"/>
  <c r="Q120" i="5" s="1"/>
  <c r="A121" i="5"/>
  <c r="R121" i="5" s="1"/>
  <c r="A122" i="5"/>
  <c r="Q122" i="5" s="1"/>
  <c r="A123" i="5"/>
  <c r="E123" i="5" s="1"/>
  <c r="A124" i="5"/>
  <c r="Q124" i="5" s="1"/>
  <c r="A125" i="5"/>
  <c r="Q125" i="5" s="1"/>
  <c r="Q126" i="5"/>
  <c r="E127" i="5"/>
  <c r="A128" i="5"/>
  <c r="Q128" i="5" s="1"/>
  <c r="E74" i="5"/>
  <c r="Q74" i="5"/>
  <c r="E75" i="5"/>
  <c r="Q77" i="5"/>
  <c r="E78" i="5"/>
  <c r="E79" i="5"/>
  <c r="Q79" i="5"/>
  <c r="E82" i="5"/>
  <c r="Q82" i="5"/>
  <c r="E83" i="5"/>
  <c r="Q83" i="5"/>
  <c r="E84" i="5"/>
  <c r="R85" i="5"/>
  <c r="Q86" i="5"/>
  <c r="R86" i="5"/>
  <c r="E87" i="5"/>
  <c r="Q87" i="5"/>
  <c r="R87" i="5"/>
  <c r="R89" i="5"/>
  <c r="E90" i="5"/>
  <c r="Q90" i="5"/>
  <c r="R90" i="5"/>
  <c r="Q94" i="5"/>
  <c r="Q95" i="5"/>
  <c r="Q98" i="5"/>
  <c r="E102" i="5"/>
  <c r="E105" i="5"/>
  <c r="Q105" i="5"/>
  <c r="E111" i="5"/>
  <c r="E114" i="5"/>
  <c r="R117" i="5"/>
  <c r="E122" i="5"/>
  <c r="E126" i="5"/>
  <c r="R126" i="5"/>
  <c r="E129" i="5"/>
  <c r="Q129" i="5"/>
  <c r="R129" i="5"/>
  <c r="E130" i="5"/>
  <c r="R130" i="5"/>
  <c r="E131" i="5"/>
  <c r="Q131" i="5"/>
  <c r="R131" i="5"/>
  <c r="E132" i="5"/>
  <c r="Q132" i="5"/>
  <c r="R132" i="5"/>
  <c r="Q133" i="5"/>
  <c r="R133" i="5"/>
  <c r="E134" i="5"/>
  <c r="Q134" i="5"/>
  <c r="R134" i="5"/>
  <c r="E135" i="5"/>
  <c r="Q135" i="5"/>
  <c r="E136" i="5"/>
  <c r="Q136" i="5"/>
  <c r="R136" i="5"/>
  <c r="E137" i="5"/>
  <c r="Q137" i="5"/>
  <c r="R137" i="5"/>
  <c r="E138" i="5"/>
  <c r="R138" i="5"/>
  <c r="E139" i="5"/>
  <c r="Q139" i="5"/>
  <c r="R139" i="5"/>
  <c r="E140" i="5"/>
  <c r="Q140" i="5"/>
  <c r="R140" i="5"/>
  <c r="Q141" i="5"/>
  <c r="R141" i="5"/>
  <c r="E142" i="5"/>
  <c r="Q142" i="5"/>
  <c r="R142" i="5"/>
  <c r="E143" i="5"/>
  <c r="Q143" i="5"/>
  <c r="E144" i="5"/>
  <c r="Q144" i="5"/>
  <c r="R144" i="5"/>
  <c r="E145" i="5"/>
  <c r="Q145" i="5"/>
  <c r="R145" i="5"/>
  <c r="E146" i="5"/>
  <c r="R146" i="5"/>
  <c r="E147" i="5"/>
  <c r="Q147" i="5"/>
  <c r="R147" i="5"/>
  <c r="E148" i="5"/>
  <c r="Q148" i="5"/>
  <c r="R148" i="5"/>
  <c r="Q149" i="5"/>
  <c r="R149" i="5"/>
  <c r="E150" i="5"/>
  <c r="Q150" i="5"/>
  <c r="R150" i="5"/>
  <c r="E151" i="5"/>
  <c r="Q151" i="5"/>
  <c r="E152" i="5"/>
  <c r="Q152" i="5"/>
  <c r="R152" i="5"/>
  <c r="Q153" i="5"/>
  <c r="R153" i="5"/>
  <c r="E154" i="5"/>
  <c r="R154" i="5"/>
  <c r="E155" i="5"/>
  <c r="Q155" i="5"/>
  <c r="R155" i="5"/>
  <c r="E156" i="5"/>
  <c r="Q156" i="5"/>
  <c r="R156" i="5"/>
  <c r="Q157" i="5"/>
  <c r="R157" i="5"/>
  <c r="E158" i="5"/>
  <c r="Q158" i="5"/>
  <c r="R158" i="5"/>
  <c r="E159" i="5"/>
  <c r="Q159" i="5"/>
  <c r="E160" i="5"/>
  <c r="Q160" i="5"/>
  <c r="R160" i="5"/>
  <c r="E161" i="5"/>
  <c r="Q161" i="5"/>
  <c r="E162" i="5"/>
  <c r="R162" i="5"/>
  <c r="E163" i="5"/>
  <c r="Q163" i="5"/>
  <c r="R163" i="5"/>
  <c r="E164" i="5"/>
  <c r="Q164" i="5"/>
  <c r="R164" i="5"/>
  <c r="Q165" i="5"/>
  <c r="R165" i="5"/>
  <c r="E166" i="5"/>
  <c r="Q166" i="5"/>
  <c r="R166" i="5"/>
  <c r="E167" i="5"/>
  <c r="Q167" i="5"/>
  <c r="E168" i="5"/>
  <c r="Q168" i="5"/>
  <c r="R168" i="5"/>
  <c r="E169" i="5"/>
  <c r="Q169" i="5"/>
  <c r="R169" i="5"/>
  <c r="E170" i="5"/>
  <c r="R170" i="5"/>
  <c r="E171" i="5"/>
  <c r="Q171" i="5"/>
  <c r="R171" i="5"/>
  <c r="E172" i="5"/>
  <c r="Q172" i="5"/>
  <c r="R172" i="5"/>
  <c r="Q173" i="5"/>
  <c r="R173" i="5"/>
  <c r="E174" i="5"/>
  <c r="Q174" i="5"/>
  <c r="R174" i="5"/>
  <c r="E175" i="5"/>
  <c r="Q175" i="5"/>
  <c r="E176" i="5"/>
  <c r="Q176" i="5"/>
  <c r="R176" i="5"/>
  <c r="E177" i="5"/>
  <c r="Q177" i="5"/>
  <c r="R177" i="5"/>
  <c r="E178" i="5"/>
  <c r="R178" i="5"/>
  <c r="E179" i="5"/>
  <c r="Q179" i="5"/>
  <c r="R179" i="5"/>
  <c r="E180" i="5"/>
  <c r="Q180" i="5"/>
  <c r="R180" i="5"/>
  <c r="Q181" i="5"/>
  <c r="R181" i="5"/>
  <c r="E182" i="5"/>
  <c r="Q182" i="5"/>
  <c r="R182" i="5"/>
  <c r="E183" i="5"/>
  <c r="Q183" i="5"/>
  <c r="E184" i="5"/>
  <c r="Q184" i="5"/>
  <c r="R184" i="5"/>
  <c r="E185" i="5"/>
  <c r="Q185" i="5"/>
  <c r="R185" i="5"/>
  <c r="E186" i="5"/>
  <c r="R186" i="5"/>
  <c r="E187" i="5"/>
  <c r="Q187" i="5"/>
  <c r="R187" i="5"/>
  <c r="E188" i="5"/>
  <c r="Q188" i="5"/>
  <c r="R188" i="5"/>
  <c r="E190" i="5"/>
  <c r="Q190" i="5"/>
  <c r="R190" i="5"/>
  <c r="E191" i="5"/>
  <c r="Q191" i="5"/>
  <c r="R191" i="5"/>
  <c r="R192" i="5"/>
  <c r="E193" i="5"/>
  <c r="Q193" i="5"/>
  <c r="R193" i="5"/>
  <c r="E194" i="5"/>
  <c r="Q194" i="5"/>
  <c r="E195" i="5"/>
  <c r="Q195" i="5"/>
  <c r="R195" i="5"/>
  <c r="E196" i="5"/>
  <c r="Q196" i="5"/>
  <c r="R196" i="5"/>
  <c r="E197" i="5"/>
  <c r="Q197" i="5"/>
  <c r="R197" i="5"/>
  <c r="E198" i="5"/>
  <c r="E199" i="5"/>
  <c r="Q199" i="5"/>
  <c r="R199" i="5"/>
  <c r="E200" i="5"/>
  <c r="Q200" i="5"/>
  <c r="R200" i="5"/>
  <c r="R201" i="5"/>
  <c r="E202" i="5"/>
  <c r="Q202" i="5"/>
  <c r="R202" i="5"/>
  <c r="E203" i="5"/>
  <c r="Q203" i="5"/>
  <c r="R203" i="5"/>
  <c r="E204" i="5"/>
  <c r="Q204" i="5"/>
  <c r="R204" i="5"/>
  <c r="E205" i="5"/>
  <c r="Q205" i="5"/>
  <c r="R205" i="5"/>
  <c r="E206" i="5"/>
  <c r="Q206" i="5"/>
  <c r="R206" i="5"/>
  <c r="E207" i="5"/>
  <c r="Q207" i="5"/>
  <c r="R207" i="5"/>
  <c r="E208" i="5"/>
  <c r="Q208" i="5"/>
  <c r="R208" i="5"/>
  <c r="E209" i="5"/>
  <c r="Q209" i="5"/>
  <c r="R209" i="5"/>
  <c r="E210" i="5"/>
  <c r="Q210" i="5"/>
  <c r="R210" i="5"/>
  <c r="E211" i="5"/>
  <c r="Q211" i="5"/>
  <c r="R211" i="5"/>
  <c r="E212" i="5"/>
  <c r="Q212" i="5"/>
  <c r="R212" i="5"/>
  <c r="E214" i="5"/>
  <c r="Q214" i="5"/>
  <c r="R214" i="5"/>
  <c r="E215" i="5"/>
  <c r="Q215" i="5"/>
  <c r="R215" i="5"/>
  <c r="R216" i="5"/>
  <c r="E217" i="5"/>
  <c r="Q217" i="5"/>
  <c r="R217" i="5"/>
  <c r="E218" i="5"/>
  <c r="Q218" i="5"/>
  <c r="R218" i="5"/>
  <c r="E219" i="5"/>
  <c r="Q219" i="5"/>
  <c r="R219" i="5"/>
  <c r="E220" i="5"/>
  <c r="Q220" i="5"/>
  <c r="R220" i="5"/>
  <c r="E222" i="5"/>
  <c r="Q222" i="5"/>
  <c r="R222" i="5"/>
  <c r="E223" i="5"/>
  <c r="Q223" i="5"/>
  <c r="R223" i="5"/>
  <c r="R224" i="5"/>
  <c r="E225" i="5"/>
  <c r="Q225" i="5"/>
  <c r="R225" i="5"/>
  <c r="E226" i="5"/>
  <c r="Q226" i="5"/>
  <c r="E227" i="5"/>
  <c r="Q227" i="5"/>
  <c r="R227" i="5"/>
  <c r="E228" i="5"/>
  <c r="Q228" i="5"/>
  <c r="R228" i="5"/>
  <c r="E229" i="5"/>
  <c r="Q229" i="5"/>
  <c r="R229" i="5"/>
  <c r="E230" i="5"/>
  <c r="R230" i="5"/>
  <c r="E231" i="5"/>
  <c r="Q231" i="5"/>
  <c r="R231" i="5"/>
  <c r="E232" i="5"/>
  <c r="Q232" i="5"/>
  <c r="R232" i="5"/>
  <c r="Q233" i="5"/>
  <c r="R233" i="5"/>
  <c r="E234" i="5"/>
  <c r="Q234" i="5"/>
  <c r="E235" i="5"/>
  <c r="Q235" i="5"/>
  <c r="R235" i="5"/>
  <c r="E236" i="5"/>
  <c r="Q236" i="5"/>
  <c r="R236" i="5"/>
  <c r="E237" i="5"/>
  <c r="R237" i="5"/>
  <c r="E238" i="5"/>
  <c r="Q238" i="5"/>
  <c r="R238" i="5"/>
  <c r="E239" i="5"/>
  <c r="Q239" i="5"/>
  <c r="R239" i="5"/>
  <c r="Q240" i="5"/>
  <c r="R240" i="5"/>
  <c r="E241" i="5"/>
  <c r="Q241" i="5"/>
  <c r="R241" i="5"/>
  <c r="E242" i="5"/>
  <c r="Q242" i="5"/>
  <c r="E243" i="5"/>
  <c r="Q243" i="5"/>
  <c r="R243" i="5"/>
  <c r="E244" i="5"/>
  <c r="Q244" i="5"/>
  <c r="R244" i="5"/>
  <c r="E245" i="5"/>
  <c r="E246" i="5"/>
  <c r="Q246" i="5"/>
  <c r="R246" i="5"/>
  <c r="E247" i="5"/>
  <c r="Q247" i="5"/>
  <c r="R247" i="5"/>
  <c r="R248" i="5"/>
  <c r="E249" i="5"/>
  <c r="Q249" i="5"/>
  <c r="R249" i="5"/>
  <c r="E250" i="5"/>
  <c r="Q250" i="5"/>
  <c r="R250" i="5"/>
  <c r="E251" i="5"/>
  <c r="Q251" i="5"/>
  <c r="R251" i="5"/>
  <c r="E252" i="5"/>
  <c r="Q252" i="5"/>
  <c r="R252" i="5"/>
  <c r="E254" i="5"/>
  <c r="Q254" i="5"/>
  <c r="R254" i="5"/>
  <c r="E255" i="5"/>
  <c r="Q255" i="5"/>
  <c r="R255" i="5"/>
  <c r="R256" i="5"/>
  <c r="E257" i="5"/>
  <c r="Q257" i="5"/>
  <c r="R257" i="5"/>
  <c r="E258" i="5"/>
  <c r="Q258" i="5"/>
  <c r="R258" i="5"/>
  <c r="E259" i="5"/>
  <c r="Q259" i="5"/>
  <c r="R259" i="5"/>
  <c r="E260" i="5"/>
  <c r="Q260" i="5"/>
  <c r="R260" i="5"/>
  <c r="E261" i="5"/>
  <c r="Q261" i="5"/>
  <c r="R261" i="5"/>
  <c r="E262" i="5"/>
  <c r="R262" i="5"/>
  <c r="E263" i="5"/>
  <c r="Q263" i="5"/>
  <c r="R263" i="5"/>
  <c r="E264" i="5"/>
  <c r="Q264" i="5"/>
  <c r="R264" i="5"/>
  <c r="Q265" i="5"/>
  <c r="R265" i="5"/>
  <c r="E266" i="5"/>
  <c r="Q266" i="5"/>
  <c r="E267" i="5"/>
  <c r="Q267" i="5"/>
  <c r="R267" i="5"/>
  <c r="E268" i="5"/>
  <c r="Q268" i="5"/>
  <c r="R268" i="5"/>
  <c r="E269" i="5"/>
  <c r="R269" i="5"/>
  <c r="E270" i="5"/>
  <c r="Q270" i="5"/>
  <c r="R270" i="5"/>
  <c r="E271" i="5"/>
  <c r="Q271" i="5"/>
  <c r="R271" i="5"/>
  <c r="Q272" i="5"/>
  <c r="R272" i="5"/>
  <c r="E273" i="5"/>
  <c r="Q273" i="5"/>
  <c r="R273" i="5"/>
  <c r="E274" i="5"/>
  <c r="Q274" i="5"/>
  <c r="R274" i="5"/>
  <c r="E275" i="5"/>
  <c r="Q275" i="5"/>
  <c r="R275" i="5"/>
  <c r="E276" i="5"/>
  <c r="Q276" i="5"/>
  <c r="R276" i="5"/>
  <c r="E277" i="5"/>
  <c r="R277" i="5"/>
  <c r="E278" i="5"/>
  <c r="Q278" i="5"/>
  <c r="R278" i="5"/>
  <c r="E279" i="5"/>
  <c r="Q279" i="5"/>
  <c r="R279" i="5"/>
  <c r="Q280" i="5"/>
  <c r="R280" i="5"/>
  <c r="E281" i="5"/>
  <c r="Q281" i="5"/>
  <c r="R281" i="5"/>
  <c r="E282" i="5"/>
  <c r="Q282" i="5"/>
  <c r="R282" i="5"/>
  <c r="E283" i="5"/>
  <c r="Q283" i="5"/>
  <c r="R283" i="5"/>
  <c r="E284" i="5"/>
  <c r="Q284" i="5"/>
  <c r="R284" i="5"/>
  <c r="E286" i="5"/>
  <c r="Q286" i="5"/>
  <c r="R286" i="5"/>
  <c r="E287" i="5"/>
  <c r="Q287" i="5"/>
  <c r="R287" i="5"/>
  <c r="R288" i="5"/>
  <c r="E289" i="5"/>
  <c r="Q289" i="5"/>
  <c r="R289" i="5"/>
  <c r="E290" i="5"/>
  <c r="Q290" i="5"/>
  <c r="R290" i="5"/>
  <c r="E291" i="5"/>
  <c r="Q291" i="5"/>
  <c r="R291" i="5"/>
  <c r="E292" i="5"/>
  <c r="Q292" i="5"/>
  <c r="R292" i="5"/>
  <c r="E293" i="5"/>
  <c r="Q293" i="5"/>
  <c r="R293" i="5"/>
  <c r="E294" i="5"/>
  <c r="Q294" i="5"/>
  <c r="R294" i="5"/>
  <c r="E295" i="5"/>
  <c r="Q295" i="5"/>
  <c r="R295" i="5"/>
  <c r="E296" i="5"/>
  <c r="Q296" i="5"/>
  <c r="R296" i="5"/>
  <c r="E297" i="5"/>
  <c r="Q297" i="5"/>
  <c r="R297" i="5"/>
  <c r="E298" i="5"/>
  <c r="Q298" i="5"/>
  <c r="E299" i="5"/>
  <c r="Q299" i="5"/>
  <c r="R299" i="5"/>
  <c r="E300" i="5"/>
  <c r="Q300" i="5"/>
  <c r="R300" i="5"/>
  <c r="E301" i="5"/>
  <c r="Q301" i="5"/>
  <c r="R301" i="5"/>
  <c r="E302" i="5"/>
  <c r="Q302" i="5"/>
  <c r="R302" i="5"/>
  <c r="E303" i="5"/>
  <c r="Q303" i="5"/>
  <c r="R303" i="5"/>
  <c r="E304" i="5"/>
  <c r="Q304" i="5"/>
  <c r="R304" i="5"/>
  <c r="E305" i="5"/>
  <c r="Q305" i="5"/>
  <c r="R305" i="5"/>
  <c r="E306" i="5"/>
  <c r="Q306" i="5"/>
  <c r="R306" i="5"/>
  <c r="E307" i="5"/>
  <c r="Q307" i="5"/>
  <c r="R307" i="5"/>
  <c r="E308" i="5"/>
  <c r="Q308" i="5"/>
  <c r="R308" i="5"/>
  <c r="E309" i="5"/>
  <c r="R309" i="5"/>
  <c r="E310" i="5"/>
  <c r="Q310" i="5"/>
  <c r="R310" i="5"/>
  <c r="E311" i="5"/>
  <c r="Q311" i="5"/>
  <c r="R311" i="5"/>
  <c r="Q312" i="5"/>
  <c r="R312" i="5"/>
  <c r="E313" i="5"/>
  <c r="Q313" i="5"/>
  <c r="R313" i="5"/>
  <c r="E314" i="5"/>
  <c r="Q314" i="5"/>
  <c r="R314" i="5"/>
  <c r="E315" i="5"/>
  <c r="Q315" i="5"/>
  <c r="R315" i="5"/>
  <c r="E316" i="5"/>
  <c r="Q316" i="5"/>
  <c r="R316" i="5"/>
  <c r="C7" i="19"/>
  <c r="B7" i="19"/>
  <c r="B8" i="19" s="1"/>
  <c r="B9" i="19" s="1"/>
  <c r="B10" i="19" s="1"/>
  <c r="B11" i="19" s="1"/>
  <c r="B12" i="19" s="1"/>
  <c r="B13" i="19" s="1"/>
  <c r="B14" i="19" s="1"/>
  <c r="B15" i="19" s="1"/>
  <c r="B16" i="19" s="1"/>
  <c r="B17" i="19" s="1"/>
  <c r="B18" i="19" s="1"/>
  <c r="AH131" i="3"/>
  <c r="AE134" i="3"/>
  <c r="AF134" i="3"/>
  <c r="AG134" i="3" s="1"/>
  <c r="AH134" i="3"/>
  <c r="AE129" i="3"/>
  <c r="AF129" i="3"/>
  <c r="AG129" i="3" s="1"/>
  <c r="AH129" i="3"/>
  <c r="AE132" i="3"/>
  <c r="AF132" i="3"/>
  <c r="AG132" i="3" s="1"/>
  <c r="AH132" i="3"/>
  <c r="AE133" i="3"/>
  <c r="AF133" i="3"/>
  <c r="AG133" i="3" s="1"/>
  <c r="AH133" i="3"/>
  <c r="AE130" i="3"/>
  <c r="AF130" i="3"/>
  <c r="AG130" i="3" s="1"/>
  <c r="AH130" i="3"/>
  <c r="AE138" i="3"/>
  <c r="AG138" i="3"/>
  <c r="AH138" i="3"/>
  <c r="AE146" i="3"/>
  <c r="AG146" i="3"/>
  <c r="AH146" i="3"/>
  <c r="AE150" i="3"/>
  <c r="AG150" i="3"/>
  <c r="AH150" i="3"/>
  <c r="AE147" i="3"/>
  <c r="AG147" i="3"/>
  <c r="AH147" i="3"/>
  <c r="AE149" i="3"/>
  <c r="AG149" i="3"/>
  <c r="AH149" i="3"/>
  <c r="AE145" i="3"/>
  <c r="AG145" i="3"/>
  <c r="AH145" i="3"/>
  <c r="AE139" i="3"/>
  <c r="AG139" i="3"/>
  <c r="AH139" i="3"/>
  <c r="AG142" i="3"/>
  <c r="AH142" i="3"/>
  <c r="AE153" i="3"/>
  <c r="AG153" i="3"/>
  <c r="AH153" i="3"/>
  <c r="AG136" i="3"/>
  <c r="AH136" i="3"/>
  <c r="AE164" i="3"/>
  <c r="AH164" i="3"/>
  <c r="AE168" i="3"/>
  <c r="AH168" i="3"/>
  <c r="AE157" i="3"/>
  <c r="AG157" i="3"/>
  <c r="AH157" i="3"/>
  <c r="AE156" i="3"/>
  <c r="AH156" i="3"/>
  <c r="AE161" i="3"/>
  <c r="AH161" i="3"/>
  <c r="AE155" i="3"/>
  <c r="AG155" i="3"/>
  <c r="AH155" i="3"/>
  <c r="AE171" i="3"/>
  <c r="AG171" i="3"/>
  <c r="AH171" i="3"/>
  <c r="AE162" i="3"/>
  <c r="AH162" i="3"/>
  <c r="AE172" i="3"/>
  <c r="AH172" i="3"/>
  <c r="AE170" i="3"/>
  <c r="AH170" i="3"/>
  <c r="AE176" i="3"/>
  <c r="AH176" i="3"/>
  <c r="AE191" i="3"/>
  <c r="AH191" i="3"/>
  <c r="AE175" i="3"/>
  <c r="AH175" i="3"/>
  <c r="AE185" i="3"/>
  <c r="AH185" i="3"/>
  <c r="AE179" i="3"/>
  <c r="AH179" i="3"/>
  <c r="AE187" i="3"/>
  <c r="AH187" i="3"/>
  <c r="AE190" i="3"/>
  <c r="AH190" i="3"/>
  <c r="AE181" i="3"/>
  <c r="AH181" i="3"/>
  <c r="AE169" i="3"/>
  <c r="AH169" i="3"/>
  <c r="AE166" i="3"/>
  <c r="AH166" i="3"/>
  <c r="AE160" i="3"/>
  <c r="AG160" i="3"/>
  <c r="AH160" i="3"/>
  <c r="AE163" i="3"/>
  <c r="AH163" i="3"/>
  <c r="AE165" i="3"/>
  <c r="AG165" i="3"/>
  <c r="AH165" i="3"/>
  <c r="AE158" i="3"/>
  <c r="AH158" i="3"/>
  <c r="AE154" i="3"/>
  <c r="AH154" i="3"/>
  <c r="AE182" i="3"/>
  <c r="AH182" i="3"/>
  <c r="AE180" i="3"/>
  <c r="AH180" i="3"/>
  <c r="AE174" i="3"/>
  <c r="AH174" i="3"/>
  <c r="AE184" i="3"/>
  <c r="AH184" i="3"/>
  <c r="AE189" i="3"/>
  <c r="AH189" i="3"/>
  <c r="AE159" i="3"/>
  <c r="AH159" i="3"/>
  <c r="AE186" i="3"/>
  <c r="AH186" i="3"/>
  <c r="AE167" i="3"/>
  <c r="AH167" i="3"/>
  <c r="AE173" i="3"/>
  <c r="AH173" i="3"/>
  <c r="AE183" i="3"/>
  <c r="AH183" i="3"/>
  <c r="AE178" i="3"/>
  <c r="AH178" i="3"/>
  <c r="AE177" i="3"/>
  <c r="AH177" i="3"/>
  <c r="AE188" i="3"/>
  <c r="AH188" i="3"/>
  <c r="AE196" i="3"/>
  <c r="AG196" i="3"/>
  <c r="AH196" i="3"/>
  <c r="AE194" i="3"/>
  <c r="AG194" i="3"/>
  <c r="AH194" i="3"/>
  <c r="AE195" i="3"/>
  <c r="AH195" i="3"/>
  <c r="AE202" i="3"/>
  <c r="AH202" i="3"/>
  <c r="AE203" i="3"/>
  <c r="AH203" i="3"/>
  <c r="AE200" i="3"/>
  <c r="AH200" i="3"/>
  <c r="AE192" i="3"/>
  <c r="AH192" i="3"/>
  <c r="AE193" i="3"/>
  <c r="AH193" i="3"/>
  <c r="AE198" i="3"/>
  <c r="AH198" i="3"/>
  <c r="AE199" i="3"/>
  <c r="AH199" i="3"/>
  <c r="AE197" i="3"/>
  <c r="AH197" i="3"/>
  <c r="AE201" i="3"/>
  <c r="AH201" i="3"/>
  <c r="AE212" i="3"/>
  <c r="AH212" i="3"/>
  <c r="AE211" i="3"/>
  <c r="AH211" i="3"/>
  <c r="AE214" i="3"/>
  <c r="AH214" i="3"/>
  <c r="AE220" i="3"/>
  <c r="AH220" i="3"/>
  <c r="AE221" i="3"/>
  <c r="AG221" i="3"/>
  <c r="AH221" i="3"/>
  <c r="AE216" i="3"/>
  <c r="AH216" i="3"/>
  <c r="AE217" i="3"/>
  <c r="AG217" i="3"/>
  <c r="AH217" i="3"/>
  <c r="AE222" i="3"/>
  <c r="AH222" i="3"/>
  <c r="AE213" i="3"/>
  <c r="AH213" i="3"/>
  <c r="AE223" i="3"/>
  <c r="AH223" i="3"/>
  <c r="AE219" i="3"/>
  <c r="AH219" i="3"/>
  <c r="AE218" i="3"/>
  <c r="AH218" i="3"/>
  <c r="AH215" i="3"/>
  <c r="AE206" i="3"/>
  <c r="AH206" i="3"/>
  <c r="AH205" i="3"/>
  <c r="AE204" i="3"/>
  <c r="AH204" i="3"/>
  <c r="AE208" i="3"/>
  <c r="AH208" i="3"/>
  <c r="AE209" i="3"/>
  <c r="AH209" i="3"/>
  <c r="AE210" i="3"/>
  <c r="AH210" i="3"/>
  <c r="AE207" i="3"/>
  <c r="AH207" i="3"/>
  <c r="AE226" i="3"/>
  <c r="AH226" i="3"/>
  <c r="AE225" i="3"/>
  <c r="AG225" i="3"/>
  <c r="AH225" i="3"/>
  <c r="AE224" i="3"/>
  <c r="AH224" i="3"/>
  <c r="AE228" i="3"/>
  <c r="AH228" i="3"/>
  <c r="AE229" i="3"/>
  <c r="AH229" i="3"/>
  <c r="AE227" i="3"/>
  <c r="AH227" i="3"/>
  <c r="AH126" i="3"/>
  <c r="AH137" i="3"/>
  <c r="AH143" i="3"/>
  <c r="AH144" i="3"/>
  <c r="AF135" i="3"/>
  <c r="AF141" i="3"/>
  <c r="AG141" i="3" s="1"/>
  <c r="AF140" i="3"/>
  <c r="AF151" i="3"/>
  <c r="AF144" i="3"/>
  <c r="AG144" i="3" s="1"/>
  <c r="AF143" i="3"/>
  <c r="AF137" i="3"/>
  <c r="AG137" i="3" s="1"/>
  <c r="AF126" i="3"/>
  <c r="AF123" i="3"/>
  <c r="AF125" i="3"/>
  <c r="AF124" i="3"/>
  <c r="AF122" i="3"/>
  <c r="AG122" i="3" s="1"/>
  <c r="AF121" i="3"/>
  <c r="AF127" i="3"/>
  <c r="AG127" i="3" s="1"/>
  <c r="AF120" i="3"/>
  <c r="AG120" i="3" s="1"/>
  <c r="AF128" i="3"/>
  <c r="AG128" i="3" s="1"/>
  <c r="D131" i="17"/>
  <c r="E131" i="17"/>
  <c r="D132" i="17"/>
  <c r="E132" i="17"/>
  <c r="D133" i="17"/>
  <c r="E133" i="17"/>
  <c r="D134" i="17"/>
  <c r="E134" i="17"/>
  <c r="D135" i="17"/>
  <c r="E135" i="17"/>
  <c r="D136" i="17"/>
  <c r="E136" i="17"/>
  <c r="D137" i="17"/>
  <c r="E137" i="17"/>
  <c r="D138" i="17"/>
  <c r="E138" i="17"/>
  <c r="D139" i="17"/>
  <c r="E139" i="17"/>
  <c r="D140" i="17"/>
  <c r="E140" i="17"/>
  <c r="D141" i="17"/>
  <c r="E141" i="17"/>
  <c r="D142" i="17"/>
  <c r="E142" i="17"/>
  <c r="D143" i="17"/>
  <c r="E143" i="17"/>
  <c r="D144" i="17"/>
  <c r="E144" i="17"/>
  <c r="D145" i="17"/>
  <c r="E145" i="17"/>
  <c r="D146" i="17"/>
  <c r="E146" i="17"/>
  <c r="D147" i="17"/>
  <c r="E147" i="17"/>
  <c r="D148" i="17"/>
  <c r="E148" i="17"/>
  <c r="D149" i="17"/>
  <c r="E149" i="17"/>
  <c r="D150" i="17"/>
  <c r="E150" i="17"/>
  <c r="D151" i="17"/>
  <c r="E151" i="17"/>
  <c r="D152" i="17"/>
  <c r="E152" i="17"/>
  <c r="D153" i="17"/>
  <c r="E153" i="17"/>
  <c r="D154" i="17"/>
  <c r="E154" i="17"/>
  <c r="D155" i="17"/>
  <c r="E155" i="17"/>
  <c r="D156" i="17"/>
  <c r="E156" i="17"/>
  <c r="D157" i="17"/>
  <c r="E157" i="17"/>
  <c r="D158" i="17"/>
  <c r="E158" i="17"/>
  <c r="D159" i="17"/>
  <c r="E159" i="17"/>
  <c r="D160" i="17"/>
  <c r="E160" i="17"/>
  <c r="D161" i="17"/>
  <c r="E161" i="17"/>
  <c r="D162" i="17"/>
  <c r="E162" i="17"/>
  <c r="D163" i="17"/>
  <c r="E163" i="17"/>
  <c r="D164" i="17"/>
  <c r="E164" i="17"/>
  <c r="D165" i="17"/>
  <c r="E165" i="17"/>
  <c r="D166" i="17"/>
  <c r="E166" i="17"/>
  <c r="D167" i="17"/>
  <c r="E167" i="17"/>
  <c r="D168" i="17"/>
  <c r="E168" i="17"/>
  <c r="D169" i="17"/>
  <c r="E169" i="17"/>
  <c r="D170" i="17"/>
  <c r="E170" i="17"/>
  <c r="D171" i="17"/>
  <c r="E171" i="17"/>
  <c r="D172" i="17"/>
  <c r="E172" i="17"/>
  <c r="D173" i="17"/>
  <c r="E173" i="17"/>
  <c r="D174" i="17"/>
  <c r="E174" i="17"/>
  <c r="D175" i="17"/>
  <c r="E175" i="17"/>
  <c r="D176" i="17"/>
  <c r="E176" i="17"/>
  <c r="D177" i="17"/>
  <c r="E177" i="17"/>
  <c r="D178" i="17"/>
  <c r="E178" i="17"/>
  <c r="D179" i="17"/>
  <c r="E179" i="17"/>
  <c r="D180" i="17"/>
  <c r="E180" i="17"/>
  <c r="D181" i="17"/>
  <c r="E181" i="17"/>
  <c r="D182" i="17"/>
  <c r="E182" i="17"/>
  <c r="D183" i="17"/>
  <c r="E183" i="17"/>
  <c r="D184" i="17"/>
  <c r="E184" i="17"/>
  <c r="D185" i="17"/>
  <c r="E185" i="17"/>
  <c r="D186" i="17"/>
  <c r="E186" i="17"/>
  <c r="D187" i="17"/>
  <c r="E187" i="17"/>
  <c r="D188" i="17"/>
  <c r="E188" i="17"/>
  <c r="D189" i="17"/>
  <c r="E189" i="17"/>
  <c r="D190" i="17"/>
  <c r="E190" i="17"/>
  <c r="D191" i="17"/>
  <c r="E191" i="17"/>
  <c r="D192" i="17"/>
  <c r="E192" i="17"/>
  <c r="D193" i="17"/>
  <c r="E193" i="17"/>
  <c r="D194" i="17"/>
  <c r="E194" i="17"/>
  <c r="D195" i="17"/>
  <c r="E195" i="17"/>
  <c r="D196" i="17"/>
  <c r="E196" i="17"/>
  <c r="D197" i="17"/>
  <c r="E197" i="17"/>
  <c r="D198" i="17"/>
  <c r="E198" i="17"/>
  <c r="D199" i="17"/>
  <c r="E199" i="17"/>
  <c r="D200" i="17"/>
  <c r="E200" i="17"/>
  <c r="D201" i="17"/>
  <c r="E201" i="17"/>
  <c r="D202" i="17"/>
  <c r="E202" i="17"/>
  <c r="D203" i="17"/>
  <c r="E203" i="17"/>
  <c r="D204" i="17"/>
  <c r="E204" i="17"/>
  <c r="D205" i="17"/>
  <c r="E205" i="17"/>
  <c r="AE128" i="3"/>
  <c r="AH128" i="3"/>
  <c r="AE120" i="3"/>
  <c r="AH120" i="3"/>
  <c r="AE127" i="3"/>
  <c r="AH127" i="3"/>
  <c r="AE121" i="3"/>
  <c r="AH121" i="3"/>
  <c r="AE122" i="3"/>
  <c r="AH122" i="3"/>
  <c r="AE124" i="3"/>
  <c r="AH124" i="3"/>
  <c r="AE125" i="3"/>
  <c r="AH125" i="3"/>
  <c r="AE123" i="3"/>
  <c r="AH123" i="3"/>
  <c r="AE126" i="3"/>
  <c r="AE137" i="3"/>
  <c r="AE143" i="3"/>
  <c r="AE144" i="3"/>
  <c r="AE151" i="3"/>
  <c r="AH151" i="3"/>
  <c r="AE140" i="3"/>
  <c r="AH140" i="3"/>
  <c r="AE141" i="3"/>
  <c r="AH141" i="3"/>
  <c r="AE135" i="3"/>
  <c r="AH135" i="3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F101" i="11" s="1"/>
  <c r="E102" i="11"/>
  <c r="F102" i="11" s="1"/>
  <c r="E103" i="11"/>
  <c r="F103" i="11" s="1"/>
  <c r="E104" i="11"/>
  <c r="F104" i="11" s="1"/>
  <c r="E105" i="11"/>
  <c r="E106" i="11"/>
  <c r="E107" i="11"/>
  <c r="F107" i="11" s="1"/>
  <c r="E108" i="11"/>
  <c r="E109" i="11"/>
  <c r="F109" i="11" s="1"/>
  <c r="E110" i="11"/>
  <c r="F110" i="11" s="1"/>
  <c r="E111" i="11"/>
  <c r="F111" i="11" s="1"/>
  <c r="E112" i="11"/>
  <c r="F112" i="11" s="1"/>
  <c r="E113" i="11"/>
  <c r="F113" i="11" s="1"/>
  <c r="E114" i="11"/>
  <c r="F114" i="11" s="1"/>
  <c r="E115" i="11"/>
  <c r="F115" i="11" s="1"/>
  <c r="E116" i="11"/>
  <c r="F116" i="11" s="1"/>
  <c r="E117" i="11"/>
  <c r="F117" i="11" s="1"/>
  <c r="E118" i="11"/>
  <c r="F118" i="11" s="1"/>
  <c r="E119" i="11"/>
  <c r="F119" i="11" s="1"/>
  <c r="E120" i="11"/>
  <c r="F120" i="11" s="1"/>
  <c r="E121" i="11"/>
  <c r="F121" i="11" s="1"/>
  <c r="E122" i="11"/>
  <c r="F122" i="11" s="1"/>
  <c r="E123" i="11"/>
  <c r="F123" i="11" s="1"/>
  <c r="E124" i="11"/>
  <c r="F124" i="11" s="1"/>
  <c r="E126" i="11"/>
  <c r="E127" i="11"/>
  <c r="E128" i="11"/>
  <c r="E129" i="11"/>
  <c r="E130" i="11"/>
  <c r="E131" i="11"/>
  <c r="E132" i="11"/>
  <c r="E133" i="11"/>
  <c r="E134" i="11"/>
  <c r="E135" i="11"/>
  <c r="E136" i="11"/>
  <c r="E137" i="11"/>
  <c r="E138" i="11"/>
  <c r="F138" i="11" s="1"/>
  <c r="E139" i="11"/>
  <c r="E140" i="11"/>
  <c r="E141" i="11"/>
  <c r="E142" i="11"/>
  <c r="E143" i="11"/>
  <c r="E144" i="11"/>
  <c r="E145" i="11"/>
  <c r="E146" i="11"/>
  <c r="E147" i="11"/>
  <c r="E148" i="11"/>
  <c r="E149" i="11"/>
  <c r="E150" i="11"/>
  <c r="E151" i="11"/>
  <c r="E152" i="11"/>
  <c r="F152" i="11"/>
  <c r="E153" i="11"/>
  <c r="E154" i="11"/>
  <c r="E155" i="11"/>
  <c r="E156" i="11"/>
  <c r="E157" i="11"/>
  <c r="E158" i="11"/>
  <c r="E159" i="11"/>
  <c r="E160" i="11"/>
  <c r="E161" i="11"/>
  <c r="F161" i="11" s="1"/>
  <c r="E162" i="11"/>
  <c r="E163" i="11"/>
  <c r="E70" i="11"/>
  <c r="E69" i="11"/>
  <c r="E66" i="11"/>
  <c r="E68" i="11"/>
  <c r="E67" i="11"/>
  <c r="G67" i="15"/>
  <c r="G68" i="15"/>
  <c r="G69" i="15"/>
  <c r="G70" i="15"/>
  <c r="F67" i="15"/>
  <c r="F68" i="15"/>
  <c r="F69" i="15"/>
  <c r="F70" i="15"/>
  <c r="AE119" i="3"/>
  <c r="AH119" i="3"/>
  <c r="E64" i="11"/>
  <c r="E65" i="11"/>
  <c r="AD84" i="3"/>
  <c r="AE84" i="3"/>
  <c r="AF84" i="3"/>
  <c r="D308" i="5" s="1" a="1"/>
  <c r="D308" i="5" s="1"/>
  <c r="AH84" i="3"/>
  <c r="AD61" i="3"/>
  <c r="H114" i="21" s="1"/>
  <c r="AE61" i="3"/>
  <c r="AF61" i="3"/>
  <c r="AH61" i="3"/>
  <c r="AD62" i="3"/>
  <c r="AE62" i="3"/>
  <c r="AF62" i="3"/>
  <c r="AG62" i="3" s="1"/>
  <c r="AH62" i="3"/>
  <c r="AD52" i="3"/>
  <c r="H87" i="21" s="1"/>
  <c r="AE52" i="3"/>
  <c r="AF52" i="3"/>
  <c r="AH52" i="3"/>
  <c r="AD66" i="3"/>
  <c r="H61" i="21" s="1"/>
  <c r="AE66" i="3"/>
  <c r="AF66" i="3"/>
  <c r="AH66" i="3"/>
  <c r="AD114" i="3"/>
  <c r="AE114" i="3"/>
  <c r="AH114" i="3"/>
  <c r="AD117" i="3"/>
  <c r="AE117" i="3"/>
  <c r="AH117" i="3"/>
  <c r="AD112" i="3"/>
  <c r="H55" i="21" s="1"/>
  <c r="AE112" i="3"/>
  <c r="AH112" i="3"/>
  <c r="AD116" i="3"/>
  <c r="AE116" i="3"/>
  <c r="AH116" i="3"/>
  <c r="AD115" i="3"/>
  <c r="AE115" i="3"/>
  <c r="AH115" i="3"/>
  <c r="AD118" i="3"/>
  <c r="AE118" i="3"/>
  <c r="AH118" i="3"/>
  <c r="AD113" i="3"/>
  <c r="H80" i="21" s="1"/>
  <c r="AE113" i="3"/>
  <c r="AH113" i="3"/>
  <c r="AD119" i="3"/>
  <c r="H121" i="21" s="1"/>
  <c r="E73" i="5"/>
  <c r="Q73" i="5"/>
  <c r="A66" i="5"/>
  <c r="A67" i="5"/>
  <c r="A68" i="5"/>
  <c r="D68" i="5" s="1" a="1"/>
  <c r="D68" i="5" s="1"/>
  <c r="A69" i="5"/>
  <c r="D69" i="5" s="1" a="1"/>
  <c r="D69" i="5" s="1"/>
  <c r="A70" i="5"/>
  <c r="A71" i="5"/>
  <c r="A62" i="5"/>
  <c r="A63" i="5"/>
  <c r="A64" i="5"/>
  <c r="A65" i="5"/>
  <c r="F35" i="12"/>
  <c r="G35" i="12"/>
  <c r="H35" i="12"/>
  <c r="I35" i="12"/>
  <c r="J35" i="12"/>
  <c r="F29" i="12"/>
  <c r="G29" i="12"/>
  <c r="H29" i="12"/>
  <c r="I29" i="12"/>
  <c r="J29" i="12"/>
  <c r="F55" i="12"/>
  <c r="G55" i="12"/>
  <c r="H55" i="12"/>
  <c r="I55" i="12"/>
  <c r="J55" i="12"/>
  <c r="F63" i="12"/>
  <c r="G63" i="12"/>
  <c r="H63" i="12"/>
  <c r="I63" i="12"/>
  <c r="J63" i="12"/>
  <c r="F38" i="12"/>
  <c r="G38" i="12"/>
  <c r="H38" i="12"/>
  <c r="I38" i="12"/>
  <c r="J38" i="12"/>
  <c r="F31" i="12"/>
  <c r="G31" i="12"/>
  <c r="H31" i="12"/>
  <c r="I31" i="12"/>
  <c r="J31" i="12"/>
  <c r="F44" i="12"/>
  <c r="G44" i="12"/>
  <c r="H44" i="12"/>
  <c r="I44" i="12"/>
  <c r="J44" i="12"/>
  <c r="F39" i="12"/>
  <c r="G39" i="12"/>
  <c r="H39" i="12"/>
  <c r="I39" i="12"/>
  <c r="J39" i="12"/>
  <c r="F43" i="12"/>
  <c r="G43" i="12"/>
  <c r="H43" i="12"/>
  <c r="I43" i="12"/>
  <c r="J43" i="12"/>
  <c r="F40" i="12"/>
  <c r="G40" i="12"/>
  <c r="H40" i="12"/>
  <c r="I40" i="12"/>
  <c r="J40" i="12"/>
  <c r="F41" i="12"/>
  <c r="G41" i="12"/>
  <c r="H41" i="12"/>
  <c r="I41" i="12"/>
  <c r="J41" i="12"/>
  <c r="F58" i="12"/>
  <c r="G58" i="12"/>
  <c r="H58" i="12"/>
  <c r="I58" i="12"/>
  <c r="J58" i="12"/>
  <c r="F42" i="12"/>
  <c r="G42" i="12"/>
  <c r="H42" i="12"/>
  <c r="I42" i="12"/>
  <c r="J42" i="12"/>
  <c r="F71" i="12"/>
  <c r="G71" i="12"/>
  <c r="H71" i="12"/>
  <c r="I71" i="12"/>
  <c r="J71" i="12"/>
  <c r="F51" i="12"/>
  <c r="G51" i="12"/>
  <c r="H51" i="12"/>
  <c r="I51" i="12"/>
  <c r="J51" i="12"/>
  <c r="F157" i="12"/>
  <c r="G157" i="12"/>
  <c r="H157" i="12"/>
  <c r="I157" i="12"/>
  <c r="J157" i="12"/>
  <c r="F158" i="12"/>
  <c r="G158" i="12"/>
  <c r="H158" i="12"/>
  <c r="I158" i="12"/>
  <c r="J158" i="12"/>
  <c r="F156" i="12"/>
  <c r="G156" i="12"/>
  <c r="H156" i="12"/>
  <c r="I156" i="12"/>
  <c r="J156" i="12"/>
  <c r="F119" i="12"/>
  <c r="G119" i="12"/>
  <c r="H119" i="12"/>
  <c r="I119" i="12"/>
  <c r="J119" i="12"/>
  <c r="F121" i="12"/>
  <c r="G121" i="12"/>
  <c r="H121" i="12"/>
  <c r="I121" i="12"/>
  <c r="J121" i="12"/>
  <c r="F120" i="12"/>
  <c r="G120" i="12"/>
  <c r="H120" i="12"/>
  <c r="I120" i="12"/>
  <c r="J120" i="12"/>
  <c r="F101" i="12"/>
  <c r="G101" i="12"/>
  <c r="H101" i="12"/>
  <c r="I101" i="12"/>
  <c r="J101" i="12"/>
  <c r="F100" i="12"/>
  <c r="G100" i="12"/>
  <c r="H100" i="12"/>
  <c r="I100" i="12"/>
  <c r="J100" i="12"/>
  <c r="F72" i="12"/>
  <c r="G72" i="12"/>
  <c r="H72" i="12"/>
  <c r="I72" i="12"/>
  <c r="J72" i="12"/>
  <c r="F65" i="12"/>
  <c r="G65" i="12"/>
  <c r="H65" i="12"/>
  <c r="I65" i="12"/>
  <c r="J65" i="12"/>
  <c r="F105" i="12"/>
  <c r="G105" i="12"/>
  <c r="H105" i="12"/>
  <c r="I105" i="12"/>
  <c r="J105" i="12"/>
  <c r="F68" i="12"/>
  <c r="G68" i="12"/>
  <c r="H68" i="12"/>
  <c r="I68" i="12"/>
  <c r="J68" i="12"/>
  <c r="F108" i="12"/>
  <c r="G108" i="12"/>
  <c r="H108" i="12"/>
  <c r="I108" i="12"/>
  <c r="J108" i="12"/>
  <c r="F112" i="12"/>
  <c r="G112" i="12"/>
  <c r="H112" i="12"/>
  <c r="I112" i="12"/>
  <c r="J112" i="12"/>
  <c r="F99" i="12"/>
  <c r="G99" i="12"/>
  <c r="H99" i="12"/>
  <c r="I99" i="12"/>
  <c r="J99" i="12"/>
  <c r="F74" i="12"/>
  <c r="G74" i="12"/>
  <c r="H74" i="12"/>
  <c r="I74" i="12"/>
  <c r="J74" i="12"/>
  <c r="F50" i="12"/>
  <c r="G50" i="12"/>
  <c r="H50" i="12"/>
  <c r="I50" i="12"/>
  <c r="J50" i="12"/>
  <c r="F76" i="12"/>
  <c r="G76" i="12"/>
  <c r="H76" i="12"/>
  <c r="I76" i="12"/>
  <c r="J76" i="12"/>
  <c r="F75" i="12"/>
  <c r="G75" i="12"/>
  <c r="H75" i="12"/>
  <c r="I75" i="12"/>
  <c r="J75" i="12"/>
  <c r="G117" i="12"/>
  <c r="H117" i="12"/>
  <c r="I117" i="12"/>
  <c r="J117" i="12"/>
  <c r="G118" i="12"/>
  <c r="H118" i="12"/>
  <c r="I118" i="12"/>
  <c r="J118" i="12"/>
  <c r="F73" i="12"/>
  <c r="G73" i="12"/>
  <c r="H73" i="12"/>
  <c r="I73" i="12"/>
  <c r="J73" i="12"/>
  <c r="F59" i="12"/>
  <c r="G59" i="12"/>
  <c r="H59" i="12"/>
  <c r="I59" i="12"/>
  <c r="J59" i="12"/>
  <c r="F48" i="12"/>
  <c r="G48" i="12"/>
  <c r="H48" i="12"/>
  <c r="I48" i="12"/>
  <c r="J48" i="12"/>
  <c r="F47" i="12"/>
  <c r="G47" i="12"/>
  <c r="H47" i="12"/>
  <c r="I47" i="12"/>
  <c r="J47" i="12"/>
  <c r="F116" i="12"/>
  <c r="G116" i="12"/>
  <c r="H116" i="12"/>
  <c r="I116" i="12"/>
  <c r="J116" i="12"/>
  <c r="F106" i="12"/>
  <c r="G106" i="12"/>
  <c r="H106" i="12"/>
  <c r="I106" i="12"/>
  <c r="J106" i="12"/>
  <c r="F45" i="12"/>
  <c r="G45" i="12"/>
  <c r="H45" i="12"/>
  <c r="I45" i="12"/>
  <c r="J45" i="12"/>
  <c r="F115" i="12"/>
  <c r="G115" i="12"/>
  <c r="H115" i="12"/>
  <c r="I115" i="12"/>
  <c r="J115" i="12"/>
  <c r="F96" i="12"/>
  <c r="G96" i="12"/>
  <c r="H96" i="12"/>
  <c r="I96" i="12"/>
  <c r="J96" i="12"/>
  <c r="G97" i="12"/>
  <c r="H97" i="12"/>
  <c r="I97" i="12"/>
  <c r="J97" i="12"/>
  <c r="F114" i="12"/>
  <c r="G114" i="12"/>
  <c r="H114" i="12"/>
  <c r="I114" i="12"/>
  <c r="J114" i="12"/>
  <c r="F109" i="12"/>
  <c r="G109" i="12"/>
  <c r="H109" i="12"/>
  <c r="I109" i="12"/>
  <c r="J109" i="12"/>
  <c r="F69" i="12"/>
  <c r="G69" i="12"/>
  <c r="H69" i="12"/>
  <c r="I69" i="12"/>
  <c r="J69" i="12"/>
  <c r="F103" i="12"/>
  <c r="G103" i="12"/>
  <c r="H103" i="12"/>
  <c r="I103" i="12"/>
  <c r="J103" i="12"/>
  <c r="F107" i="12"/>
  <c r="G107" i="12"/>
  <c r="H107" i="12"/>
  <c r="I107" i="12"/>
  <c r="J107" i="12"/>
  <c r="F110" i="12"/>
  <c r="G110" i="12"/>
  <c r="H110" i="12"/>
  <c r="I110" i="12"/>
  <c r="J110" i="12"/>
  <c r="F104" i="12"/>
  <c r="G104" i="12"/>
  <c r="H104" i="12"/>
  <c r="I104" i="12"/>
  <c r="J104" i="12"/>
  <c r="F102" i="12"/>
  <c r="G102" i="12"/>
  <c r="H102" i="12"/>
  <c r="I102" i="12"/>
  <c r="J102" i="12"/>
  <c r="F95" i="12"/>
  <c r="G95" i="12"/>
  <c r="H95" i="12"/>
  <c r="I95" i="12"/>
  <c r="J95" i="12"/>
  <c r="F113" i="12"/>
  <c r="G113" i="12"/>
  <c r="H113" i="12"/>
  <c r="I113" i="12"/>
  <c r="J113" i="12"/>
  <c r="F98" i="12"/>
  <c r="G98" i="12"/>
  <c r="H98" i="12"/>
  <c r="I98" i="12"/>
  <c r="J98" i="12"/>
  <c r="F111" i="12"/>
  <c r="G111" i="12"/>
  <c r="H111" i="12"/>
  <c r="I111" i="12"/>
  <c r="J111" i="12"/>
  <c r="F64" i="12"/>
  <c r="G64" i="12"/>
  <c r="H64" i="12"/>
  <c r="I64" i="12"/>
  <c r="J64" i="12"/>
  <c r="F53" i="12"/>
  <c r="G53" i="12"/>
  <c r="H53" i="12"/>
  <c r="I53" i="12"/>
  <c r="J53" i="12"/>
  <c r="F52" i="12"/>
  <c r="G52" i="12"/>
  <c r="H52" i="12"/>
  <c r="I52" i="12"/>
  <c r="J52" i="12"/>
  <c r="F54" i="12"/>
  <c r="G54" i="12"/>
  <c r="H54" i="12"/>
  <c r="I54" i="12"/>
  <c r="J54" i="12"/>
  <c r="F60" i="12"/>
  <c r="G60" i="12"/>
  <c r="H60" i="12"/>
  <c r="I60" i="12"/>
  <c r="J60" i="12"/>
  <c r="F57" i="12"/>
  <c r="G57" i="12"/>
  <c r="H57" i="12"/>
  <c r="I57" i="12"/>
  <c r="J57" i="12"/>
  <c r="F62" i="12"/>
  <c r="G62" i="12"/>
  <c r="H62" i="12"/>
  <c r="I62" i="12"/>
  <c r="J62" i="12"/>
  <c r="F67" i="12"/>
  <c r="G67" i="12"/>
  <c r="H67" i="12"/>
  <c r="I67" i="12"/>
  <c r="J67" i="12"/>
  <c r="I37" i="12"/>
  <c r="J37" i="12"/>
  <c r="I33" i="12"/>
  <c r="J33" i="12"/>
  <c r="I36" i="12"/>
  <c r="J36" i="12"/>
  <c r="I46" i="12"/>
  <c r="J46" i="12"/>
  <c r="I30" i="12"/>
  <c r="J30" i="12"/>
  <c r="I49" i="12"/>
  <c r="J49" i="12"/>
  <c r="E63" i="11"/>
  <c r="E57" i="11"/>
  <c r="E58" i="11"/>
  <c r="E59" i="11"/>
  <c r="E60" i="11"/>
  <c r="E61" i="11"/>
  <c r="E62" i="11"/>
  <c r="A1" i="17" a="1"/>
  <c r="E55" i="11"/>
  <c r="E56" i="11"/>
  <c r="AD102" i="3"/>
  <c r="H115" i="21" s="1"/>
  <c r="AE102" i="3"/>
  <c r="AF102" i="3"/>
  <c r="AH102" i="3"/>
  <c r="AD99" i="3"/>
  <c r="AE99" i="3"/>
  <c r="AF99" i="3"/>
  <c r="AG99" i="3" s="1"/>
  <c r="AH99" i="3"/>
  <c r="AD96" i="3"/>
  <c r="H50" i="21" s="1"/>
  <c r="AE96" i="3"/>
  <c r="AF96" i="3"/>
  <c r="AH96" i="3"/>
  <c r="AD100" i="3"/>
  <c r="AE100" i="3"/>
  <c r="AF100" i="3"/>
  <c r="AG100" i="3" s="1"/>
  <c r="AH100" i="3"/>
  <c r="AD97" i="3"/>
  <c r="AE97" i="3"/>
  <c r="AF97" i="3"/>
  <c r="AG97" i="3" s="1"/>
  <c r="AH97" i="3"/>
  <c r="AD98" i="3"/>
  <c r="AE98" i="3"/>
  <c r="AF98" i="3"/>
  <c r="AG98" i="3" s="1"/>
  <c r="AH98" i="3"/>
  <c r="AD101" i="3"/>
  <c r="H103" i="21" s="1"/>
  <c r="AE101" i="3"/>
  <c r="AF101" i="3"/>
  <c r="AH101" i="3"/>
  <c r="AE103" i="3"/>
  <c r="AF103" i="3"/>
  <c r="AH103" i="3"/>
  <c r="AE105" i="3"/>
  <c r="AF105" i="3"/>
  <c r="AH105" i="3"/>
  <c r="AE104" i="3"/>
  <c r="AF104" i="3"/>
  <c r="AH104" i="3"/>
  <c r="AE109" i="3"/>
  <c r="AF109" i="3"/>
  <c r="AG109" i="3" s="1"/>
  <c r="AH109" i="3"/>
  <c r="AE110" i="3"/>
  <c r="AF110" i="3"/>
  <c r="G15" i="6" s="1" a="1"/>
  <c r="G15" i="6" s="1"/>
  <c r="AH110" i="3"/>
  <c r="AE108" i="3"/>
  <c r="AF108" i="3"/>
  <c r="AG108" i="3" s="1"/>
  <c r="AH108" i="3"/>
  <c r="AE107" i="3"/>
  <c r="AF107" i="3"/>
  <c r="AH107" i="3"/>
  <c r="AE111" i="3"/>
  <c r="AF111" i="3"/>
  <c r="AH111" i="3"/>
  <c r="AE106" i="3"/>
  <c r="AF106" i="3"/>
  <c r="AG106" i="3" s="1"/>
  <c r="AH106" i="3"/>
  <c r="AD106" i="3"/>
  <c r="AD111" i="3"/>
  <c r="H111" i="21" s="1"/>
  <c r="AD107" i="3"/>
  <c r="H48" i="21" s="1"/>
  <c r="AD108" i="3"/>
  <c r="AD110" i="3"/>
  <c r="AD109" i="3"/>
  <c r="AD104" i="3"/>
  <c r="H37" i="21" s="1"/>
  <c r="AD105" i="3"/>
  <c r="AD103" i="3"/>
  <c r="J34" i="12"/>
  <c r="I34" i="12"/>
  <c r="H34" i="12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F21" i="15" s="1"/>
  <c r="E22" i="15"/>
  <c r="F22" i="15" s="1"/>
  <c r="E23" i="15"/>
  <c r="F23" i="15" s="1"/>
  <c r="E24" i="15"/>
  <c r="F24" i="15" s="1"/>
  <c r="E25" i="15"/>
  <c r="F25" i="15" s="1"/>
  <c r="E26" i="15"/>
  <c r="F26" i="15" s="1"/>
  <c r="E27" i="15"/>
  <c r="F27" i="15" s="1"/>
  <c r="E28" i="15"/>
  <c r="F28" i="15" s="1"/>
  <c r="E29" i="15"/>
  <c r="F29" i="15" s="1"/>
  <c r="E30" i="15"/>
  <c r="F30" i="15" s="1"/>
  <c r="E31" i="15"/>
  <c r="F31" i="15" s="1"/>
  <c r="E32" i="15"/>
  <c r="F32" i="15" s="1"/>
  <c r="E33" i="15"/>
  <c r="F33" i="15" s="1"/>
  <c r="E34" i="15"/>
  <c r="F34" i="15" s="1"/>
  <c r="E35" i="15"/>
  <c r="F35" i="15" s="1"/>
  <c r="E36" i="15"/>
  <c r="F36" i="15" s="1"/>
  <c r="E37" i="15"/>
  <c r="F37" i="15" s="1"/>
  <c r="E38" i="15"/>
  <c r="F38" i="15" s="1"/>
  <c r="E39" i="15"/>
  <c r="F39" i="15" s="1"/>
  <c r="E40" i="15"/>
  <c r="F40" i="15" s="1"/>
  <c r="E41" i="15"/>
  <c r="F41" i="15" s="1"/>
  <c r="E42" i="15"/>
  <c r="F42" i="15" s="1"/>
  <c r="E43" i="15"/>
  <c r="F43" i="15" s="1"/>
  <c r="E44" i="15"/>
  <c r="F44" i="15" s="1"/>
  <c r="E45" i="15"/>
  <c r="F45" i="15" s="1"/>
  <c r="E46" i="15"/>
  <c r="F46" i="15" s="1"/>
  <c r="E47" i="15"/>
  <c r="F47" i="15" s="1"/>
  <c r="E48" i="15"/>
  <c r="F48" i="15" s="1"/>
  <c r="E49" i="15"/>
  <c r="F49" i="15" s="1"/>
  <c r="E50" i="15"/>
  <c r="F50" i="15" s="1"/>
  <c r="E51" i="15"/>
  <c r="F51" i="15" s="1"/>
  <c r="E52" i="15"/>
  <c r="F52" i="15" s="1"/>
  <c r="E53" i="15"/>
  <c r="F53" i="15" s="1"/>
  <c r="E54" i="15"/>
  <c r="F54" i="15" s="1"/>
  <c r="E55" i="15"/>
  <c r="F55" i="15" s="1"/>
  <c r="E56" i="15"/>
  <c r="F56" i="15" s="1"/>
  <c r="E57" i="15"/>
  <c r="F57" i="15" s="1"/>
  <c r="E58" i="15"/>
  <c r="F58" i="15" s="1"/>
  <c r="E59" i="15"/>
  <c r="F59" i="15" s="1"/>
  <c r="E60" i="15"/>
  <c r="F60" i="15" s="1"/>
  <c r="E61" i="15"/>
  <c r="F61" i="15" s="1"/>
  <c r="E62" i="15"/>
  <c r="F62" i="15" s="1"/>
  <c r="E63" i="15"/>
  <c r="F63" i="15" s="1"/>
  <c r="E64" i="15"/>
  <c r="F64" i="15" s="1"/>
  <c r="E65" i="15"/>
  <c r="F65" i="15" s="1"/>
  <c r="E66" i="15"/>
  <c r="F66" i="15" s="1"/>
  <c r="E3" i="15"/>
  <c r="E4" i="15"/>
  <c r="F37" i="12"/>
  <c r="G37" i="12"/>
  <c r="H37" i="12"/>
  <c r="F33" i="12"/>
  <c r="G33" i="12"/>
  <c r="H33" i="12"/>
  <c r="F36" i="12"/>
  <c r="G36" i="12"/>
  <c r="H36" i="12"/>
  <c r="F46" i="12"/>
  <c r="G46" i="12"/>
  <c r="H46" i="12"/>
  <c r="F30" i="12"/>
  <c r="G30" i="12"/>
  <c r="H30" i="12"/>
  <c r="F49" i="12"/>
  <c r="G49" i="12"/>
  <c r="H49" i="12"/>
  <c r="E3" i="11"/>
  <c r="E4" i="11"/>
  <c r="E5" i="11"/>
  <c r="E6" i="11"/>
  <c r="E7" i="11"/>
  <c r="E8" i="11"/>
  <c r="E9" i="11"/>
  <c r="E10" i="11"/>
  <c r="E11" i="11"/>
  <c r="E12" i="11"/>
  <c r="E13" i="11"/>
  <c r="F13" i="11" s="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2" i="11"/>
  <c r="A5" i="5"/>
  <c r="D5" i="5" s="1" a="1"/>
  <c r="D5" i="5" s="1"/>
  <c r="A6" i="5"/>
  <c r="A7" i="5"/>
  <c r="Q7" i="5" s="1"/>
  <c r="A8" i="5"/>
  <c r="A9" i="5"/>
  <c r="A10" i="5"/>
  <c r="A11" i="5"/>
  <c r="A12" i="5"/>
  <c r="A13" i="5"/>
  <c r="Q13" i="5" s="1"/>
  <c r="A14" i="5"/>
  <c r="Q14" i="5" s="1"/>
  <c r="A15" i="5"/>
  <c r="A16" i="5"/>
  <c r="Q16" i="5" s="1"/>
  <c r="A17" i="5"/>
  <c r="A18" i="5"/>
  <c r="A19" i="5"/>
  <c r="A20" i="5"/>
  <c r="A21" i="5"/>
  <c r="A22" i="5"/>
  <c r="A23" i="5"/>
  <c r="Q23" i="5" s="1"/>
  <c r="A24" i="5"/>
  <c r="A25" i="5"/>
  <c r="Q25" i="5" s="1"/>
  <c r="A26" i="5"/>
  <c r="Q26" i="5" s="1"/>
  <c r="A27" i="5"/>
  <c r="A28" i="5"/>
  <c r="A29" i="5"/>
  <c r="Q29" i="5" s="1"/>
  <c r="A30" i="5"/>
  <c r="Q30" i="5" s="1"/>
  <c r="A31" i="5"/>
  <c r="A32" i="5"/>
  <c r="A33" i="5"/>
  <c r="A34" i="5"/>
  <c r="Q34" i="5" s="1"/>
  <c r="A35" i="5"/>
  <c r="Q35" i="5" s="1"/>
  <c r="A36" i="5"/>
  <c r="A37" i="5"/>
  <c r="A38" i="5"/>
  <c r="Q38" i="5" s="1"/>
  <c r="A39" i="5"/>
  <c r="A40" i="5"/>
  <c r="Q40" i="5" s="1"/>
  <c r="A41" i="5"/>
  <c r="A42" i="5"/>
  <c r="A43" i="5"/>
  <c r="A44" i="5"/>
  <c r="Q44" i="5" s="1"/>
  <c r="A45" i="5"/>
  <c r="A46" i="5"/>
  <c r="A47" i="5"/>
  <c r="A48" i="5"/>
  <c r="D48" i="5" s="1" a="1"/>
  <c r="D48" i="5" s="1"/>
  <c r="A49" i="5"/>
  <c r="A50" i="5"/>
  <c r="Q50" i="5" s="1"/>
  <c r="A51" i="5"/>
  <c r="A52" i="5"/>
  <c r="A53" i="5"/>
  <c r="Q53" i="5" s="1"/>
  <c r="A54" i="5"/>
  <c r="Q54" i="5" s="1"/>
  <c r="A55" i="5"/>
  <c r="A56" i="5"/>
  <c r="Q56" i="5" s="1"/>
  <c r="A57" i="5"/>
  <c r="A58" i="5"/>
  <c r="A59" i="5"/>
  <c r="A60" i="5"/>
  <c r="E60" i="5" s="1"/>
  <c r="A61" i="5"/>
  <c r="A4" i="5"/>
  <c r="Q175" i="6"/>
  <c r="Q174" i="6"/>
  <c r="Q173" i="6"/>
  <c r="Q172" i="6"/>
  <c r="Q171" i="6"/>
  <c r="Q170" i="6"/>
  <c r="Q169" i="6"/>
  <c r="Q168" i="6"/>
  <c r="Q167" i="6"/>
  <c r="Q166" i="6"/>
  <c r="Q165" i="6"/>
  <c r="Q164" i="6"/>
  <c r="Q163" i="6"/>
  <c r="Q162" i="6"/>
  <c r="Q161" i="6"/>
  <c r="Q160" i="6"/>
  <c r="Q159" i="6"/>
  <c r="Q158" i="6"/>
  <c r="Q157" i="6"/>
  <c r="Q156" i="6"/>
  <c r="Q155" i="6"/>
  <c r="Q154" i="6"/>
  <c r="Q153" i="6"/>
  <c r="Q152" i="6"/>
  <c r="Q151" i="6"/>
  <c r="Q150" i="6"/>
  <c r="Q149" i="6"/>
  <c r="Q148" i="6"/>
  <c r="Q147" i="6"/>
  <c r="Q146" i="6"/>
  <c r="Q145" i="6"/>
  <c r="Q144" i="6"/>
  <c r="Q143" i="6"/>
  <c r="Q142" i="6"/>
  <c r="Q141" i="6"/>
  <c r="Q140" i="6"/>
  <c r="Q139" i="6"/>
  <c r="Q138" i="6"/>
  <c r="Q137" i="6"/>
  <c r="Q136" i="6"/>
  <c r="Q135" i="6"/>
  <c r="Q134" i="6"/>
  <c r="Q133" i="6"/>
  <c r="Q132" i="6"/>
  <c r="Q131" i="6"/>
  <c r="Q130" i="6"/>
  <c r="Q129" i="6"/>
  <c r="Q128" i="6"/>
  <c r="Q109" i="6"/>
  <c r="Q108" i="6"/>
  <c r="Q107" i="6"/>
  <c r="Q103" i="6"/>
  <c r="Q102" i="6"/>
  <c r="Q101" i="6"/>
  <c r="J70" i="6"/>
  <c r="O55" i="6"/>
  <c r="H55" i="6"/>
  <c r="C55" i="6"/>
  <c r="B55" i="6"/>
  <c r="O54" i="6"/>
  <c r="H54" i="6"/>
  <c r="C54" i="6"/>
  <c r="B54" i="6"/>
  <c r="O53" i="6"/>
  <c r="H53" i="6"/>
  <c r="C53" i="6"/>
  <c r="B53" i="6"/>
  <c r="O52" i="6"/>
  <c r="H52" i="6"/>
  <c r="C52" i="6"/>
  <c r="B52" i="6"/>
  <c r="O51" i="6"/>
  <c r="H51" i="6"/>
  <c r="C51" i="6"/>
  <c r="B51" i="6"/>
  <c r="O50" i="6"/>
  <c r="H50" i="6"/>
  <c r="C50" i="6"/>
  <c r="B50" i="6"/>
  <c r="O49" i="6"/>
  <c r="H49" i="6"/>
  <c r="C49" i="6"/>
  <c r="B49" i="6"/>
  <c r="O48" i="6"/>
  <c r="H48" i="6"/>
  <c r="C48" i="6"/>
  <c r="B48" i="6"/>
  <c r="O47" i="6"/>
  <c r="H47" i="6"/>
  <c r="C47" i="6"/>
  <c r="B47" i="6"/>
  <c r="O46" i="6"/>
  <c r="H46" i="6"/>
  <c r="C46" i="6"/>
  <c r="B46" i="6"/>
  <c r="O45" i="6"/>
  <c r="H45" i="6"/>
  <c r="C45" i="6"/>
  <c r="B45" i="6"/>
  <c r="O44" i="6"/>
  <c r="K44" i="6"/>
  <c r="I44" i="6"/>
  <c r="H44" i="6"/>
  <c r="C44" i="6"/>
  <c r="B44" i="6"/>
  <c r="O43" i="6"/>
  <c r="K43" i="6"/>
  <c r="I43" i="6"/>
  <c r="H43" i="6"/>
  <c r="C43" i="6"/>
  <c r="B43" i="6"/>
  <c r="P42" i="6"/>
  <c r="O42" i="6"/>
  <c r="K42" i="6"/>
  <c r="J42" i="6"/>
  <c r="N42" i="6" s="1"/>
  <c r="I42" i="6"/>
  <c r="H42" i="6"/>
  <c r="C42" i="6"/>
  <c r="B42" i="6"/>
  <c r="P41" i="6"/>
  <c r="O41" i="6"/>
  <c r="K41" i="6"/>
  <c r="J41" i="6"/>
  <c r="N41" i="6" s="1"/>
  <c r="I41" i="6"/>
  <c r="H41" i="6"/>
  <c r="G41" i="6" a="1"/>
  <c r="G41" i="6" s="1"/>
  <c r="C41" i="6"/>
  <c r="B41" i="6"/>
  <c r="P40" i="6"/>
  <c r="O40" i="6"/>
  <c r="K40" i="6"/>
  <c r="J40" i="6"/>
  <c r="N40" i="6" s="1"/>
  <c r="I40" i="6"/>
  <c r="H40" i="6"/>
  <c r="G40" i="6" a="1"/>
  <c r="G40" i="6" s="1"/>
  <c r="C40" i="6"/>
  <c r="B40" i="6"/>
  <c r="P39" i="6"/>
  <c r="O39" i="6"/>
  <c r="K39" i="6"/>
  <c r="J39" i="6"/>
  <c r="N39" i="6" s="1"/>
  <c r="I39" i="6"/>
  <c r="H39" i="6"/>
  <c r="G39" i="6" a="1"/>
  <c r="G39" i="6" s="1"/>
  <c r="C39" i="6"/>
  <c r="B39" i="6"/>
  <c r="P38" i="6"/>
  <c r="O38" i="6"/>
  <c r="K38" i="6"/>
  <c r="J38" i="6"/>
  <c r="M38" i="6" s="1"/>
  <c r="I38" i="6"/>
  <c r="H38" i="6"/>
  <c r="G38" i="6" a="1"/>
  <c r="G38" i="6" s="1"/>
  <c r="C38" i="6"/>
  <c r="B38" i="6"/>
  <c r="P37" i="6"/>
  <c r="O37" i="6"/>
  <c r="K37" i="6"/>
  <c r="J37" i="6"/>
  <c r="N37" i="6" s="1"/>
  <c r="I37" i="6"/>
  <c r="H37" i="6"/>
  <c r="G37" i="6" a="1"/>
  <c r="G37" i="6" s="1"/>
  <c r="C37" i="6"/>
  <c r="B37" i="6"/>
  <c r="P36" i="6"/>
  <c r="O36" i="6"/>
  <c r="K36" i="6"/>
  <c r="J36" i="6"/>
  <c r="N36" i="6" s="1"/>
  <c r="I36" i="6"/>
  <c r="H36" i="6"/>
  <c r="G36" i="6" a="1"/>
  <c r="G36" i="6" s="1"/>
  <c r="C36" i="6"/>
  <c r="B36" i="6"/>
  <c r="O35" i="6"/>
  <c r="K35" i="6"/>
  <c r="I35" i="6"/>
  <c r="H35" i="6"/>
  <c r="C35" i="6"/>
  <c r="B35" i="6"/>
  <c r="P34" i="6"/>
  <c r="O34" i="6"/>
  <c r="K34" i="6"/>
  <c r="J34" i="6"/>
  <c r="N34" i="6" s="1"/>
  <c r="I34" i="6"/>
  <c r="H34" i="6"/>
  <c r="G34" i="6" a="1"/>
  <c r="G34" i="6" s="1"/>
  <c r="C34" i="6"/>
  <c r="B34" i="6"/>
  <c r="Q33" i="6"/>
  <c r="C33" i="6"/>
  <c r="B33" i="6"/>
  <c r="P32" i="6"/>
  <c r="O32" i="6"/>
  <c r="K32" i="6"/>
  <c r="J32" i="6"/>
  <c r="I32" i="6"/>
  <c r="H32" i="6"/>
  <c r="G32" i="6" a="1"/>
  <c r="G32" i="6" s="1"/>
  <c r="C32" i="6"/>
  <c r="B32" i="6"/>
  <c r="P31" i="6"/>
  <c r="O31" i="6"/>
  <c r="K31" i="6"/>
  <c r="J31" i="6"/>
  <c r="M31" i="6" s="1"/>
  <c r="H31" i="6"/>
  <c r="G31" i="6" a="1"/>
  <c r="G31" i="6" s="1"/>
  <c r="C31" i="6"/>
  <c r="B31" i="6"/>
  <c r="P30" i="6"/>
  <c r="O30" i="6"/>
  <c r="K30" i="6"/>
  <c r="J30" i="6"/>
  <c r="I30" i="6"/>
  <c r="H30" i="6"/>
  <c r="G30" i="6" a="1"/>
  <c r="G30" i="6" s="1"/>
  <c r="C30" i="6"/>
  <c r="B30" i="6"/>
  <c r="P29" i="6"/>
  <c r="O29" i="6"/>
  <c r="J29" i="6"/>
  <c r="N29" i="6" s="1"/>
  <c r="H29" i="6"/>
  <c r="G29" i="6" a="1"/>
  <c r="G29" i="6" s="1"/>
  <c r="C29" i="6"/>
  <c r="B29" i="6"/>
  <c r="P28" i="6"/>
  <c r="O28" i="6"/>
  <c r="K28" i="6"/>
  <c r="J28" i="6"/>
  <c r="N28" i="6" s="1"/>
  <c r="I28" i="6"/>
  <c r="H28" i="6"/>
  <c r="G28" i="6" a="1"/>
  <c r="G28" i="6" s="1"/>
  <c r="C28" i="6"/>
  <c r="B28" i="6"/>
  <c r="P27" i="6"/>
  <c r="O27" i="6"/>
  <c r="K27" i="6"/>
  <c r="J27" i="6"/>
  <c r="N27" i="6" s="1"/>
  <c r="I27" i="6"/>
  <c r="H27" i="6"/>
  <c r="G27" i="6" a="1"/>
  <c r="G27" i="6" s="1"/>
  <c r="C27" i="6"/>
  <c r="B27" i="6"/>
  <c r="P26" i="6"/>
  <c r="O26" i="6"/>
  <c r="K26" i="6"/>
  <c r="J26" i="6"/>
  <c r="N26" i="6" s="1"/>
  <c r="I26" i="6"/>
  <c r="H26" i="6"/>
  <c r="G26" i="6" a="1"/>
  <c r="G26" i="6" s="1"/>
  <c r="C26" i="6"/>
  <c r="B26" i="6"/>
  <c r="P25" i="6"/>
  <c r="O25" i="6"/>
  <c r="J25" i="6"/>
  <c r="N25" i="6" s="1"/>
  <c r="H25" i="6"/>
  <c r="G25" i="6" a="1"/>
  <c r="G25" i="6" s="1"/>
  <c r="C25" i="6"/>
  <c r="B25" i="6"/>
  <c r="O24" i="6"/>
  <c r="K24" i="6"/>
  <c r="I24" i="6"/>
  <c r="H24" i="6"/>
  <c r="C24" i="6"/>
  <c r="B24" i="6"/>
  <c r="P23" i="6"/>
  <c r="O23" i="6"/>
  <c r="J23" i="6"/>
  <c r="H23" i="6"/>
  <c r="G23" i="6" a="1"/>
  <c r="G23" i="6" s="1"/>
  <c r="C23" i="6"/>
  <c r="B23" i="6"/>
  <c r="P22" i="6"/>
  <c r="O22" i="6"/>
  <c r="K22" i="6"/>
  <c r="J22" i="6"/>
  <c r="N22" i="6" s="1"/>
  <c r="I22" i="6"/>
  <c r="H22" i="6"/>
  <c r="G22" i="6" a="1"/>
  <c r="G22" i="6" s="1"/>
  <c r="C22" i="6"/>
  <c r="B22" i="6"/>
  <c r="P21" i="6"/>
  <c r="O21" i="6"/>
  <c r="K21" i="6"/>
  <c r="J21" i="6"/>
  <c r="N21" i="6" s="1"/>
  <c r="I21" i="6"/>
  <c r="H21" i="6"/>
  <c r="G21" i="6" a="1"/>
  <c r="G21" i="6" s="1"/>
  <c r="C21" i="6"/>
  <c r="B21" i="6"/>
  <c r="P20" i="6"/>
  <c r="O20" i="6"/>
  <c r="J20" i="6"/>
  <c r="M20" i="6" s="1"/>
  <c r="H20" i="6"/>
  <c r="G20" i="6" a="1"/>
  <c r="G20" i="6" s="1"/>
  <c r="C20" i="6"/>
  <c r="B20" i="6"/>
  <c r="G19" i="6" a="1"/>
  <c r="G19" i="6" s="1"/>
  <c r="C19" i="6"/>
  <c r="B19" i="6"/>
  <c r="O18" i="6"/>
  <c r="K18" i="6"/>
  <c r="I18" i="6"/>
  <c r="H18" i="6"/>
  <c r="C18" i="6"/>
  <c r="B18" i="6"/>
  <c r="P17" i="6"/>
  <c r="O17" i="6"/>
  <c r="K17" i="6"/>
  <c r="J17" i="6"/>
  <c r="M17" i="6" s="1"/>
  <c r="I17" i="6"/>
  <c r="H17" i="6"/>
  <c r="G17" i="6" a="1"/>
  <c r="G17" i="6" s="1"/>
  <c r="C17" i="6"/>
  <c r="B17" i="6"/>
  <c r="O16" i="6"/>
  <c r="H16" i="6"/>
  <c r="C16" i="6"/>
  <c r="B16" i="6"/>
  <c r="P15" i="6"/>
  <c r="O15" i="6"/>
  <c r="J15" i="6"/>
  <c r="H15" i="6"/>
  <c r="C15" i="6"/>
  <c r="B15" i="6"/>
  <c r="O14" i="6"/>
  <c r="H14" i="6"/>
  <c r="C14" i="6"/>
  <c r="B14" i="6"/>
  <c r="O13" i="6"/>
  <c r="H13" i="6"/>
  <c r="C13" i="6"/>
  <c r="B13" i="6"/>
  <c r="P12" i="6"/>
  <c r="O12" i="6"/>
  <c r="K12" i="6"/>
  <c r="J12" i="6"/>
  <c r="N12" i="6" s="1"/>
  <c r="I12" i="6"/>
  <c r="H12" i="6"/>
  <c r="G12" i="6" a="1"/>
  <c r="G12" i="6" s="1"/>
  <c r="C12" i="6"/>
  <c r="B12" i="6"/>
  <c r="P11" i="6"/>
  <c r="O11" i="6"/>
  <c r="K11" i="6"/>
  <c r="J11" i="6"/>
  <c r="N11" i="6" s="1"/>
  <c r="I11" i="6"/>
  <c r="H11" i="6"/>
  <c r="G11" i="6" a="1"/>
  <c r="G11" i="6" s="1"/>
  <c r="C11" i="6"/>
  <c r="B11" i="6"/>
  <c r="O10" i="6"/>
  <c r="K10" i="6"/>
  <c r="I10" i="6"/>
  <c r="H10" i="6"/>
  <c r="C10" i="6"/>
  <c r="B10" i="6"/>
  <c r="P9" i="6"/>
  <c r="O9" i="6"/>
  <c r="J9" i="6"/>
  <c r="M9" i="6" s="1"/>
  <c r="H9" i="6"/>
  <c r="G9" i="6" a="1"/>
  <c r="G9" i="6" s="1"/>
  <c r="C9" i="6"/>
  <c r="B9" i="6"/>
  <c r="O8" i="6"/>
  <c r="H8" i="6"/>
  <c r="C8" i="6"/>
  <c r="B8" i="6"/>
  <c r="P7" i="6"/>
  <c r="O7" i="6"/>
  <c r="J7" i="6"/>
  <c r="N7" i="6" s="1"/>
  <c r="H7" i="6"/>
  <c r="G7" i="6" a="1"/>
  <c r="G7" i="6" s="1"/>
  <c r="C7" i="6"/>
  <c r="B7" i="6"/>
  <c r="O6" i="6"/>
  <c r="H6" i="6"/>
  <c r="C6" i="6"/>
  <c r="B6" i="6"/>
  <c r="O5" i="6"/>
  <c r="H5" i="6"/>
  <c r="C5" i="6"/>
  <c r="B5" i="6"/>
  <c r="O4" i="6"/>
  <c r="K4" i="6"/>
  <c r="I4" i="6"/>
  <c r="H4" i="6"/>
  <c r="C4" i="6"/>
  <c r="B4" i="6"/>
  <c r="O3" i="6"/>
  <c r="K3" i="6"/>
  <c r="I3" i="6"/>
  <c r="H3" i="6"/>
  <c r="C3" i="6"/>
  <c r="B3" i="6"/>
  <c r="C2" i="6"/>
  <c r="B2" i="6"/>
  <c r="Q9" i="5"/>
  <c r="Q5" i="5"/>
  <c r="Q6" i="5"/>
  <c r="Q18" i="5"/>
  <c r="Q19" i="5"/>
  <c r="Q24" i="5"/>
  <c r="Q28" i="5"/>
  <c r="Q33" i="5"/>
  <c r="Q43" i="5"/>
  <c r="Q48" i="5"/>
  <c r="Q49" i="5"/>
  <c r="Q58" i="5"/>
  <c r="Q59" i="5"/>
  <c r="AD91" i="3"/>
  <c r="H15" i="21" s="1"/>
  <c r="AE91" i="3"/>
  <c r="AF91" i="3"/>
  <c r="AH91" i="3"/>
  <c r="AD93" i="3"/>
  <c r="AE93" i="3"/>
  <c r="AF93" i="3"/>
  <c r="R77" i="5" s="1"/>
  <c r="AH93" i="3"/>
  <c r="AD88" i="3"/>
  <c r="AE88" i="3"/>
  <c r="AF88" i="3"/>
  <c r="AH88" i="3"/>
  <c r="AD95" i="3"/>
  <c r="H116" i="21" s="1"/>
  <c r="AE95" i="3"/>
  <c r="AF95" i="3"/>
  <c r="AH95" i="3"/>
  <c r="AD86" i="3"/>
  <c r="AE86" i="3"/>
  <c r="AF86" i="3"/>
  <c r="AH86" i="3"/>
  <c r="AD82" i="3"/>
  <c r="AE82" i="3"/>
  <c r="AF82" i="3"/>
  <c r="D34" i="5" s="1" a="1"/>
  <c r="D34" i="5" s="1"/>
  <c r="AH82" i="3"/>
  <c r="AD87" i="3"/>
  <c r="AE87" i="3"/>
  <c r="AF87" i="3"/>
  <c r="D44" i="5" s="1" a="1"/>
  <c r="D44" i="5" s="1"/>
  <c r="AH87" i="3"/>
  <c r="AD83" i="3"/>
  <c r="H57" i="21" s="1"/>
  <c r="AE83" i="3"/>
  <c r="AF83" i="3"/>
  <c r="AH83" i="3"/>
  <c r="AD80" i="3"/>
  <c r="AE80" i="3"/>
  <c r="AF80" i="3"/>
  <c r="AG80" i="3" s="1"/>
  <c r="AH80" i="3"/>
  <c r="AD90" i="3"/>
  <c r="AE90" i="3"/>
  <c r="AF90" i="3"/>
  <c r="AG90" i="3" s="1"/>
  <c r="AH90" i="3"/>
  <c r="AD79" i="3"/>
  <c r="AE79" i="3"/>
  <c r="AF79" i="3"/>
  <c r="AH79" i="3"/>
  <c r="AD81" i="3"/>
  <c r="AE81" i="3"/>
  <c r="AF81" i="3"/>
  <c r="AH81" i="3"/>
  <c r="AD89" i="3"/>
  <c r="AE89" i="3"/>
  <c r="AF89" i="3"/>
  <c r="AG89" i="3" s="1"/>
  <c r="AH89" i="3"/>
  <c r="AD92" i="3"/>
  <c r="H89" i="21" s="1"/>
  <c r="AE92" i="3"/>
  <c r="AF92" i="3"/>
  <c r="AH92" i="3"/>
  <c r="AD85" i="3"/>
  <c r="H58" i="21" s="1"/>
  <c r="AE85" i="3"/>
  <c r="AF85" i="3"/>
  <c r="AH85" i="3"/>
  <c r="AD94" i="3"/>
  <c r="H101" i="21" s="1"/>
  <c r="AE94" i="3"/>
  <c r="AF94" i="3"/>
  <c r="R83" i="5" s="1"/>
  <c r="AH94" i="3"/>
  <c r="AF68" i="3"/>
  <c r="D79" i="5" s="1" a="1"/>
  <c r="D79" i="5" s="1"/>
  <c r="AF65" i="3"/>
  <c r="AF67" i="3"/>
  <c r="D63" i="5" s="1" a="1"/>
  <c r="D63" i="5" s="1"/>
  <c r="AF70" i="3"/>
  <c r="D4" i="5" s="1" a="1"/>
  <c r="D4" i="5" s="1"/>
  <c r="AF77" i="3"/>
  <c r="AF71" i="3"/>
  <c r="AG71" i="3" s="1"/>
  <c r="AF73" i="3"/>
  <c r="AF75" i="3"/>
  <c r="D57" i="5" s="1" a="1"/>
  <c r="D57" i="5" s="1"/>
  <c r="AF76" i="3"/>
  <c r="D59" i="5" s="1" a="1"/>
  <c r="D59" i="5" s="1"/>
  <c r="AF74" i="3"/>
  <c r="AF72" i="3"/>
  <c r="AF78" i="3"/>
  <c r="D80" i="5" s="1" a="1"/>
  <c r="D80" i="5" s="1"/>
  <c r="AF69" i="3"/>
  <c r="AD63" i="3"/>
  <c r="AE63" i="3"/>
  <c r="AH63" i="3"/>
  <c r="AD64" i="3"/>
  <c r="AE64" i="3"/>
  <c r="AH64" i="3"/>
  <c r="AD69" i="3"/>
  <c r="AE69" i="3"/>
  <c r="AH69" i="3"/>
  <c r="AD68" i="3"/>
  <c r="H118" i="21" s="1"/>
  <c r="AE68" i="3"/>
  <c r="AH68" i="3"/>
  <c r="AD65" i="3"/>
  <c r="H8" i="21" s="1"/>
  <c r="AE65" i="3"/>
  <c r="AH65" i="3"/>
  <c r="AD67" i="3"/>
  <c r="AE67" i="3"/>
  <c r="AH67" i="3"/>
  <c r="AD70" i="3"/>
  <c r="AE70" i="3"/>
  <c r="AH70" i="3"/>
  <c r="AD77" i="3"/>
  <c r="AE77" i="3"/>
  <c r="AH77" i="3"/>
  <c r="AD71" i="3"/>
  <c r="AE71" i="3"/>
  <c r="AH71" i="3"/>
  <c r="AD73" i="3"/>
  <c r="H42" i="21" s="1"/>
  <c r="AE73" i="3"/>
  <c r="AH73" i="3"/>
  <c r="AD75" i="3"/>
  <c r="AE75" i="3"/>
  <c r="AH75" i="3"/>
  <c r="AD76" i="3"/>
  <c r="AE76" i="3"/>
  <c r="AH76" i="3"/>
  <c r="AD74" i="3"/>
  <c r="AE74" i="3"/>
  <c r="AH74" i="3"/>
  <c r="AD72" i="3"/>
  <c r="H39" i="21" s="1"/>
  <c r="AE72" i="3"/>
  <c r="AH72" i="3"/>
  <c r="AD78" i="3"/>
  <c r="H120" i="21" s="1"/>
  <c r="AE78" i="3"/>
  <c r="AH78" i="3"/>
  <c r="AH43" i="3"/>
  <c r="AH54" i="3"/>
  <c r="AH41" i="3"/>
  <c r="AH44" i="3"/>
  <c r="AH56" i="3"/>
  <c r="AH51" i="3"/>
  <c r="AH48" i="3"/>
  <c r="AH50" i="3"/>
  <c r="AH46" i="3"/>
  <c r="AH42" i="3"/>
  <c r="AH55" i="3"/>
  <c r="AH57" i="3"/>
  <c r="AH59" i="3"/>
  <c r="AH53" i="3"/>
  <c r="AH40" i="3"/>
  <c r="AH58" i="3"/>
  <c r="AH47" i="3"/>
  <c r="AH49" i="3"/>
  <c r="AH60" i="3"/>
  <c r="AH45" i="3"/>
  <c r="AD31" i="3"/>
  <c r="AE31" i="3"/>
  <c r="AD33" i="3"/>
  <c r="AE33" i="3"/>
  <c r="AD36" i="3"/>
  <c r="H84" i="21" s="1"/>
  <c r="AE36" i="3"/>
  <c r="AD38" i="3"/>
  <c r="AE38" i="3"/>
  <c r="AD34" i="3"/>
  <c r="H45" i="21" s="1"/>
  <c r="AE34" i="3"/>
  <c r="AD35" i="3"/>
  <c r="AE35" i="3"/>
  <c r="AD39" i="3"/>
  <c r="H108" i="21" s="1"/>
  <c r="AE39" i="3"/>
  <c r="AD32" i="3"/>
  <c r="AE32" i="3"/>
  <c r="AD37" i="3"/>
  <c r="AE37" i="3"/>
  <c r="AD45" i="3"/>
  <c r="AE45" i="3"/>
  <c r="AD43" i="3"/>
  <c r="H23" i="21" s="1"/>
  <c r="AE43" i="3"/>
  <c r="AD54" i="3"/>
  <c r="AE54" i="3"/>
  <c r="AD41" i="3"/>
  <c r="H14" i="21" s="1"/>
  <c r="AE41" i="3"/>
  <c r="AD44" i="3"/>
  <c r="AE44" i="3"/>
  <c r="AD56" i="3"/>
  <c r="AE56" i="3"/>
  <c r="AD51" i="3"/>
  <c r="AE51" i="3"/>
  <c r="AD48" i="3"/>
  <c r="H54" i="21" s="1"/>
  <c r="AE48" i="3"/>
  <c r="AD50" i="3"/>
  <c r="H59" i="21" s="1"/>
  <c r="AE50" i="3"/>
  <c r="AD46" i="3"/>
  <c r="AE46" i="3"/>
  <c r="AD42" i="3"/>
  <c r="AE42" i="3"/>
  <c r="AD55" i="3"/>
  <c r="H95" i="21" s="1"/>
  <c r="AE55" i="3"/>
  <c r="AD57" i="3"/>
  <c r="AE57" i="3"/>
  <c r="AD59" i="3"/>
  <c r="AE59" i="3"/>
  <c r="AD53" i="3"/>
  <c r="AE53" i="3"/>
  <c r="AD40" i="3"/>
  <c r="H12" i="21" s="1"/>
  <c r="AE40" i="3"/>
  <c r="AD58" i="3"/>
  <c r="AE58" i="3"/>
  <c r="AD47" i="3"/>
  <c r="H35" i="21" s="1"/>
  <c r="AE47" i="3"/>
  <c r="AD49" i="3"/>
  <c r="H56" i="21" s="1"/>
  <c r="AE49" i="3"/>
  <c r="AD60" i="3"/>
  <c r="H113" i="21" s="1"/>
  <c r="AE60" i="3"/>
  <c r="AD14" i="3"/>
  <c r="AE14" i="3"/>
  <c r="AD15" i="3"/>
  <c r="H64" i="21" s="1"/>
  <c r="AE15" i="3"/>
  <c r="AD13" i="3"/>
  <c r="H13" i="21" s="1"/>
  <c r="AE13" i="3"/>
  <c r="AD16" i="3"/>
  <c r="AE16" i="3"/>
  <c r="AD27" i="3"/>
  <c r="AE27" i="3"/>
  <c r="AD28" i="3"/>
  <c r="AE28" i="3"/>
  <c r="AD21" i="3"/>
  <c r="AE21" i="3"/>
  <c r="AD23" i="3"/>
  <c r="H81" i="21" s="1"/>
  <c r="AE23" i="3"/>
  <c r="AD17" i="3"/>
  <c r="AE17" i="3"/>
  <c r="AD24" i="3"/>
  <c r="AE24" i="3"/>
  <c r="AD25" i="3"/>
  <c r="AE25" i="3"/>
  <c r="AD22" i="3"/>
  <c r="AE22" i="3"/>
  <c r="AD20" i="3"/>
  <c r="H68" i="21" s="1"/>
  <c r="AE20" i="3"/>
  <c r="AD29" i="3"/>
  <c r="H105" i="21" s="1"/>
  <c r="AE29" i="3"/>
  <c r="AD19" i="3"/>
  <c r="H49" i="21" s="1"/>
  <c r="AE19" i="3"/>
  <c r="AD26" i="3"/>
  <c r="AE26" i="3"/>
  <c r="AD30" i="3"/>
  <c r="H107" i="21" s="1"/>
  <c r="AE30" i="3"/>
  <c r="AD18" i="3"/>
  <c r="H33" i="21" s="1"/>
  <c r="AE18" i="3"/>
  <c r="AD5" i="3"/>
  <c r="AE5" i="3"/>
  <c r="AD2" i="3"/>
  <c r="H5" i="21" s="1"/>
  <c r="AE2" i="3"/>
  <c r="AD6" i="3"/>
  <c r="H74" i="21" s="1"/>
  <c r="AE6" i="3"/>
  <c r="AD11" i="3"/>
  <c r="AE11" i="3"/>
  <c r="AD3" i="3"/>
  <c r="H7" i="21" s="1"/>
  <c r="AE3" i="3"/>
  <c r="AD7" i="3"/>
  <c r="H82" i="21" s="1"/>
  <c r="AE7" i="3"/>
  <c r="AD12" i="3"/>
  <c r="H110" i="21" s="1"/>
  <c r="AE12" i="3"/>
  <c r="AD10" i="3"/>
  <c r="H93" i="21" s="1"/>
  <c r="AE10" i="3"/>
  <c r="AD4" i="3"/>
  <c r="AE4" i="3"/>
  <c r="AD9" i="3"/>
  <c r="H88" i="21" s="1"/>
  <c r="AE9" i="3"/>
  <c r="AD8" i="3"/>
  <c r="H86" i="21" s="1"/>
  <c r="AE8" i="3"/>
  <c r="M179" i="12" l="1"/>
  <c r="M178" i="12"/>
  <c r="M177" i="12"/>
  <c r="M176" i="12"/>
  <c r="M175" i="12"/>
  <c r="M174" i="12"/>
  <c r="M173" i="12"/>
  <c r="M172" i="12"/>
  <c r="M171" i="12"/>
  <c r="M266" i="12"/>
  <c r="M265" i="12"/>
  <c r="M264" i="12"/>
  <c r="M263" i="12"/>
  <c r="M262" i="12"/>
  <c r="M261" i="12"/>
  <c r="M260" i="12"/>
  <c r="M259" i="12"/>
  <c r="M258" i="12"/>
  <c r="M257" i="12"/>
  <c r="M256" i="12"/>
  <c r="M255" i="12"/>
  <c r="M254" i="12"/>
  <c r="M253" i="12"/>
  <c r="M252" i="12"/>
  <c r="M251" i="12"/>
  <c r="M250" i="12"/>
  <c r="M249" i="12"/>
  <c r="M248" i="12"/>
  <c r="M247" i="12"/>
  <c r="M246" i="12"/>
  <c r="M245" i="12"/>
  <c r="M244" i="12"/>
  <c r="M243" i="12"/>
  <c r="M242" i="12"/>
  <c r="M241" i="12"/>
  <c r="M240" i="12"/>
  <c r="M239" i="12"/>
  <c r="M238" i="12"/>
  <c r="M237" i="12"/>
  <c r="M236" i="12"/>
  <c r="M235" i="12"/>
  <c r="M234" i="12"/>
  <c r="M233" i="12"/>
  <c r="M232" i="12"/>
  <c r="M231" i="12"/>
  <c r="M230" i="12"/>
  <c r="M229" i="12"/>
  <c r="M228" i="12"/>
  <c r="M227" i="12"/>
  <c r="M226" i="12"/>
  <c r="M225" i="12"/>
  <c r="M224" i="12"/>
  <c r="M223" i="12"/>
  <c r="M222" i="12"/>
  <c r="M221" i="12"/>
  <c r="M220" i="12"/>
  <c r="M219" i="12"/>
  <c r="M218" i="12"/>
  <c r="M217" i="12"/>
  <c r="M216" i="12"/>
  <c r="M215" i="12"/>
  <c r="M214" i="12"/>
  <c r="M213" i="12"/>
  <c r="M212" i="12"/>
  <c r="M211" i="12"/>
  <c r="M210" i="12"/>
  <c r="M209" i="12"/>
  <c r="M208" i="12"/>
  <c r="M207" i="12"/>
  <c r="M206" i="12"/>
  <c r="M205" i="12"/>
  <c r="M204" i="12"/>
  <c r="M203" i="12"/>
  <c r="M202" i="12"/>
  <c r="M201" i="12"/>
  <c r="M200" i="12"/>
  <c r="M199" i="12"/>
  <c r="M198" i="12"/>
  <c r="M197" i="12"/>
  <c r="M196" i="12"/>
  <c r="M195" i="12"/>
  <c r="M194" i="12"/>
  <c r="M193" i="12"/>
  <c r="M192" i="12"/>
  <c r="M191" i="12"/>
  <c r="M190" i="12"/>
  <c r="M189" i="12"/>
  <c r="M188" i="12"/>
  <c r="M187" i="12"/>
  <c r="M186" i="12"/>
  <c r="M185" i="12"/>
  <c r="M184" i="12"/>
  <c r="M183" i="12"/>
  <c r="M182" i="12"/>
  <c r="M181" i="12"/>
  <c r="M180" i="12"/>
  <c r="K7" i="21"/>
  <c r="M7" i="21"/>
  <c r="L125" i="21"/>
  <c r="K125" i="21" s="1"/>
  <c r="E17" i="21"/>
  <c r="H125" i="21"/>
  <c r="L11" i="21"/>
  <c r="M11" i="21" s="1"/>
  <c r="H11" i="21"/>
  <c r="K12" i="21"/>
  <c r="M12" i="21"/>
  <c r="K15" i="21"/>
  <c r="M15" i="21"/>
  <c r="L16" i="21"/>
  <c r="H16" i="21"/>
  <c r="L17" i="21"/>
  <c r="H17" i="21"/>
  <c r="L22" i="21"/>
  <c r="H22" i="21"/>
  <c r="L24" i="21"/>
  <c r="K24" i="21" s="1"/>
  <c r="H24" i="21"/>
  <c r="L30" i="21"/>
  <c r="H30" i="21"/>
  <c r="C32" i="21"/>
  <c r="L32" i="21"/>
  <c r="L34" i="21"/>
  <c r="H34" i="21"/>
  <c r="L38" i="21"/>
  <c r="M38" i="21" s="1"/>
  <c r="H38" i="21"/>
  <c r="L40" i="21"/>
  <c r="K40" i="21" s="1"/>
  <c r="H40" i="21"/>
  <c r="K42" i="21"/>
  <c r="M42" i="21"/>
  <c r="L44" i="21"/>
  <c r="H44" i="21"/>
  <c r="L47" i="21"/>
  <c r="M47" i="21" s="1"/>
  <c r="H47" i="21"/>
  <c r="L126" i="21"/>
  <c r="K126" i="21" s="1"/>
  <c r="E18" i="21"/>
  <c r="H126" i="21"/>
  <c r="L52" i="21"/>
  <c r="H52" i="21"/>
  <c r="L53" i="21"/>
  <c r="H53" i="21"/>
  <c r="K55" i="21"/>
  <c r="M55" i="21"/>
  <c r="K60" i="21"/>
  <c r="M60" i="21"/>
  <c r="L62" i="21"/>
  <c r="M62" i="21" s="1"/>
  <c r="H62" i="21"/>
  <c r="K64" i="21"/>
  <c r="M64" i="21"/>
  <c r="L65" i="21"/>
  <c r="H65" i="21"/>
  <c r="L70" i="21"/>
  <c r="K70" i="21" s="1"/>
  <c r="H70" i="21"/>
  <c r="K73" i="21"/>
  <c r="M73" i="21"/>
  <c r="L75" i="21"/>
  <c r="H75" i="21"/>
  <c r="L76" i="21"/>
  <c r="H76" i="21"/>
  <c r="K81" i="21"/>
  <c r="M81" i="21"/>
  <c r="K82" i="21"/>
  <c r="M82" i="21"/>
  <c r="L83" i="21"/>
  <c r="H83" i="21"/>
  <c r="K87" i="21"/>
  <c r="M87" i="21"/>
  <c r="K88" i="21"/>
  <c r="M88" i="21"/>
  <c r="L92" i="21"/>
  <c r="H92" i="21"/>
  <c r="K94" i="21"/>
  <c r="M94" i="21"/>
  <c r="L96" i="21"/>
  <c r="H96" i="21"/>
  <c r="K97" i="21"/>
  <c r="M97" i="21"/>
  <c r="L100" i="21"/>
  <c r="H100" i="21"/>
  <c r="K102" i="21"/>
  <c r="M102" i="21"/>
  <c r="K103" i="21"/>
  <c r="M103" i="21"/>
  <c r="K105" i="21"/>
  <c r="M105" i="21"/>
  <c r="K106" i="21"/>
  <c r="M106" i="21"/>
  <c r="K108" i="21"/>
  <c r="M108" i="21"/>
  <c r="K112" i="21"/>
  <c r="M112" i="21"/>
  <c r="L113" i="21"/>
  <c r="E5" i="21"/>
  <c r="L114" i="21"/>
  <c r="K114" i="21" s="1"/>
  <c r="E6" i="21"/>
  <c r="L115" i="21"/>
  <c r="K115" i="21" s="1"/>
  <c r="E7" i="21"/>
  <c r="L116" i="21"/>
  <c r="K116" i="21" s="1"/>
  <c r="E8" i="21"/>
  <c r="L117" i="21"/>
  <c r="K117" i="21" s="1"/>
  <c r="E9" i="21"/>
  <c r="L118" i="21"/>
  <c r="E10" i="21"/>
  <c r="L120" i="21"/>
  <c r="K120" i="21" s="1"/>
  <c r="E12" i="21"/>
  <c r="L121" i="21"/>
  <c r="E13" i="21"/>
  <c r="L123" i="21"/>
  <c r="K123" i="21" s="1"/>
  <c r="E15" i="21"/>
  <c r="K51" i="21"/>
  <c r="M51" i="21"/>
  <c r="L213" i="21"/>
  <c r="M213" i="21" s="1"/>
  <c r="E105" i="21"/>
  <c r="H213" i="21"/>
  <c r="C212" i="21"/>
  <c r="L212" i="21"/>
  <c r="E104" i="21"/>
  <c r="H212" i="21"/>
  <c r="L211" i="21"/>
  <c r="M211" i="21" s="1"/>
  <c r="E103" i="21"/>
  <c r="H211" i="21"/>
  <c r="L210" i="21"/>
  <c r="M210" i="21" s="1"/>
  <c r="E102" i="21"/>
  <c r="H210" i="21"/>
  <c r="L209" i="21"/>
  <c r="K209" i="21" s="1"/>
  <c r="E101" i="21"/>
  <c r="H209" i="21"/>
  <c r="C207" i="21"/>
  <c r="L207" i="21"/>
  <c r="M207" i="21" s="1"/>
  <c r="E99" i="21"/>
  <c r="H207" i="21"/>
  <c r="D206" i="21"/>
  <c r="L206" i="21"/>
  <c r="K206" i="21" s="1"/>
  <c r="E98" i="21"/>
  <c r="H206" i="21"/>
  <c r="L205" i="21"/>
  <c r="K205" i="21" s="1"/>
  <c r="E97" i="21"/>
  <c r="H205" i="21"/>
  <c r="L204" i="21"/>
  <c r="E96" i="21"/>
  <c r="H204" i="21"/>
  <c r="D203" i="21"/>
  <c r="L203" i="21"/>
  <c r="K203" i="21" s="1"/>
  <c r="E95" i="21"/>
  <c r="H203" i="21"/>
  <c r="D202" i="21"/>
  <c r="L202" i="21"/>
  <c r="E94" i="21"/>
  <c r="H202" i="21"/>
  <c r="L201" i="21"/>
  <c r="E93" i="21"/>
  <c r="H201" i="21"/>
  <c r="L200" i="21"/>
  <c r="M200" i="21" s="1"/>
  <c r="E92" i="21"/>
  <c r="H200" i="21"/>
  <c r="L199" i="21"/>
  <c r="M199" i="21" s="1"/>
  <c r="E91" i="21"/>
  <c r="H199" i="21"/>
  <c r="C198" i="21"/>
  <c r="L198" i="21"/>
  <c r="E90" i="21"/>
  <c r="H198" i="21"/>
  <c r="L197" i="21"/>
  <c r="E89" i="21"/>
  <c r="H197" i="21"/>
  <c r="L196" i="21"/>
  <c r="M196" i="21" s="1"/>
  <c r="E88" i="21"/>
  <c r="H196" i="21"/>
  <c r="L195" i="21"/>
  <c r="E87" i="21"/>
  <c r="H195" i="21"/>
  <c r="L194" i="21"/>
  <c r="K194" i="21" s="1"/>
  <c r="E86" i="21"/>
  <c r="H194" i="21"/>
  <c r="L193" i="21"/>
  <c r="K193" i="21" s="1"/>
  <c r="E85" i="21"/>
  <c r="H193" i="21"/>
  <c r="L192" i="21"/>
  <c r="M192" i="21" s="1"/>
  <c r="E84" i="21"/>
  <c r="H192" i="21"/>
  <c r="L191" i="21"/>
  <c r="M191" i="21" s="1"/>
  <c r="E83" i="21"/>
  <c r="H191" i="21"/>
  <c r="L190" i="21"/>
  <c r="E82" i="21"/>
  <c r="H190" i="21"/>
  <c r="L189" i="21"/>
  <c r="E81" i="21"/>
  <c r="H189" i="21"/>
  <c r="L188" i="21"/>
  <c r="E80" i="21"/>
  <c r="H188" i="21"/>
  <c r="L187" i="21"/>
  <c r="M187" i="21" s="1"/>
  <c r="E79" i="21"/>
  <c r="H187" i="21"/>
  <c r="L186" i="21"/>
  <c r="E78" i="21"/>
  <c r="H186" i="21"/>
  <c r="C185" i="21"/>
  <c r="L185" i="21"/>
  <c r="K185" i="21" s="1"/>
  <c r="E77" i="21"/>
  <c r="H185" i="21"/>
  <c r="C184" i="21"/>
  <c r="L184" i="21"/>
  <c r="K184" i="21" s="1"/>
  <c r="E76" i="21"/>
  <c r="H184" i="21"/>
  <c r="C183" i="21"/>
  <c r="L183" i="21"/>
  <c r="M183" i="21" s="1"/>
  <c r="E75" i="21"/>
  <c r="H183" i="21"/>
  <c r="C182" i="21"/>
  <c r="L182" i="21"/>
  <c r="E74" i="21"/>
  <c r="H182" i="21"/>
  <c r="C181" i="21"/>
  <c r="L181" i="21"/>
  <c r="E73" i="21"/>
  <c r="H181" i="21"/>
  <c r="L180" i="21"/>
  <c r="M180" i="21" s="1"/>
  <c r="E72" i="21"/>
  <c r="H180" i="21"/>
  <c r="L179" i="21"/>
  <c r="E71" i="21"/>
  <c r="H179" i="21"/>
  <c r="L178" i="21"/>
  <c r="E70" i="21"/>
  <c r="H178" i="21"/>
  <c r="L177" i="21"/>
  <c r="M177" i="21" s="1"/>
  <c r="E69" i="21"/>
  <c r="H177" i="21"/>
  <c r="L176" i="21"/>
  <c r="K176" i="21" s="1"/>
  <c r="E68" i="21"/>
  <c r="H176" i="21"/>
  <c r="L175" i="21"/>
  <c r="K175" i="21" s="1"/>
  <c r="E67" i="21"/>
  <c r="H175" i="21"/>
  <c r="L174" i="21"/>
  <c r="M174" i="21" s="1"/>
  <c r="E66" i="21"/>
  <c r="H174" i="21"/>
  <c r="L173" i="21"/>
  <c r="E65" i="21"/>
  <c r="H173" i="21"/>
  <c r="L172" i="21"/>
  <c r="M172" i="21" s="1"/>
  <c r="E64" i="21"/>
  <c r="H172" i="21"/>
  <c r="C171" i="21"/>
  <c r="L171" i="21"/>
  <c r="E63" i="21"/>
  <c r="H171" i="21"/>
  <c r="L170" i="21"/>
  <c r="M170" i="21" s="1"/>
  <c r="E62" i="21"/>
  <c r="H170" i="21"/>
  <c r="L169" i="21"/>
  <c r="E61" i="21"/>
  <c r="H169" i="21"/>
  <c r="L168" i="21"/>
  <c r="M168" i="21" s="1"/>
  <c r="E60" i="21"/>
  <c r="H168" i="21"/>
  <c r="D167" i="21"/>
  <c r="L167" i="21"/>
  <c r="K167" i="21" s="1"/>
  <c r="E59" i="21"/>
  <c r="H167" i="21"/>
  <c r="L166" i="21"/>
  <c r="K166" i="21" s="1"/>
  <c r="E58" i="21"/>
  <c r="H166" i="21"/>
  <c r="L165" i="21"/>
  <c r="M165" i="21" s="1"/>
  <c r="E57" i="21"/>
  <c r="H165" i="21"/>
  <c r="L164" i="21"/>
  <c r="M164" i="21" s="1"/>
  <c r="E56" i="21"/>
  <c r="H164" i="21"/>
  <c r="C163" i="21"/>
  <c r="L163" i="21"/>
  <c r="M163" i="21" s="1"/>
  <c r="E55" i="21"/>
  <c r="H163" i="21"/>
  <c r="D162" i="21"/>
  <c r="L162" i="21"/>
  <c r="E54" i="21"/>
  <c r="H162" i="21"/>
  <c r="L161" i="21"/>
  <c r="M161" i="21" s="1"/>
  <c r="E53" i="21"/>
  <c r="H161" i="21"/>
  <c r="C160" i="21"/>
  <c r="L160" i="21"/>
  <c r="K160" i="21" s="1"/>
  <c r="E52" i="21"/>
  <c r="H160" i="21"/>
  <c r="L159" i="21"/>
  <c r="M159" i="21" s="1"/>
  <c r="E51" i="21"/>
  <c r="H159" i="21"/>
  <c r="L158" i="21"/>
  <c r="K158" i="21" s="1"/>
  <c r="E50" i="21"/>
  <c r="H158" i="21"/>
  <c r="C157" i="21"/>
  <c r="L157" i="21"/>
  <c r="K157" i="21" s="1"/>
  <c r="E49" i="21"/>
  <c r="H157" i="21"/>
  <c r="L156" i="21"/>
  <c r="M156" i="21" s="1"/>
  <c r="E48" i="21"/>
  <c r="H156" i="21"/>
  <c r="D155" i="21"/>
  <c r="L155" i="21"/>
  <c r="E47" i="21"/>
  <c r="H155" i="21"/>
  <c r="L154" i="21"/>
  <c r="E46" i="21"/>
  <c r="H154" i="21"/>
  <c r="D153" i="21"/>
  <c r="L153" i="21"/>
  <c r="E45" i="21"/>
  <c r="H153" i="21"/>
  <c r="L152" i="21"/>
  <c r="E44" i="21"/>
  <c r="H152" i="21"/>
  <c r="L151" i="21"/>
  <c r="E43" i="21"/>
  <c r="H151" i="21"/>
  <c r="C150" i="21"/>
  <c r="L150" i="21"/>
  <c r="M150" i="21" s="1"/>
  <c r="E42" i="21"/>
  <c r="H150" i="21"/>
  <c r="L149" i="21"/>
  <c r="K149" i="21" s="1"/>
  <c r="E41" i="21"/>
  <c r="H149" i="21"/>
  <c r="L148" i="21"/>
  <c r="K148" i="21" s="1"/>
  <c r="E40" i="21"/>
  <c r="H148" i="21"/>
  <c r="C147" i="21"/>
  <c r="L147" i="21"/>
  <c r="M147" i="21" s="1"/>
  <c r="E39" i="21"/>
  <c r="H147" i="21"/>
  <c r="L146" i="21"/>
  <c r="E38" i="21"/>
  <c r="H146" i="21"/>
  <c r="D145" i="21"/>
  <c r="L145" i="21"/>
  <c r="E37" i="21"/>
  <c r="H145" i="21"/>
  <c r="L144" i="21"/>
  <c r="E36" i="21"/>
  <c r="H144" i="21"/>
  <c r="L143" i="21"/>
  <c r="E35" i="21"/>
  <c r="H143" i="21"/>
  <c r="L142" i="21"/>
  <c r="E34" i="21"/>
  <c r="H142" i="21"/>
  <c r="L141" i="21"/>
  <c r="K141" i="21" s="1"/>
  <c r="E33" i="21"/>
  <c r="H141" i="21"/>
  <c r="L140" i="21"/>
  <c r="E32" i="21"/>
  <c r="H140" i="21"/>
  <c r="L139" i="21"/>
  <c r="E31" i="21"/>
  <c r="H139" i="21"/>
  <c r="C138" i="21"/>
  <c r="L138" i="21"/>
  <c r="K138" i="21" s="1"/>
  <c r="E30" i="21"/>
  <c r="H138" i="21"/>
  <c r="L137" i="21"/>
  <c r="K137" i="21" s="1"/>
  <c r="E29" i="21"/>
  <c r="H137" i="21"/>
  <c r="C136" i="21"/>
  <c r="L136" i="21"/>
  <c r="K136" i="21" s="1"/>
  <c r="E28" i="21"/>
  <c r="H136" i="21"/>
  <c r="L135" i="21"/>
  <c r="K135" i="21" s="1"/>
  <c r="E27" i="21"/>
  <c r="H135" i="21"/>
  <c r="L134" i="21"/>
  <c r="E26" i="21"/>
  <c r="H134" i="21"/>
  <c r="L133" i="21"/>
  <c r="E25" i="21"/>
  <c r="H133" i="21"/>
  <c r="L132" i="21"/>
  <c r="K132" i="21" s="1"/>
  <c r="E24" i="21"/>
  <c r="H132" i="21"/>
  <c r="C131" i="21"/>
  <c r="L131" i="21"/>
  <c r="K131" i="21" s="1"/>
  <c r="E23" i="21"/>
  <c r="H131" i="21"/>
  <c r="L130" i="21"/>
  <c r="K130" i="21" s="1"/>
  <c r="E22" i="21"/>
  <c r="H130" i="21"/>
  <c r="C129" i="21"/>
  <c r="L129" i="21"/>
  <c r="K129" i="21" s="1"/>
  <c r="E21" i="21"/>
  <c r="H129" i="21"/>
  <c r="L128" i="21"/>
  <c r="E20" i="21"/>
  <c r="H128" i="21"/>
  <c r="L127" i="21"/>
  <c r="E19" i="21"/>
  <c r="H127" i="21"/>
  <c r="C85" i="21"/>
  <c r="L85" i="21"/>
  <c r="M85" i="21" s="1"/>
  <c r="D77" i="21"/>
  <c r="L77" i="21"/>
  <c r="M77" i="21" s="1"/>
  <c r="D99" i="21"/>
  <c r="L99" i="21"/>
  <c r="C31" i="21"/>
  <c r="L31" i="21"/>
  <c r="C10" i="21"/>
  <c r="L10" i="21"/>
  <c r="M10" i="21" s="1"/>
  <c r="K90" i="21"/>
  <c r="M90" i="21"/>
  <c r="D25" i="21"/>
  <c r="L25" i="21"/>
  <c r="K91" i="21"/>
  <c r="M91" i="21"/>
  <c r="C63" i="21"/>
  <c r="L63" i="21"/>
  <c r="K19" i="21"/>
  <c r="M19" i="21"/>
  <c r="C6" i="21"/>
  <c r="D6" i="21"/>
  <c r="L6" i="21"/>
  <c r="L119" i="21"/>
  <c r="E11" i="21"/>
  <c r="D36" i="21"/>
  <c r="L36" i="21"/>
  <c r="D124" i="21"/>
  <c r="L124" i="21"/>
  <c r="K124" i="21" s="1"/>
  <c r="E16" i="21"/>
  <c r="L66" i="21"/>
  <c r="H66" i="21"/>
  <c r="L46" i="21"/>
  <c r="H46" i="21"/>
  <c r="D43" i="21"/>
  <c r="L43" i="21"/>
  <c r="H43" i="21"/>
  <c r="D72" i="21"/>
  <c r="L72" i="21"/>
  <c r="K5" i="21"/>
  <c r="M5" i="21"/>
  <c r="L9" i="21"/>
  <c r="H9" i="21"/>
  <c r="H25" i="21"/>
  <c r="H91" i="21"/>
  <c r="H18" i="21"/>
  <c r="H63" i="21"/>
  <c r="H106" i="21"/>
  <c r="H36" i="21"/>
  <c r="H124" i="21"/>
  <c r="H72" i="21"/>
  <c r="H67" i="21"/>
  <c r="H51" i="21"/>
  <c r="H41" i="21"/>
  <c r="H19" i="21"/>
  <c r="H117" i="21"/>
  <c r="H6" i="21"/>
  <c r="H90" i="21"/>
  <c r="H85" i="21"/>
  <c r="H112" i="21"/>
  <c r="H71" i="21"/>
  <c r="H99" i="21"/>
  <c r="H31" i="21"/>
  <c r="H78" i="21"/>
  <c r="H21" i="21"/>
  <c r="H28" i="21"/>
  <c r="L122" i="21"/>
  <c r="E14" i="21"/>
  <c r="L208" i="21"/>
  <c r="M208" i="21" s="1"/>
  <c r="E100" i="21"/>
  <c r="H208" i="21"/>
  <c r="H119" i="21"/>
  <c r="H10" i="21"/>
  <c r="M226" i="21"/>
  <c r="K226" i="21"/>
  <c r="M220" i="21"/>
  <c r="K220" i="21"/>
  <c r="M217" i="21"/>
  <c r="K217" i="21"/>
  <c r="M212" i="21"/>
  <c r="K212" i="21"/>
  <c r="M204" i="21"/>
  <c r="K204" i="21"/>
  <c r="M201" i="21"/>
  <c r="K201" i="21"/>
  <c r="M198" i="21"/>
  <c r="K198" i="21"/>
  <c r="M190" i="21"/>
  <c r="K190" i="21"/>
  <c r="M189" i="21"/>
  <c r="K189" i="21"/>
  <c r="M182" i="21"/>
  <c r="K182" i="21"/>
  <c r="M181" i="21"/>
  <c r="K181" i="21"/>
  <c r="M179" i="21"/>
  <c r="K179" i="21"/>
  <c r="M173" i="21"/>
  <c r="K173" i="21"/>
  <c r="M171" i="21"/>
  <c r="K171" i="21"/>
  <c r="M162" i="21"/>
  <c r="K162" i="21"/>
  <c r="H29" i="21"/>
  <c r="H27" i="21"/>
  <c r="H32" i="21"/>
  <c r="H69" i="21"/>
  <c r="H102" i="21"/>
  <c r="H123" i="21"/>
  <c r="H79" i="21"/>
  <c r="H60" i="21"/>
  <c r="K221" i="21"/>
  <c r="K213" i="21"/>
  <c r="K211" i="21"/>
  <c r="M209" i="21"/>
  <c r="K208" i="21"/>
  <c r="S208" i="21" s="1"/>
  <c r="K196" i="21"/>
  <c r="M194" i="21"/>
  <c r="K191" i="21"/>
  <c r="K187" i="21"/>
  <c r="K180" i="21"/>
  <c r="K172" i="21"/>
  <c r="K170" i="21"/>
  <c r="K163" i="21"/>
  <c r="K161" i="21"/>
  <c r="M160" i="21"/>
  <c r="M203" i="21"/>
  <c r="M193" i="21"/>
  <c r="G192" i="21" a="1"/>
  <c r="G192" i="21" s="1"/>
  <c r="G93" i="21" a="1"/>
  <c r="G93" i="21" s="1"/>
  <c r="M155" i="21"/>
  <c r="K155" i="21"/>
  <c r="M154" i="21"/>
  <c r="K154" i="21"/>
  <c r="M153" i="21"/>
  <c r="K153" i="21"/>
  <c r="M146" i="21"/>
  <c r="K146" i="21"/>
  <c r="M145" i="21"/>
  <c r="K145" i="21"/>
  <c r="M144" i="21"/>
  <c r="K144" i="21"/>
  <c r="M140" i="21"/>
  <c r="K140" i="21"/>
  <c r="M139" i="21"/>
  <c r="K139" i="21"/>
  <c r="M119" i="21"/>
  <c r="K119" i="21"/>
  <c r="S119" i="21" s="1"/>
  <c r="M118" i="21"/>
  <c r="K118" i="21"/>
  <c r="M107" i="21"/>
  <c r="K107" i="21"/>
  <c r="M104" i="21"/>
  <c r="K104" i="21"/>
  <c r="M101" i="21"/>
  <c r="K101" i="21"/>
  <c r="M98" i="21"/>
  <c r="K98" i="21"/>
  <c r="M95" i="21"/>
  <c r="K95" i="21"/>
  <c r="M93" i="21"/>
  <c r="K93" i="21"/>
  <c r="M92" i="21"/>
  <c r="K92" i="21"/>
  <c r="M84" i="21"/>
  <c r="K84" i="21"/>
  <c r="M83" i="21"/>
  <c r="K83" i="21"/>
  <c r="M76" i="21"/>
  <c r="K76" i="21"/>
  <c r="M75" i="21"/>
  <c r="K75" i="21"/>
  <c r="M74" i="21"/>
  <c r="K74" i="21"/>
  <c r="M67" i="21"/>
  <c r="K67" i="21"/>
  <c r="M66" i="21"/>
  <c r="K66" i="21"/>
  <c r="M65" i="21"/>
  <c r="K65" i="21"/>
  <c r="M58" i="21"/>
  <c r="K58" i="21"/>
  <c r="M57" i="21"/>
  <c r="K57" i="21"/>
  <c r="M53" i="21"/>
  <c r="K53" i="21"/>
  <c r="M48" i="21"/>
  <c r="K48" i="21"/>
  <c r="M44" i="21"/>
  <c r="K44" i="21"/>
  <c r="M33" i="21"/>
  <c r="K33" i="21"/>
  <c r="M32" i="21"/>
  <c r="K32" i="21"/>
  <c r="M27" i="21"/>
  <c r="K27" i="21"/>
  <c r="M26" i="21"/>
  <c r="K26" i="21"/>
  <c r="M23" i="21"/>
  <c r="K23" i="21"/>
  <c r="M22" i="21"/>
  <c r="K22" i="21"/>
  <c r="M21" i="21"/>
  <c r="K21" i="21"/>
  <c r="M17" i="21"/>
  <c r="K17" i="21"/>
  <c r="G42" i="6" a="1"/>
  <c r="G42" i="6" s="1"/>
  <c r="D39" i="5" a="1"/>
  <c r="D39" i="5" s="1"/>
  <c r="R113" i="5"/>
  <c r="R104" i="5"/>
  <c r="H77" i="21"/>
  <c r="M224" i="21"/>
  <c r="M223" i="21"/>
  <c r="G222" i="21" a="1"/>
  <c r="G222" i="21" s="1"/>
  <c r="G221" i="21" a="1"/>
  <c r="G221" i="21" s="1"/>
  <c r="G220" i="21" a="1"/>
  <c r="G220" i="21" s="1"/>
  <c r="K219" i="21"/>
  <c r="M215" i="21"/>
  <c r="M214" i="21"/>
  <c r="G213" i="21" a="1"/>
  <c r="G213" i="21" s="1"/>
  <c r="G212" i="21" a="1"/>
  <c r="G212" i="21" s="1"/>
  <c r="G211" i="21" a="1"/>
  <c r="G211" i="21" s="1"/>
  <c r="K210" i="21"/>
  <c r="M206" i="21"/>
  <c r="S206" i="21" s="1"/>
  <c r="M205" i="21"/>
  <c r="G204" i="21" a="1"/>
  <c r="G204" i="21" s="1"/>
  <c r="G201" i="21" a="1"/>
  <c r="G201" i="21" s="1"/>
  <c r="K200" i="21"/>
  <c r="G194" i="21" a="1"/>
  <c r="G194" i="21" s="1"/>
  <c r="H109" i="21"/>
  <c r="H73" i="21"/>
  <c r="H20" i="21"/>
  <c r="H26" i="21"/>
  <c r="H97" i="21"/>
  <c r="G225" i="21" a="1"/>
  <c r="G225" i="21" s="1"/>
  <c r="G224" i="21" a="1"/>
  <c r="G224" i="21" s="1"/>
  <c r="G223" i="21" a="1"/>
  <c r="G223" i="21" s="1"/>
  <c r="K222" i="21"/>
  <c r="G216" i="21" a="1"/>
  <c r="G216" i="21" s="1"/>
  <c r="G215" i="21" a="1"/>
  <c r="G215" i="21" s="1"/>
  <c r="G214" i="21" a="1"/>
  <c r="G214" i="21" s="1"/>
  <c r="G207" i="21" a="1"/>
  <c r="G207" i="21" s="1"/>
  <c r="G206" i="21" a="1"/>
  <c r="G206" i="21" s="1"/>
  <c r="G205" i="21" a="1"/>
  <c r="G205" i="21" s="1"/>
  <c r="G202" i="21" a="1"/>
  <c r="G202" i="21" s="1"/>
  <c r="G199" i="21" a="1"/>
  <c r="G199" i="21" s="1"/>
  <c r="G195" i="21" a="1"/>
  <c r="G195" i="21" s="1"/>
  <c r="M186" i="21"/>
  <c r="K186" i="21"/>
  <c r="H94" i="21"/>
  <c r="H98" i="21"/>
  <c r="I31" i="6"/>
  <c r="D64" i="5" a="1"/>
  <c r="D64" i="5" s="1"/>
  <c r="H104" i="21"/>
  <c r="G98" i="21" a="1"/>
  <c r="G98" i="21" s="1"/>
  <c r="G99" i="21" a="1"/>
  <c r="G99" i="21" s="1"/>
  <c r="G100" i="21" a="1"/>
  <c r="G100" i="21" s="1"/>
  <c r="G101" i="21" a="1"/>
  <c r="G101" i="21" s="1"/>
  <c r="G102" i="21" a="1"/>
  <c r="G102" i="21" s="1"/>
  <c r="G103" i="21" a="1"/>
  <c r="G103" i="21" s="1"/>
  <c r="G104" i="21" a="1"/>
  <c r="G104" i="21" s="1"/>
  <c r="G105" i="21" a="1"/>
  <c r="G105" i="21" s="1"/>
  <c r="G112" i="21" a="1"/>
  <c r="G112" i="21" s="1"/>
  <c r="G113" i="21" a="1"/>
  <c r="G113" i="21" s="1"/>
  <c r="G114" i="21" a="1"/>
  <c r="G114" i="21" s="1"/>
  <c r="G121" i="21" a="1"/>
  <c r="G121" i="21" s="1"/>
  <c r="G122" i="21" a="1"/>
  <c r="G122" i="21" s="1"/>
  <c r="G123" i="21" a="1"/>
  <c r="G123" i="21" s="1"/>
  <c r="G127" i="21" a="1"/>
  <c r="G127" i="21" s="1"/>
  <c r="G128" i="21" a="1"/>
  <c r="G128" i="21" s="1"/>
  <c r="G129" i="21" a="1"/>
  <c r="G129" i="21" s="1"/>
  <c r="G142" i="21" a="1"/>
  <c r="G142" i="21" s="1"/>
  <c r="G143" i="21" a="1"/>
  <c r="G143" i="21" s="1"/>
  <c r="G144" i="21" a="1"/>
  <c r="G144" i="21" s="1"/>
  <c r="G151" i="21" a="1"/>
  <c r="G151" i="21" s="1"/>
  <c r="G152" i="21" a="1"/>
  <c r="G152" i="21" s="1"/>
  <c r="G153" i="21" a="1"/>
  <c r="G153" i="21" s="1"/>
  <c r="G160" i="21" a="1"/>
  <c r="G160" i="21" s="1"/>
  <c r="G161" i="21" a="1"/>
  <c r="G161" i="21" s="1"/>
  <c r="G162" i="21" a="1"/>
  <c r="G162" i="21" s="1"/>
  <c r="G169" i="21" a="1"/>
  <c r="G169" i="21" s="1"/>
  <c r="G170" i="21" a="1"/>
  <c r="G170" i="21" s="1"/>
  <c r="G171" i="21" a="1"/>
  <c r="G171" i="21" s="1"/>
  <c r="G178" i="21" a="1"/>
  <c r="G178" i="21" s="1"/>
  <c r="G179" i="21" a="1"/>
  <c r="G179" i="21" s="1"/>
  <c r="G180" i="21" a="1"/>
  <c r="G180" i="21" s="1"/>
  <c r="G187" i="21" a="1"/>
  <c r="G187" i="21" s="1"/>
  <c r="G188" i="21" a="1"/>
  <c r="G188" i="21" s="1"/>
  <c r="G189" i="21" a="1"/>
  <c r="G189" i="21" s="1"/>
  <c r="G196" i="21" a="1"/>
  <c r="G196" i="21" s="1"/>
  <c r="G197" i="21" a="1"/>
  <c r="G197" i="21" s="1"/>
  <c r="G198" i="21" a="1"/>
  <c r="G198" i="21" s="1"/>
  <c r="G108" i="21" a="1"/>
  <c r="G108" i="21" s="1"/>
  <c r="G109" i="21" a="1"/>
  <c r="G109" i="21" s="1"/>
  <c r="G110" i="21" a="1"/>
  <c r="G110" i="21" s="1"/>
  <c r="G115" i="21" a="1"/>
  <c r="G115" i="21" s="1"/>
  <c r="G116" i="21" a="1"/>
  <c r="G116" i="21" s="1"/>
  <c r="G117" i="21" a="1"/>
  <c r="G117" i="21" s="1"/>
  <c r="G124" i="21" a="1"/>
  <c r="G124" i="21" s="1"/>
  <c r="G125" i="21" a="1"/>
  <c r="G125" i="21" s="1"/>
  <c r="G126" i="21" a="1"/>
  <c r="G126" i="21" s="1"/>
  <c r="G130" i="21" a="1"/>
  <c r="G130" i="21" s="1"/>
  <c r="G131" i="21" a="1"/>
  <c r="G131" i="21" s="1"/>
  <c r="G132" i="21" a="1"/>
  <c r="G132" i="21" s="1"/>
  <c r="G136" i="21" a="1"/>
  <c r="G136" i="21" s="1"/>
  <c r="G137" i="21" a="1"/>
  <c r="G137" i="21" s="1"/>
  <c r="G138" i="21" a="1"/>
  <c r="G138" i="21" s="1"/>
  <c r="G148" i="21" a="1"/>
  <c r="G148" i="21" s="1"/>
  <c r="G149" i="21" a="1"/>
  <c r="G149" i="21" s="1"/>
  <c r="G150" i="21" a="1"/>
  <c r="G150" i="21" s="1"/>
  <c r="G157" i="21" a="1"/>
  <c r="G157" i="21" s="1"/>
  <c r="G158" i="21" a="1"/>
  <c r="G158" i="21" s="1"/>
  <c r="G159" i="21" a="1"/>
  <c r="G159" i="21" s="1"/>
  <c r="G166" i="21" a="1"/>
  <c r="G166" i="21" s="1"/>
  <c r="G167" i="21" a="1"/>
  <c r="G167" i="21" s="1"/>
  <c r="G168" i="21" a="1"/>
  <c r="G168" i="21" s="1"/>
  <c r="G175" i="21" a="1"/>
  <c r="G175" i="21" s="1"/>
  <c r="G176" i="21" a="1"/>
  <c r="G176" i="21" s="1"/>
  <c r="G177" i="21" a="1"/>
  <c r="G177" i="21" s="1"/>
  <c r="G184" i="21" a="1"/>
  <c r="G184" i="21" s="1"/>
  <c r="G185" i="21" a="1"/>
  <c r="G185" i="21" s="1"/>
  <c r="G186" i="21" a="1"/>
  <c r="G186" i="21" s="1"/>
  <c r="G106" i="21" a="1"/>
  <c r="G106" i="21" s="1"/>
  <c r="G107" i="21" a="1"/>
  <c r="G107" i="21" s="1"/>
  <c r="G111" i="21" a="1"/>
  <c r="G111" i="21" s="1"/>
  <c r="G118" i="21" a="1"/>
  <c r="G118" i="21" s="1"/>
  <c r="G119" i="21" a="1"/>
  <c r="G119" i="21" s="1"/>
  <c r="G120" i="21" a="1"/>
  <c r="G120" i="21" s="1"/>
  <c r="G133" i="21" a="1"/>
  <c r="G133" i="21" s="1"/>
  <c r="G134" i="21" a="1"/>
  <c r="G134" i="21" s="1"/>
  <c r="G135" i="21" a="1"/>
  <c r="G135" i="21" s="1"/>
  <c r="G139" i="21" a="1"/>
  <c r="G139" i="21" s="1"/>
  <c r="G140" i="21" a="1"/>
  <c r="G140" i="21" s="1"/>
  <c r="G141" i="21" a="1"/>
  <c r="G141" i="21" s="1"/>
  <c r="G145" i="21" a="1"/>
  <c r="G145" i="21" s="1"/>
  <c r="G146" i="21" a="1"/>
  <c r="G146" i="21" s="1"/>
  <c r="G147" i="21" a="1"/>
  <c r="G147" i="21" s="1"/>
  <c r="G154" i="21" a="1"/>
  <c r="G154" i="21" s="1"/>
  <c r="G155" i="21" a="1"/>
  <c r="G155" i="21" s="1"/>
  <c r="G156" i="21" a="1"/>
  <c r="G156" i="21" s="1"/>
  <c r="G163" i="21" a="1"/>
  <c r="G163" i="21" s="1"/>
  <c r="G164" i="21" a="1"/>
  <c r="G164" i="21" s="1"/>
  <c r="G165" i="21" a="1"/>
  <c r="G165" i="21" s="1"/>
  <c r="G172" i="21" a="1"/>
  <c r="G172" i="21" s="1"/>
  <c r="G173" i="21" a="1"/>
  <c r="G173" i="21" s="1"/>
  <c r="G174" i="21" a="1"/>
  <c r="G174" i="21" s="1"/>
  <c r="G181" i="21" a="1"/>
  <c r="G181" i="21" s="1"/>
  <c r="G182" i="21" a="1"/>
  <c r="G182" i="21" s="1"/>
  <c r="G183" i="21" a="1"/>
  <c r="G183" i="21" s="1"/>
  <c r="G190" i="21" a="1"/>
  <c r="G190" i="21" s="1"/>
  <c r="G191" i="21" a="1"/>
  <c r="G191" i="21" s="1"/>
  <c r="G227" i="21" a="1"/>
  <c r="G227" i="21" s="1"/>
  <c r="G226" i="21" a="1"/>
  <c r="G226" i="21" s="1"/>
  <c r="K225" i="21"/>
  <c r="G219" i="21" a="1"/>
  <c r="G219" i="21" s="1"/>
  <c r="G218" i="21" a="1"/>
  <c r="G218" i="21" s="1"/>
  <c r="G217" i="21" a="1"/>
  <c r="G217" i="21" s="1"/>
  <c r="K216" i="21"/>
  <c r="G210" i="21" a="1"/>
  <c r="G210" i="21" s="1"/>
  <c r="G209" i="21" a="1"/>
  <c r="G209" i="21" s="1"/>
  <c r="G208" i="21" a="1"/>
  <c r="G208" i="21" s="1"/>
  <c r="K207" i="21"/>
  <c r="S207" i="21" s="1"/>
  <c r="G203" i="21" a="1"/>
  <c r="G203" i="21" s="1"/>
  <c r="G200" i="21" a="1"/>
  <c r="G200" i="21" s="1"/>
  <c r="K199" i="21"/>
  <c r="M195" i="21"/>
  <c r="K195" i="21"/>
  <c r="G193" i="21" a="1"/>
  <c r="G193" i="21" s="1"/>
  <c r="K192" i="21"/>
  <c r="M185" i="21"/>
  <c r="M184" i="21"/>
  <c r="M176" i="21"/>
  <c r="M175" i="21"/>
  <c r="M167" i="21"/>
  <c r="M166" i="21"/>
  <c r="M158" i="21"/>
  <c r="M157" i="21"/>
  <c r="M149" i="21"/>
  <c r="M148" i="21"/>
  <c r="M137" i="21"/>
  <c r="M136" i="21"/>
  <c r="M131" i="21"/>
  <c r="M130" i="21"/>
  <c r="M125" i="21"/>
  <c r="M124" i="21"/>
  <c r="M116" i="21"/>
  <c r="M115" i="21"/>
  <c r="M109" i="21"/>
  <c r="K183" i="21"/>
  <c r="K174" i="21"/>
  <c r="K165" i="21"/>
  <c r="K164" i="21"/>
  <c r="K156" i="21"/>
  <c r="K147" i="21"/>
  <c r="K177" i="21"/>
  <c r="K168" i="21"/>
  <c r="K159" i="21"/>
  <c r="K150" i="21"/>
  <c r="G89" i="21" a="1"/>
  <c r="G89" i="21" s="1"/>
  <c r="G94" i="21" a="1"/>
  <c r="G94" i="21" s="1"/>
  <c r="G95" i="21" a="1"/>
  <c r="G95" i="21" s="1"/>
  <c r="G96" i="21" a="1"/>
  <c r="G96" i="21" s="1"/>
  <c r="G97" i="21" a="1"/>
  <c r="G97" i="21" s="1"/>
  <c r="G7" i="21" a="1"/>
  <c r="G7" i="21" s="1"/>
  <c r="G8" i="21" a="1"/>
  <c r="G8" i="21" s="1"/>
  <c r="G9" i="21" a="1"/>
  <c r="G9" i="21" s="1"/>
  <c r="G10" i="21" a="1"/>
  <c r="G10" i="21" s="1"/>
  <c r="G15" i="21" a="1"/>
  <c r="G15" i="21" s="1"/>
  <c r="G16" i="21" a="1"/>
  <c r="G16" i="21" s="1"/>
  <c r="G20" i="21" a="1"/>
  <c r="G20" i="21" s="1"/>
  <c r="G26" i="21" a="1"/>
  <c r="G26" i="21" s="1"/>
  <c r="G30" i="21" a="1"/>
  <c r="G30" i="21" s="1"/>
  <c r="G31" i="21" a="1"/>
  <c r="G31" i="21" s="1"/>
  <c r="G32" i="21" a="1"/>
  <c r="G32" i="21" s="1"/>
  <c r="G36" i="21" a="1"/>
  <c r="G36" i="21" s="1"/>
  <c r="G37" i="21" a="1"/>
  <c r="G37" i="21" s="1"/>
  <c r="G42" i="21" a="1"/>
  <c r="G42" i="21" s="1"/>
  <c r="G43" i="21" a="1"/>
  <c r="G43" i="21" s="1"/>
  <c r="G47" i="21" a="1"/>
  <c r="G47" i="21" s="1"/>
  <c r="G51" i="21" a="1"/>
  <c r="G51" i="21" s="1"/>
  <c r="G52" i="21" a="1"/>
  <c r="G52" i="21" s="1"/>
  <c r="G56" i="21" a="1"/>
  <c r="G56" i="21" s="1"/>
  <c r="G63" i="21" a="1"/>
  <c r="G63" i="21" s="1"/>
  <c r="G64" i="21" a="1"/>
  <c r="G64" i="21" s="1"/>
  <c r="G65" i="21" a="1"/>
  <c r="G65" i="21" s="1"/>
  <c r="G72" i="21" a="1"/>
  <c r="G72" i="21" s="1"/>
  <c r="G73" i="21" a="1"/>
  <c r="G73" i="21" s="1"/>
  <c r="G74" i="21" a="1"/>
  <c r="G74" i="21" s="1"/>
  <c r="G81" i="21" a="1"/>
  <c r="G81" i="21" s="1"/>
  <c r="G82" i="21" a="1"/>
  <c r="G82" i="21" s="1"/>
  <c r="G83" i="21" a="1"/>
  <c r="G83" i="21" s="1"/>
  <c r="G90" i="21" a="1"/>
  <c r="G90" i="21" s="1"/>
  <c r="G91" i="21" a="1"/>
  <c r="G91" i="21" s="1"/>
  <c r="G92" i="21" a="1"/>
  <c r="G92" i="21" s="1"/>
  <c r="G12" i="21" a="1"/>
  <c r="G12" i="21" s="1"/>
  <c r="G13" i="21" a="1"/>
  <c r="G13" i="21" s="1"/>
  <c r="G14" i="21" a="1"/>
  <c r="G14" i="21" s="1"/>
  <c r="G18" i="21" a="1"/>
  <c r="G18" i="21" s="1"/>
  <c r="G19" i="21" a="1"/>
  <c r="G19" i="21" s="1"/>
  <c r="G24" i="21" a="1"/>
  <c r="G24" i="21" s="1"/>
  <c r="G25" i="21" a="1"/>
  <c r="G25" i="21" s="1"/>
  <c r="G29" i="21" a="1"/>
  <c r="G29" i="21" s="1"/>
  <c r="G35" i="21" a="1"/>
  <c r="G35" i="21" s="1"/>
  <c r="G39" i="21" a="1"/>
  <c r="G39" i="21" s="1"/>
  <c r="G40" i="21" a="1"/>
  <c r="G40" i="21" s="1"/>
  <c r="G41" i="21" a="1"/>
  <c r="G41" i="21" s="1"/>
  <c r="G45" i="21" a="1"/>
  <c r="G45" i="21" s="1"/>
  <c r="G46" i="21" a="1"/>
  <c r="G46" i="21" s="1"/>
  <c r="G50" i="21" a="1"/>
  <c r="G50" i="21" s="1"/>
  <c r="G54" i="21" a="1"/>
  <c r="G54" i="21" s="1"/>
  <c r="G55" i="21" a="1"/>
  <c r="G55" i="21" s="1"/>
  <c r="G60" i="21" a="1"/>
  <c r="G60" i="21" s="1"/>
  <c r="G61" i="21" a="1"/>
  <c r="G61" i="21" s="1"/>
  <c r="G62" i="21" a="1"/>
  <c r="G62" i="21" s="1"/>
  <c r="G69" i="21" a="1"/>
  <c r="G69" i="21" s="1"/>
  <c r="G70" i="21" a="1"/>
  <c r="G70" i="21" s="1"/>
  <c r="G71" i="21" a="1"/>
  <c r="G71" i="21" s="1"/>
  <c r="G78" i="21" a="1"/>
  <c r="G78" i="21" s="1"/>
  <c r="G79" i="21" a="1"/>
  <c r="G79" i="21" s="1"/>
  <c r="G80" i="21" a="1"/>
  <c r="G80" i="21" s="1"/>
  <c r="G87" i="21" a="1"/>
  <c r="G87" i="21" s="1"/>
  <c r="G88" i="21" a="1"/>
  <c r="G88" i="21" s="1"/>
  <c r="G11" i="21" a="1"/>
  <c r="G11" i="21" s="1"/>
  <c r="G17" i="21" a="1"/>
  <c r="G17" i="21" s="1"/>
  <c r="G21" i="21" a="1"/>
  <c r="G21" i="21" s="1"/>
  <c r="G22" i="21" a="1"/>
  <c r="G22" i="21" s="1"/>
  <c r="G23" i="21" a="1"/>
  <c r="G23" i="21" s="1"/>
  <c r="G27" i="21" a="1"/>
  <c r="G27" i="21" s="1"/>
  <c r="G28" i="21" a="1"/>
  <c r="G28" i="21" s="1"/>
  <c r="G33" i="21" a="1"/>
  <c r="G33" i="21" s="1"/>
  <c r="G34" i="21" a="1"/>
  <c r="G34" i="21" s="1"/>
  <c r="G38" i="21" a="1"/>
  <c r="G38" i="21" s="1"/>
  <c r="G44" i="21" a="1"/>
  <c r="G44" i="21" s="1"/>
  <c r="G48" i="21" a="1"/>
  <c r="G48" i="21" s="1"/>
  <c r="G49" i="21" a="1"/>
  <c r="G49" i="21" s="1"/>
  <c r="G53" i="21" a="1"/>
  <c r="G53" i="21" s="1"/>
  <c r="G57" i="21" a="1"/>
  <c r="G57" i="21" s="1"/>
  <c r="G58" i="21" a="1"/>
  <c r="G58" i="21" s="1"/>
  <c r="G59" i="21" a="1"/>
  <c r="G59" i="21" s="1"/>
  <c r="G66" i="21" a="1"/>
  <c r="G66" i="21" s="1"/>
  <c r="G67" i="21" a="1"/>
  <c r="G67" i="21" s="1"/>
  <c r="G68" i="21" a="1"/>
  <c r="G68" i="21" s="1"/>
  <c r="G75" i="21" a="1"/>
  <c r="G75" i="21" s="1"/>
  <c r="G76" i="21" a="1"/>
  <c r="G76" i="21" s="1"/>
  <c r="G77" i="21" a="1"/>
  <c r="G77" i="21" s="1"/>
  <c r="G84" i="21" a="1"/>
  <c r="G84" i="21" s="1"/>
  <c r="G85" i="21" a="1"/>
  <c r="G85" i="21" s="1"/>
  <c r="G86" i="21" a="1"/>
  <c r="G86" i="21" s="1"/>
  <c r="M89" i="21"/>
  <c r="K89" i="21"/>
  <c r="M86" i="21"/>
  <c r="K86" i="21"/>
  <c r="M79" i="21"/>
  <c r="M78" i="21"/>
  <c r="M70" i="21"/>
  <c r="M69" i="21"/>
  <c r="M61" i="21"/>
  <c r="K56" i="21"/>
  <c r="M54" i="21"/>
  <c r="M49" i="21"/>
  <c r="K47" i="21"/>
  <c r="M45" i="21"/>
  <c r="M40" i="21"/>
  <c r="M39" i="21"/>
  <c r="M28" i="21"/>
  <c r="M24" i="21"/>
  <c r="K20" i="21"/>
  <c r="M18" i="21"/>
  <c r="M13" i="21"/>
  <c r="K85" i="21"/>
  <c r="K77" i="21"/>
  <c r="K68" i="21"/>
  <c r="K59" i="21"/>
  <c r="K38" i="21"/>
  <c r="K11" i="21"/>
  <c r="K10" i="21"/>
  <c r="K80" i="21"/>
  <c r="K71" i="21"/>
  <c r="K62" i="21"/>
  <c r="K50" i="21"/>
  <c r="K41" i="21"/>
  <c r="M37" i="21"/>
  <c r="K35" i="21"/>
  <c r="K29" i="21"/>
  <c r="K14" i="21"/>
  <c r="M8" i="21"/>
  <c r="K8" i="21"/>
  <c r="G4" i="21" a="1"/>
  <c r="G4" i="21" s="1"/>
  <c r="H4" i="21"/>
  <c r="G5" i="21" a="1"/>
  <c r="G5" i="21" s="1"/>
  <c r="G6" i="21" a="1"/>
  <c r="G6" i="21" s="1"/>
  <c r="M141" i="21"/>
  <c r="M138" i="21"/>
  <c r="M135" i="21"/>
  <c r="M132" i="21"/>
  <c r="M129" i="21"/>
  <c r="M126" i="21"/>
  <c r="M123" i="21"/>
  <c r="M120" i="21"/>
  <c r="M117" i="21"/>
  <c r="M114" i="21"/>
  <c r="M111" i="21"/>
  <c r="K110" i="21"/>
  <c r="D4" i="21"/>
  <c r="C209" i="21"/>
  <c r="C165" i="21"/>
  <c r="C142" i="21"/>
  <c r="C140" i="21"/>
  <c r="C134" i="21"/>
  <c r="B2" i="4"/>
  <c r="AG154" i="3"/>
  <c r="F7" i="5"/>
  <c r="C122" i="21"/>
  <c r="D122" i="21"/>
  <c r="C3" i="4"/>
  <c r="J3" i="4" s="1"/>
  <c r="C4" i="4"/>
  <c r="J4" i="4" s="1"/>
  <c r="C5" i="4"/>
  <c r="J5" i="4" s="1"/>
  <c r="C6" i="4"/>
  <c r="J6" i="4" s="1"/>
  <c r="C7" i="4"/>
  <c r="J7" i="4" s="1"/>
  <c r="C8" i="4"/>
  <c r="J8" i="4" s="1"/>
  <c r="C9" i="4"/>
  <c r="J9" i="4" s="1"/>
  <c r="C10" i="4"/>
  <c r="J10" i="4" s="1"/>
  <c r="C11" i="4"/>
  <c r="J11" i="4" s="1"/>
  <c r="C12" i="4"/>
  <c r="J12" i="4" s="1"/>
  <c r="C13" i="4"/>
  <c r="J13" i="4" s="1"/>
  <c r="C14" i="4"/>
  <c r="J14" i="4" s="1"/>
  <c r="L2" i="4"/>
  <c r="L3" i="4"/>
  <c r="L4" i="4"/>
  <c r="L5" i="4"/>
  <c r="L6" i="4"/>
  <c r="L7" i="4"/>
  <c r="L8" i="4"/>
  <c r="L9" i="4"/>
  <c r="L10" i="4"/>
  <c r="L11" i="4"/>
  <c r="L12" i="4"/>
  <c r="L13" i="4"/>
  <c r="L14" i="4"/>
  <c r="M169" i="12"/>
  <c r="G19" i="5"/>
  <c r="G41" i="5"/>
  <c r="G8" i="5"/>
  <c r="B3" i="17"/>
  <c r="B7" i="17"/>
  <c r="B11" i="17"/>
  <c r="B15" i="17"/>
  <c r="B19" i="17"/>
  <c r="B23" i="17"/>
  <c r="B27" i="17"/>
  <c r="B31" i="17"/>
  <c r="B35" i="17"/>
  <c r="B39" i="17"/>
  <c r="B43" i="17"/>
  <c r="B47" i="17"/>
  <c r="B51" i="17"/>
  <c r="B55" i="17"/>
  <c r="B59" i="17"/>
  <c r="B63" i="17"/>
  <c r="B67" i="17"/>
  <c r="B71" i="17"/>
  <c r="B75" i="17"/>
  <c r="B79" i="17"/>
  <c r="B83" i="17"/>
  <c r="B87" i="17"/>
  <c r="B91" i="17"/>
  <c r="B95" i="17"/>
  <c r="B99" i="17"/>
  <c r="B103" i="17"/>
  <c r="B107" i="17"/>
  <c r="B111" i="17"/>
  <c r="B115" i="17"/>
  <c r="B119" i="17"/>
  <c r="B123" i="17"/>
  <c r="C3" i="17"/>
  <c r="C7" i="17"/>
  <c r="C11" i="17"/>
  <c r="C15" i="17"/>
  <c r="C19" i="17"/>
  <c r="C23" i="17"/>
  <c r="C27" i="17"/>
  <c r="C31" i="17"/>
  <c r="C35" i="17"/>
  <c r="C39" i="17"/>
  <c r="C43" i="17"/>
  <c r="C47" i="17"/>
  <c r="C51" i="17"/>
  <c r="C55" i="17"/>
  <c r="C59" i="17"/>
  <c r="C63" i="17"/>
  <c r="C67" i="17"/>
  <c r="C71" i="17"/>
  <c r="C75" i="17"/>
  <c r="C79" i="17"/>
  <c r="C83" i="17"/>
  <c r="C87" i="17"/>
  <c r="C91" i="17"/>
  <c r="C95" i="17"/>
  <c r="C99" i="17"/>
  <c r="C103" i="17"/>
  <c r="C107" i="17"/>
  <c r="C111" i="17"/>
  <c r="C115" i="17"/>
  <c r="C119" i="17"/>
  <c r="C123" i="17"/>
  <c r="B4" i="17"/>
  <c r="B8" i="17"/>
  <c r="B12" i="17"/>
  <c r="B16" i="17"/>
  <c r="B20" i="17"/>
  <c r="B24" i="17"/>
  <c r="B28" i="17"/>
  <c r="B32" i="17"/>
  <c r="B36" i="17"/>
  <c r="B40" i="17"/>
  <c r="B44" i="17"/>
  <c r="B48" i="17"/>
  <c r="B52" i="17"/>
  <c r="B56" i="17"/>
  <c r="B60" i="17"/>
  <c r="B64" i="17"/>
  <c r="B68" i="17"/>
  <c r="B72" i="17"/>
  <c r="B76" i="17"/>
  <c r="B80" i="17"/>
  <c r="B84" i="17"/>
  <c r="B88" i="17"/>
  <c r="B92" i="17"/>
  <c r="B96" i="17"/>
  <c r="B100" i="17"/>
  <c r="B104" i="17"/>
  <c r="B108" i="17"/>
  <c r="B112" i="17"/>
  <c r="B116" i="17"/>
  <c r="B120" i="17"/>
  <c r="B124" i="17"/>
  <c r="C4" i="17"/>
  <c r="C8" i="17"/>
  <c r="C12" i="17"/>
  <c r="C16" i="17"/>
  <c r="C20" i="17"/>
  <c r="C24" i="17"/>
  <c r="C28" i="17"/>
  <c r="C32" i="17"/>
  <c r="C36" i="17"/>
  <c r="C40" i="17"/>
  <c r="C44" i="17"/>
  <c r="C48" i="17"/>
  <c r="C52" i="17"/>
  <c r="C56" i="17"/>
  <c r="C60" i="17"/>
  <c r="C64" i="17"/>
  <c r="C68" i="17"/>
  <c r="C72" i="17"/>
  <c r="C76" i="17"/>
  <c r="C80" i="17"/>
  <c r="C84" i="17"/>
  <c r="C88" i="17"/>
  <c r="C92" i="17"/>
  <c r="C96" i="17"/>
  <c r="C100" i="17"/>
  <c r="C104" i="17"/>
  <c r="C108" i="17"/>
  <c r="C112" i="17"/>
  <c r="C116" i="17"/>
  <c r="C120" i="17"/>
  <c r="C124" i="17"/>
  <c r="C2" i="17"/>
  <c r="C126" i="17"/>
  <c r="C122" i="17"/>
  <c r="C118" i="17"/>
  <c r="C114" i="17"/>
  <c r="C110" i="17"/>
  <c r="C106" i="17"/>
  <c r="C102" i="17"/>
  <c r="C98" i="17"/>
  <c r="C94" i="17"/>
  <c r="C90" i="17"/>
  <c r="C86" i="17"/>
  <c r="C82" i="17"/>
  <c r="C78" i="17"/>
  <c r="C74" i="17"/>
  <c r="C70" i="17"/>
  <c r="C66" i="17"/>
  <c r="C62" i="17"/>
  <c r="C58" i="17"/>
  <c r="C54" i="17"/>
  <c r="C50" i="17"/>
  <c r="C46" i="17"/>
  <c r="C42" i="17"/>
  <c r="C38" i="17"/>
  <c r="C34" i="17"/>
  <c r="C30" i="17"/>
  <c r="C26" i="17"/>
  <c r="C22" i="17"/>
  <c r="C18" i="17"/>
  <c r="C14" i="17"/>
  <c r="C10" i="17"/>
  <c r="C6" i="17"/>
  <c r="B2" i="17"/>
  <c r="B126" i="17"/>
  <c r="B122" i="17"/>
  <c r="B118" i="17"/>
  <c r="B114" i="17"/>
  <c r="B110" i="17"/>
  <c r="B106" i="17"/>
  <c r="B102" i="17"/>
  <c r="B98" i="17"/>
  <c r="B94" i="17"/>
  <c r="B90" i="17"/>
  <c r="B86" i="17"/>
  <c r="B82" i="17"/>
  <c r="B78" i="17"/>
  <c r="B74" i="17"/>
  <c r="B70" i="17"/>
  <c r="B66" i="17"/>
  <c r="B62" i="17"/>
  <c r="B58" i="17"/>
  <c r="B54" i="17"/>
  <c r="B50" i="17"/>
  <c r="B46" i="17"/>
  <c r="B42" i="17"/>
  <c r="B38" i="17"/>
  <c r="B34" i="17"/>
  <c r="B30" i="17"/>
  <c r="B26" i="17"/>
  <c r="B22" i="17"/>
  <c r="B18" i="17"/>
  <c r="B14" i="17"/>
  <c r="B10" i="17"/>
  <c r="B6" i="17"/>
  <c r="C125" i="17"/>
  <c r="C121" i="17"/>
  <c r="C117" i="17"/>
  <c r="C113" i="17"/>
  <c r="C109" i="17"/>
  <c r="C105" i="17"/>
  <c r="C101" i="17"/>
  <c r="C97" i="17"/>
  <c r="C93" i="17"/>
  <c r="C89" i="17"/>
  <c r="C85" i="17"/>
  <c r="C81" i="17"/>
  <c r="C77" i="17"/>
  <c r="C73" i="17"/>
  <c r="C69" i="17"/>
  <c r="C65" i="17"/>
  <c r="C61" i="17"/>
  <c r="C57" i="17"/>
  <c r="C53" i="17"/>
  <c r="C49" i="17"/>
  <c r="C45" i="17"/>
  <c r="C41" i="17"/>
  <c r="C37" i="17"/>
  <c r="C33" i="17"/>
  <c r="C29" i="17"/>
  <c r="C25" i="17"/>
  <c r="C21" i="17"/>
  <c r="C17" i="17"/>
  <c r="C13" i="17"/>
  <c r="C9" i="17"/>
  <c r="C5" i="17"/>
  <c r="B125" i="17"/>
  <c r="B121" i="17"/>
  <c r="B117" i="17"/>
  <c r="B113" i="17"/>
  <c r="B109" i="17"/>
  <c r="B105" i="17"/>
  <c r="B101" i="17"/>
  <c r="B97" i="17"/>
  <c r="B93" i="17"/>
  <c r="B89" i="17"/>
  <c r="B85" i="17"/>
  <c r="B81" i="17"/>
  <c r="B77" i="17"/>
  <c r="B73" i="17"/>
  <c r="B69" i="17"/>
  <c r="B65" i="17"/>
  <c r="B61" i="17"/>
  <c r="B57" i="17"/>
  <c r="B53" i="17"/>
  <c r="B49" i="17"/>
  <c r="B45" i="17"/>
  <c r="B41" i="17"/>
  <c r="B37" i="17"/>
  <c r="B33" i="17"/>
  <c r="B29" i="17"/>
  <c r="B25" i="17"/>
  <c r="B21" i="17"/>
  <c r="B17" i="17"/>
  <c r="B13" i="17"/>
  <c r="B9" i="17"/>
  <c r="B5" i="17"/>
  <c r="F156" i="11"/>
  <c r="F149" i="11"/>
  <c r="F141" i="11"/>
  <c r="F133" i="11"/>
  <c r="F125" i="11"/>
  <c r="F78" i="11"/>
  <c r="E99" i="5"/>
  <c r="E91" i="5"/>
  <c r="E80" i="5"/>
  <c r="E173" i="5"/>
  <c r="D172" i="21"/>
  <c r="C172" i="21"/>
  <c r="F163" i="11"/>
  <c r="F155" i="11"/>
  <c r="F148" i="11"/>
  <c r="F140" i="11"/>
  <c r="F132" i="11"/>
  <c r="Q123" i="5"/>
  <c r="R123" i="5"/>
  <c r="R159" i="5"/>
  <c r="R151" i="5"/>
  <c r="R143" i="5"/>
  <c r="R135" i="5"/>
  <c r="F162" i="11"/>
  <c r="F154" i="11"/>
  <c r="F147" i="11"/>
  <c r="F139" i="11"/>
  <c r="F131" i="11"/>
  <c r="Q201" i="5"/>
  <c r="R198" i="5"/>
  <c r="R120" i="5"/>
  <c r="E107" i="5"/>
  <c r="Q96" i="5"/>
  <c r="E181" i="5"/>
  <c r="Q39" i="5"/>
  <c r="F153" i="11"/>
  <c r="F146" i="11"/>
  <c r="F130" i="11"/>
  <c r="E265" i="5"/>
  <c r="Q262" i="5"/>
  <c r="E233" i="5"/>
  <c r="Q230" i="5"/>
  <c r="E201" i="5"/>
  <c r="Q198" i="5"/>
  <c r="E120" i="5"/>
  <c r="D89" i="5" a="1"/>
  <c r="D89" i="5" s="1"/>
  <c r="E89" i="5"/>
  <c r="E165" i="5"/>
  <c r="E157" i="5"/>
  <c r="E149" i="5"/>
  <c r="E141" i="5"/>
  <c r="E133" i="5"/>
  <c r="F160" i="11"/>
  <c r="F145" i="11"/>
  <c r="F137" i="11"/>
  <c r="F129" i="11"/>
  <c r="F106" i="11"/>
  <c r="D47" i="5" a="1"/>
  <c r="D47" i="5" s="1"/>
  <c r="E189" i="5"/>
  <c r="F159" i="11"/>
  <c r="F144" i="11"/>
  <c r="F136" i="11"/>
  <c r="F128" i="11"/>
  <c r="Q288" i="5"/>
  <c r="R285" i="5"/>
  <c r="Q256" i="5"/>
  <c r="R253" i="5"/>
  <c r="Q248" i="5"/>
  <c r="R245" i="5"/>
  <c r="Q224" i="5"/>
  <c r="R221" i="5"/>
  <c r="Q216" i="5"/>
  <c r="R213" i="5"/>
  <c r="Q192" i="5"/>
  <c r="R189" i="5"/>
  <c r="E153" i="5"/>
  <c r="R128" i="5"/>
  <c r="E116" i="5"/>
  <c r="R88" i="5"/>
  <c r="Q85" i="5"/>
  <c r="Q81" i="5"/>
  <c r="D177" i="21"/>
  <c r="C177" i="21"/>
  <c r="F158" i="11"/>
  <c r="F151" i="11"/>
  <c r="F143" i="11"/>
  <c r="F135" i="11"/>
  <c r="F127" i="11"/>
  <c r="E312" i="5"/>
  <c r="Q309" i="5"/>
  <c r="R298" i="5"/>
  <c r="E288" i="5"/>
  <c r="Q285" i="5"/>
  <c r="E280" i="5"/>
  <c r="Q277" i="5"/>
  <c r="E272" i="5"/>
  <c r="Q269" i="5"/>
  <c r="R266" i="5"/>
  <c r="E256" i="5"/>
  <c r="Q253" i="5"/>
  <c r="E248" i="5"/>
  <c r="Q245" i="5"/>
  <c r="E240" i="5"/>
  <c r="Q237" i="5"/>
  <c r="R234" i="5"/>
  <c r="R226" i="5"/>
  <c r="E224" i="5"/>
  <c r="Q221" i="5"/>
  <c r="E216" i="5"/>
  <c r="Q213" i="5"/>
  <c r="R194" i="5"/>
  <c r="E192" i="5"/>
  <c r="Q189" i="5"/>
  <c r="R161" i="5"/>
  <c r="R115" i="5"/>
  <c r="E93" i="5"/>
  <c r="E88" i="5"/>
  <c r="Q76" i="5"/>
  <c r="D86" i="5" a="1"/>
  <c r="D86" i="5" s="1"/>
  <c r="E86" i="5"/>
  <c r="Q162" i="5"/>
  <c r="Q154" i="5"/>
  <c r="Q146" i="5"/>
  <c r="Q138" i="5"/>
  <c r="Q130" i="5"/>
  <c r="F157" i="11"/>
  <c r="F150" i="11"/>
  <c r="F142" i="11"/>
  <c r="F134" i="11"/>
  <c r="F126" i="11"/>
  <c r="E285" i="5"/>
  <c r="E253" i="5"/>
  <c r="E221" i="5"/>
  <c r="E213" i="5"/>
  <c r="S158" i="5"/>
  <c r="E92" i="5"/>
  <c r="Q101" i="5"/>
  <c r="E101" i="5"/>
  <c r="C179" i="21"/>
  <c r="C162" i="21"/>
  <c r="C152" i="21"/>
  <c r="C25" i="21"/>
  <c r="D149" i="21"/>
  <c r="D137" i="21"/>
  <c r="C176" i="21"/>
  <c r="D165" i="21"/>
  <c r="C148" i="21"/>
  <c r="D150" i="21"/>
  <c r="C99" i="21"/>
  <c r="C77" i="21"/>
  <c r="E117" i="5"/>
  <c r="D90" i="21"/>
  <c r="D91" i="21"/>
  <c r="C124" i="21"/>
  <c r="S124" i="21" s="1"/>
  <c r="R122" i="5"/>
  <c r="R114" i="5"/>
  <c r="D66" i="21"/>
  <c r="C66" i="21"/>
  <c r="S66" i="21" s="1"/>
  <c r="R110" i="5"/>
  <c r="R111" i="5"/>
  <c r="Q109" i="5"/>
  <c r="R108" i="5"/>
  <c r="D46" i="21"/>
  <c r="E108" i="5"/>
  <c r="M80" i="12"/>
  <c r="M160" i="12"/>
  <c r="M9" i="12"/>
  <c r="M159" i="12"/>
  <c r="M10" i="12"/>
  <c r="M134" i="12"/>
  <c r="M14" i="12"/>
  <c r="D43" i="5" a="1"/>
  <c r="D43" i="5" s="1"/>
  <c r="M6" i="12"/>
  <c r="M91" i="12"/>
  <c r="M78" i="12"/>
  <c r="M20" i="12"/>
  <c r="M18" i="12"/>
  <c r="M16" i="12"/>
  <c r="M7" i="12"/>
  <c r="M22" i="12"/>
  <c r="M19" i="12"/>
  <c r="M77" i="12"/>
  <c r="M133" i="12"/>
  <c r="M170" i="12"/>
  <c r="M21" i="12"/>
  <c r="M4" i="12"/>
  <c r="M15" i="12"/>
  <c r="M12" i="12"/>
  <c r="M92" i="12"/>
  <c r="M161" i="12"/>
  <c r="M13" i="12"/>
  <c r="M93" i="12"/>
  <c r="M162" i="12"/>
  <c r="M5" i="12"/>
  <c r="M135" i="12"/>
  <c r="M132" i="12"/>
  <c r="M17" i="12"/>
  <c r="M3" i="12"/>
  <c r="M11" i="12"/>
  <c r="M8" i="12"/>
  <c r="R84" i="5"/>
  <c r="D70" i="5" a="1"/>
  <c r="D70" i="5" s="1"/>
  <c r="D90" i="5" a="1"/>
  <c r="D90" i="5" s="1"/>
  <c r="M168" i="12"/>
  <c r="R81" i="5"/>
  <c r="D74" i="5" a="1"/>
  <c r="D74" i="5" s="1"/>
  <c r="L63" i="4"/>
  <c r="L55" i="4"/>
  <c r="L47" i="4"/>
  <c r="L39" i="4"/>
  <c r="L31" i="4"/>
  <c r="L23" i="4"/>
  <c r="L15" i="4"/>
  <c r="D97" i="5" a="1"/>
  <c r="D97" i="5" s="1"/>
  <c r="L62" i="4"/>
  <c r="L54" i="4"/>
  <c r="L46" i="4"/>
  <c r="L38" i="4"/>
  <c r="L30" i="4"/>
  <c r="L22" i="4"/>
  <c r="M86" i="12"/>
  <c r="D13" i="5" a="1"/>
  <c r="D13" i="5" s="1"/>
  <c r="D72" i="5" a="1"/>
  <c r="D72" i="5" s="1"/>
  <c r="L69" i="4"/>
  <c r="L61" i="4"/>
  <c r="L53" i="4"/>
  <c r="L45" i="4"/>
  <c r="L37" i="4"/>
  <c r="L29" i="4"/>
  <c r="L21" i="4"/>
  <c r="R30" i="6"/>
  <c r="D95" i="5" a="1"/>
  <c r="D95" i="5" s="1"/>
  <c r="L68" i="4"/>
  <c r="L60" i="4"/>
  <c r="L52" i="4"/>
  <c r="L44" i="4"/>
  <c r="L36" i="4"/>
  <c r="L28" i="4"/>
  <c r="L20" i="4"/>
  <c r="R100" i="5"/>
  <c r="L67" i="4"/>
  <c r="L59" i="4"/>
  <c r="L51" i="4"/>
  <c r="L43" i="4"/>
  <c r="L35" i="4"/>
  <c r="L27" i="4"/>
  <c r="L19" i="4"/>
  <c r="D85" i="5" a="1"/>
  <c r="D85" i="5" s="1"/>
  <c r="L66" i="4"/>
  <c r="L58" i="4"/>
  <c r="L50" i="4"/>
  <c r="L42" i="4"/>
  <c r="L34" i="4"/>
  <c r="L26" i="4"/>
  <c r="L18" i="4"/>
  <c r="D33" i="5" a="1"/>
  <c r="D33" i="5" s="1"/>
  <c r="D100" i="5" a="1"/>
  <c r="D100" i="5" s="1"/>
  <c r="L65" i="4"/>
  <c r="L57" i="4"/>
  <c r="L49" i="4"/>
  <c r="L41" i="4"/>
  <c r="L33" i="4"/>
  <c r="L25" i="4"/>
  <c r="L17" i="4"/>
  <c r="M81" i="12"/>
  <c r="D83" i="5" a="1"/>
  <c r="D83" i="5" s="1"/>
  <c r="L64" i="4"/>
  <c r="L56" i="4"/>
  <c r="L48" i="4"/>
  <c r="L40" i="4"/>
  <c r="L32" i="4"/>
  <c r="L24" i="4"/>
  <c r="L16" i="4"/>
  <c r="M127" i="12"/>
  <c r="M82" i="12"/>
  <c r="M84" i="12"/>
  <c r="M83" i="12"/>
  <c r="M126" i="12"/>
  <c r="M28" i="12"/>
  <c r="M26" i="12"/>
  <c r="M85" i="12"/>
  <c r="M27" i="12"/>
  <c r="D130" i="17"/>
  <c r="E129" i="17"/>
  <c r="D127" i="17"/>
  <c r="E126" i="17"/>
  <c r="D124" i="17"/>
  <c r="E123" i="17"/>
  <c r="D121" i="17"/>
  <c r="E120" i="17"/>
  <c r="D118" i="17"/>
  <c r="E117" i="17"/>
  <c r="D115" i="17"/>
  <c r="E114" i="17"/>
  <c r="D112" i="17"/>
  <c r="E111" i="17"/>
  <c r="D109" i="17"/>
  <c r="E108" i="17"/>
  <c r="D106" i="17"/>
  <c r="E105" i="17"/>
  <c r="D103" i="17"/>
  <c r="E102" i="17"/>
  <c r="D100" i="17"/>
  <c r="D129" i="17"/>
  <c r="E128" i="17"/>
  <c r="D126" i="17"/>
  <c r="E125" i="17"/>
  <c r="D123" i="17"/>
  <c r="E122" i="17"/>
  <c r="D120" i="17"/>
  <c r="E119" i="17"/>
  <c r="D117" i="17"/>
  <c r="E116" i="17"/>
  <c r="D114" i="17"/>
  <c r="E113" i="17"/>
  <c r="D111" i="17"/>
  <c r="E110" i="17"/>
  <c r="D108" i="17"/>
  <c r="E107" i="17"/>
  <c r="D105" i="17"/>
  <c r="E104" i="17"/>
  <c r="D102" i="17"/>
  <c r="E101" i="17"/>
  <c r="E130" i="17"/>
  <c r="D128" i="17"/>
  <c r="E127" i="17"/>
  <c r="D125" i="17"/>
  <c r="E124" i="17"/>
  <c r="D122" i="17"/>
  <c r="E121" i="17"/>
  <c r="D119" i="17"/>
  <c r="E118" i="17"/>
  <c r="D116" i="17"/>
  <c r="E115" i="17"/>
  <c r="D113" i="17"/>
  <c r="E112" i="17"/>
  <c r="D110" i="17"/>
  <c r="E109" i="17"/>
  <c r="D107" i="17"/>
  <c r="E106" i="17"/>
  <c r="D104" i="17"/>
  <c r="E103" i="17"/>
  <c r="D101" i="17"/>
  <c r="E100" i="17"/>
  <c r="M87" i="12"/>
  <c r="M128" i="12"/>
  <c r="M88" i="12"/>
  <c r="M25" i="12"/>
  <c r="M125" i="12"/>
  <c r="M24" i="12"/>
  <c r="M124" i="12"/>
  <c r="M123" i="12"/>
  <c r="M79" i="12"/>
  <c r="M23" i="12"/>
  <c r="M131" i="12"/>
  <c r="M146" i="12"/>
  <c r="M137" i="12"/>
  <c r="M129" i="12"/>
  <c r="M148" i="12"/>
  <c r="D60" i="21"/>
  <c r="F108" i="11"/>
  <c r="M147" i="12"/>
  <c r="F105" i="11"/>
  <c r="C203" i="21"/>
  <c r="D199" i="21"/>
  <c r="D207" i="21"/>
  <c r="C199" i="21"/>
  <c r="D213" i="21"/>
  <c r="C211" i="21"/>
  <c r="M149" i="12"/>
  <c r="M130" i="12"/>
  <c r="M94" i="12"/>
  <c r="M164" i="12"/>
  <c r="D174" i="21"/>
  <c r="D154" i="21"/>
  <c r="D146" i="21"/>
  <c r="C139" i="21"/>
  <c r="C90" i="21"/>
  <c r="S90" i="21" s="1"/>
  <c r="D63" i="21"/>
  <c r="D119" i="21"/>
  <c r="C43" i="21"/>
  <c r="D201" i="21"/>
  <c r="D197" i="21"/>
  <c r="D196" i="21"/>
  <c r="D212" i="21"/>
  <c r="D211" i="21"/>
  <c r="C201" i="21"/>
  <c r="D198" i="21"/>
  <c r="C197" i="21"/>
  <c r="C196" i="21"/>
  <c r="D179" i="21"/>
  <c r="C174" i="21"/>
  <c r="C155" i="21"/>
  <c r="C154" i="21"/>
  <c r="C146" i="21"/>
  <c r="D180" i="21"/>
  <c r="C149" i="21"/>
  <c r="D140" i="21"/>
  <c r="C127" i="21"/>
  <c r="D31" i="21"/>
  <c r="C180" i="21"/>
  <c r="D175" i="21"/>
  <c r="D173" i="21"/>
  <c r="D134" i="21"/>
  <c r="D130" i="21"/>
  <c r="D71" i="21"/>
  <c r="C175" i="21"/>
  <c r="C173" i="21"/>
  <c r="C130" i="21"/>
  <c r="C71" i="21"/>
  <c r="D19" i="21"/>
  <c r="D194" i="21"/>
  <c r="C194" i="21"/>
  <c r="C192" i="21"/>
  <c r="D192" i="21"/>
  <c r="C190" i="21"/>
  <c r="D190" i="21"/>
  <c r="C187" i="21"/>
  <c r="D185" i="21"/>
  <c r="D144" i="21"/>
  <c r="C144" i="21"/>
  <c r="C213" i="21"/>
  <c r="C205" i="21"/>
  <c r="D205" i="21"/>
  <c r="C167" i="21"/>
  <c r="D157" i="21"/>
  <c r="D183" i="21"/>
  <c r="C210" i="21"/>
  <c r="D210" i="21"/>
  <c r="D182" i="21"/>
  <c r="C166" i="21"/>
  <c r="D166" i="21"/>
  <c r="S161" i="21"/>
  <c r="D156" i="21"/>
  <c r="C156" i="21"/>
  <c r="D147" i="21"/>
  <c r="D136" i="21"/>
  <c r="C195" i="21"/>
  <c r="D195" i="21"/>
  <c r="C193" i="21"/>
  <c r="D193" i="21"/>
  <c r="C191" i="21"/>
  <c r="D191" i="21"/>
  <c r="C189" i="21"/>
  <c r="D189" i="21"/>
  <c r="D186" i="21"/>
  <c r="D184" i="21"/>
  <c r="D181" i="21"/>
  <c r="C135" i="21"/>
  <c r="D135" i="21"/>
  <c r="D85" i="21"/>
  <c r="D204" i="21"/>
  <c r="C200" i="21"/>
  <c r="D200" i="21"/>
  <c r="D209" i="21"/>
  <c r="C206" i="21"/>
  <c r="C204" i="21"/>
  <c r="C145" i="21"/>
  <c r="S170" i="21"/>
  <c r="S163" i="21"/>
  <c r="C36" i="21"/>
  <c r="C161" i="21"/>
  <c r="S177" i="21"/>
  <c r="S173" i="21"/>
  <c r="C164" i="21"/>
  <c r="D152" i="21"/>
  <c r="D10" i="21"/>
  <c r="C4" i="21"/>
  <c r="E4" i="21"/>
  <c r="C153" i="21"/>
  <c r="D178" i="21"/>
  <c r="D168" i="21"/>
  <c r="C168" i="21"/>
  <c r="D158" i="21"/>
  <c r="C137" i="21"/>
  <c r="C169" i="21"/>
  <c r="D169" i="21"/>
  <c r="D159" i="21"/>
  <c r="D151" i="21"/>
  <c r="D141" i="21"/>
  <c r="D132" i="21"/>
  <c r="D129" i="21"/>
  <c r="D128" i="21"/>
  <c r="C91" i="21"/>
  <c r="S91" i="21" s="1"/>
  <c r="D163" i="21"/>
  <c r="D161" i="21"/>
  <c r="D160" i="21"/>
  <c r="C151" i="21"/>
  <c r="C141" i="21"/>
  <c r="C132" i="21"/>
  <c r="C72" i="21"/>
  <c r="C46" i="21"/>
  <c r="D17" i="5" a="1"/>
  <c r="D17" i="5" s="1"/>
  <c r="Q8" i="5"/>
  <c r="F54" i="11"/>
  <c r="F51" i="11"/>
  <c r="F48" i="11"/>
  <c r="F45" i="11"/>
  <c r="F42" i="11"/>
  <c r="F39" i="11"/>
  <c r="F36" i="11"/>
  <c r="F33" i="11"/>
  <c r="F30" i="11"/>
  <c r="F27" i="11"/>
  <c r="F24" i="11"/>
  <c r="F21" i="11"/>
  <c r="F18" i="11"/>
  <c r="F15" i="11"/>
  <c r="F12" i="11"/>
  <c r="F9" i="11"/>
  <c r="F6" i="11"/>
  <c r="F3" i="11"/>
  <c r="F56" i="11"/>
  <c r="F62" i="11"/>
  <c r="F59" i="11"/>
  <c r="F63" i="11"/>
  <c r="F68" i="11"/>
  <c r="F70" i="11"/>
  <c r="F96" i="11"/>
  <c r="F93" i="11"/>
  <c r="F90" i="11"/>
  <c r="F87" i="11"/>
  <c r="F84" i="11"/>
  <c r="F82" i="11"/>
  <c r="F79" i="11"/>
  <c r="F77" i="11"/>
  <c r="F74" i="11"/>
  <c r="F72" i="11"/>
  <c r="R124" i="5"/>
  <c r="Q118" i="5"/>
  <c r="S118" i="5" s="1"/>
  <c r="E112" i="5"/>
  <c r="Q103" i="5"/>
  <c r="E97" i="5"/>
  <c r="F53" i="11"/>
  <c r="F50" i="11"/>
  <c r="F47" i="11"/>
  <c r="F44" i="11"/>
  <c r="F41" i="11"/>
  <c r="F38" i="11"/>
  <c r="F35" i="11"/>
  <c r="F32" i="11"/>
  <c r="F29" i="11"/>
  <c r="F26" i="11"/>
  <c r="F23" i="11"/>
  <c r="F20" i="11"/>
  <c r="F17" i="11"/>
  <c r="F14" i="11"/>
  <c r="F11" i="11"/>
  <c r="F8" i="11"/>
  <c r="F5" i="11"/>
  <c r="F55" i="11"/>
  <c r="F61" i="11"/>
  <c r="F58" i="11"/>
  <c r="F65" i="11"/>
  <c r="F67" i="11"/>
  <c r="F66" i="11"/>
  <c r="F100" i="11"/>
  <c r="F98" i="11"/>
  <c r="F95" i="11"/>
  <c r="F92" i="11"/>
  <c r="F89" i="11"/>
  <c r="F86" i="11"/>
  <c r="F81" i="11"/>
  <c r="F76" i="11"/>
  <c r="D38" i="5" a="1"/>
  <c r="D38" i="5" s="1"/>
  <c r="D26" i="5" a="1"/>
  <c r="D26" i="5" s="1"/>
  <c r="F2" i="11"/>
  <c r="F52" i="11"/>
  <c r="F49" i="11"/>
  <c r="F46" i="11"/>
  <c r="F43" i="11"/>
  <c r="F40" i="11"/>
  <c r="F37" i="11"/>
  <c r="F34" i="11"/>
  <c r="F31" i="11"/>
  <c r="F28" i="11"/>
  <c r="F25" i="11"/>
  <c r="F22" i="11"/>
  <c r="F19" i="11"/>
  <c r="F16" i="11"/>
  <c r="F10" i="11"/>
  <c r="F7" i="11"/>
  <c r="F4" i="11"/>
  <c r="F60" i="11"/>
  <c r="F57" i="11"/>
  <c r="F64" i="11"/>
  <c r="F69" i="11"/>
  <c r="F99" i="11"/>
  <c r="F97" i="11"/>
  <c r="F94" i="11"/>
  <c r="F91" i="11"/>
  <c r="F88" i="11"/>
  <c r="F85" i="11"/>
  <c r="F83" i="11"/>
  <c r="F80" i="11"/>
  <c r="F75" i="11"/>
  <c r="F73" i="11"/>
  <c r="F71" i="11"/>
  <c r="Q127" i="5"/>
  <c r="S127" i="5" s="1"/>
  <c r="E125" i="5"/>
  <c r="E121" i="5"/>
  <c r="R119" i="5"/>
  <c r="E113" i="5"/>
  <c r="E106" i="5"/>
  <c r="Q104" i="5"/>
  <c r="R91" i="5"/>
  <c r="Q89" i="5"/>
  <c r="Q88" i="5"/>
  <c r="D97" i="17"/>
  <c r="E97" i="17"/>
  <c r="D98" i="17"/>
  <c r="E98" i="17"/>
  <c r="D99" i="17"/>
  <c r="E99" i="17"/>
  <c r="D83" i="17"/>
  <c r="E85" i="17"/>
  <c r="D86" i="17"/>
  <c r="E88" i="17"/>
  <c r="D89" i="17"/>
  <c r="E91" i="17"/>
  <c r="D92" i="17"/>
  <c r="E94" i="17"/>
  <c r="D95" i="17"/>
  <c r="E83" i="17"/>
  <c r="D84" i="17"/>
  <c r="E86" i="17"/>
  <c r="D87" i="17"/>
  <c r="E89" i="17"/>
  <c r="D90" i="17"/>
  <c r="E92" i="17"/>
  <c r="D93" i="17"/>
  <c r="E95" i="17"/>
  <c r="D96" i="17"/>
  <c r="E84" i="17"/>
  <c r="D85" i="17"/>
  <c r="E87" i="17"/>
  <c r="D88" i="17"/>
  <c r="E90" i="17"/>
  <c r="D91" i="17"/>
  <c r="E93" i="17"/>
  <c r="D94" i="17"/>
  <c r="E96" i="17"/>
  <c r="M145" i="12"/>
  <c r="M144" i="12"/>
  <c r="M143" i="12"/>
  <c r="M142" i="12"/>
  <c r="M141" i="12"/>
  <c r="M167" i="12"/>
  <c r="S105" i="21"/>
  <c r="M140" i="12"/>
  <c r="M139" i="12"/>
  <c r="D65" i="5" a="1"/>
  <c r="D65" i="5" s="1"/>
  <c r="R127" i="5"/>
  <c r="E124" i="5"/>
  <c r="Q121" i="5"/>
  <c r="R118" i="5"/>
  <c r="E115" i="5"/>
  <c r="S115" i="5" s="1"/>
  <c r="Q112" i="5"/>
  <c r="R109" i="5"/>
  <c r="Q106" i="5"/>
  <c r="R103" i="5"/>
  <c r="E100" i="5"/>
  <c r="Q97" i="5"/>
  <c r="R94" i="5"/>
  <c r="D37" i="5" a="1"/>
  <c r="D37" i="5" s="1"/>
  <c r="E128" i="5"/>
  <c r="R125" i="5"/>
  <c r="E119" i="5"/>
  <c r="S119" i="5" s="1"/>
  <c r="R116" i="5"/>
  <c r="E110" i="5"/>
  <c r="S110" i="5" s="1"/>
  <c r="R107" i="5"/>
  <c r="E104" i="5"/>
  <c r="Q100" i="5"/>
  <c r="R97" i="5"/>
  <c r="E95" i="5"/>
  <c r="Q92" i="5"/>
  <c r="Q91" i="5"/>
  <c r="D35" i="21"/>
  <c r="D40" i="21"/>
  <c r="D45" i="21"/>
  <c r="D47" i="21"/>
  <c r="D50" i="21"/>
  <c r="D53" i="21"/>
  <c r="D54" i="21"/>
  <c r="C57" i="21"/>
  <c r="S57" i="21" s="1"/>
  <c r="C68" i="21"/>
  <c r="D69" i="21"/>
  <c r="D76" i="21"/>
  <c r="D83" i="21"/>
  <c r="D84" i="21"/>
  <c r="D95" i="21"/>
  <c r="C98" i="21"/>
  <c r="S98" i="21" s="1"/>
  <c r="D100" i="21"/>
  <c r="D118" i="21"/>
  <c r="M122" i="12"/>
  <c r="M138" i="12"/>
  <c r="M166" i="12"/>
  <c r="M155" i="12"/>
  <c r="M136" i="12"/>
  <c r="M165" i="12"/>
  <c r="M89" i="12"/>
  <c r="M150" i="12"/>
  <c r="M90" i="12"/>
  <c r="M154" i="12"/>
  <c r="D11" i="21"/>
  <c r="C11" i="21"/>
  <c r="S11" i="21" s="1"/>
  <c r="C59" i="21"/>
  <c r="D59" i="21"/>
  <c r="C74" i="21"/>
  <c r="S74" i="21" s="1"/>
  <c r="C83" i="21"/>
  <c r="D51" i="21"/>
  <c r="D13" i="21"/>
  <c r="D39" i="21"/>
  <c r="D92" i="21"/>
  <c r="C76" i="21"/>
  <c r="D89" i="21"/>
  <c r="C53" i="21"/>
  <c r="S53" i="21" s="1"/>
  <c r="D111" i="21"/>
  <c r="C111" i="21"/>
  <c r="D123" i="21"/>
  <c r="C123" i="21"/>
  <c r="D27" i="21"/>
  <c r="D68" i="21"/>
  <c r="D32" i="21"/>
  <c r="D98" i="21"/>
  <c r="D112" i="21"/>
  <c r="D12" i="21"/>
  <c r="D30" i="21"/>
  <c r="C39" i="21"/>
  <c r="C51" i="21"/>
  <c r="S51" i="21" s="1"/>
  <c r="D24" i="21"/>
  <c r="C24" i="21"/>
  <c r="S24" i="21" s="1"/>
  <c r="D26" i="21"/>
  <c r="D33" i="21"/>
  <c r="D38" i="21"/>
  <c r="D42" i="21"/>
  <c r="D48" i="21"/>
  <c r="D52" i="21"/>
  <c r="D56" i="21"/>
  <c r="D58" i="21"/>
  <c r="D62" i="21"/>
  <c r="D65" i="21"/>
  <c r="D73" i="21"/>
  <c r="D75" i="21"/>
  <c r="D80" i="21"/>
  <c r="D82" i="21"/>
  <c r="D87" i="21"/>
  <c r="D93" i="21"/>
  <c r="D97" i="21"/>
  <c r="D102" i="21"/>
  <c r="D105" i="21"/>
  <c r="D106" i="21"/>
  <c r="C106" i="21"/>
  <c r="S106" i="21" s="1"/>
  <c r="C108" i="21"/>
  <c r="C116" i="21"/>
  <c r="D116" i="21"/>
  <c r="D117" i="21"/>
  <c r="C117" i="21"/>
  <c r="D41" i="21"/>
  <c r="C47" i="21"/>
  <c r="S47" i="21" s="1"/>
  <c r="D55" i="21"/>
  <c r="D70" i="21"/>
  <c r="D78" i="21"/>
  <c r="D86" i="21"/>
  <c r="C92" i="21"/>
  <c r="D101" i="21"/>
  <c r="C67" i="21"/>
  <c r="S67" i="21" s="1"/>
  <c r="C110" i="21"/>
  <c r="C115" i="21"/>
  <c r="C126" i="21"/>
  <c r="C64" i="21"/>
  <c r="S64" i="21" s="1"/>
  <c r="C81" i="21"/>
  <c r="C96" i="21"/>
  <c r="D109" i="21"/>
  <c r="D110" i="21"/>
  <c r="D114" i="21"/>
  <c r="D115" i="21"/>
  <c r="C125" i="21"/>
  <c r="C8" i="21"/>
  <c r="D9" i="21"/>
  <c r="C34" i="21"/>
  <c r="D37" i="21"/>
  <c r="C49" i="21"/>
  <c r="S49" i="21" s="1"/>
  <c r="D126" i="21"/>
  <c r="C61" i="21"/>
  <c r="D64" i="21"/>
  <c r="C79" i="21"/>
  <c r="D81" i="21"/>
  <c r="C94" i="21"/>
  <c r="S94" i="21" s="1"/>
  <c r="D96" i="21"/>
  <c r="D108" i="21"/>
  <c r="C109" i="21"/>
  <c r="D113" i="21"/>
  <c r="C113" i="21"/>
  <c r="C114" i="21"/>
  <c r="C121" i="21"/>
  <c r="D121" i="21"/>
  <c r="C104" i="21"/>
  <c r="S104" i="21" s="1"/>
  <c r="C21" i="21"/>
  <c r="S21" i="21" s="1"/>
  <c r="C22" i="21"/>
  <c r="S22" i="21" s="1"/>
  <c r="D23" i="21"/>
  <c r="D7" i="21"/>
  <c r="D49" i="21"/>
  <c r="D61" i="21"/>
  <c r="D79" i="21"/>
  <c r="D94" i="21"/>
  <c r="D107" i="21"/>
  <c r="C107" i="21"/>
  <c r="D104" i="21"/>
  <c r="C23" i="21"/>
  <c r="S23" i="21" s="1"/>
  <c r="C37" i="21"/>
  <c r="S37" i="21" s="1"/>
  <c r="C7" i="21"/>
  <c r="S7" i="21" s="1"/>
  <c r="D125" i="21"/>
  <c r="D8" i="21"/>
  <c r="C16" i="21"/>
  <c r="C17" i="21"/>
  <c r="S17" i="21" s="1"/>
  <c r="D18" i="21"/>
  <c r="D20" i="21"/>
  <c r="C44" i="21"/>
  <c r="S44" i="21" s="1"/>
  <c r="C88" i="21"/>
  <c r="C103" i="21"/>
  <c r="S103" i="21" s="1"/>
  <c r="C9" i="21"/>
  <c r="C18" i="21"/>
  <c r="S18" i="21" s="1"/>
  <c r="C20" i="21"/>
  <c r="D21" i="21"/>
  <c r="D22" i="21"/>
  <c r="D34" i="21"/>
  <c r="C5" i="21"/>
  <c r="S5" i="21" s="1"/>
  <c r="C14" i="21"/>
  <c r="S14" i="21" s="1"/>
  <c r="C15" i="21"/>
  <c r="S15" i="21" s="1"/>
  <c r="D16" i="21"/>
  <c r="D17" i="21"/>
  <c r="C28" i="21"/>
  <c r="S28" i="21" s="1"/>
  <c r="C29" i="21"/>
  <c r="S29" i="21" s="1"/>
  <c r="D5" i="21"/>
  <c r="C12" i="21"/>
  <c r="S12" i="21" s="1"/>
  <c r="C13" i="21"/>
  <c r="S13" i="21" s="1"/>
  <c r="D14" i="21"/>
  <c r="D15" i="21"/>
  <c r="C26" i="21"/>
  <c r="S26" i="21" s="1"/>
  <c r="C27" i="21"/>
  <c r="S27" i="21" s="1"/>
  <c r="D28" i="21"/>
  <c r="D29" i="21"/>
  <c r="C41" i="21"/>
  <c r="S41" i="21" s="1"/>
  <c r="D44" i="21"/>
  <c r="C55" i="21"/>
  <c r="S55" i="21" s="1"/>
  <c r="D57" i="21"/>
  <c r="C70" i="21"/>
  <c r="D74" i="21"/>
  <c r="C86" i="21"/>
  <c r="D88" i="21"/>
  <c r="C101" i="21"/>
  <c r="D103" i="21"/>
  <c r="D120" i="21"/>
  <c r="C120" i="21"/>
  <c r="D67" i="21"/>
  <c r="C30" i="21"/>
  <c r="C33" i="21"/>
  <c r="S33" i="21" s="1"/>
  <c r="C35" i="21"/>
  <c r="S35" i="21" s="1"/>
  <c r="C38" i="21"/>
  <c r="S38" i="21" s="1"/>
  <c r="C40" i="21"/>
  <c r="S40" i="21" s="1"/>
  <c r="C42" i="21"/>
  <c r="S42" i="21" s="1"/>
  <c r="C45" i="21"/>
  <c r="S45" i="21" s="1"/>
  <c r="C48" i="21"/>
  <c r="S48" i="21" s="1"/>
  <c r="C50" i="21"/>
  <c r="S50" i="21" s="1"/>
  <c r="C52" i="21"/>
  <c r="C54" i="21"/>
  <c r="C56" i="21"/>
  <c r="S56" i="21" s="1"/>
  <c r="C58" i="21"/>
  <c r="S58" i="21" s="1"/>
  <c r="C60" i="21"/>
  <c r="S60" i="21" s="1"/>
  <c r="C62" i="21"/>
  <c r="S62" i="21" s="1"/>
  <c r="C65" i="21"/>
  <c r="S65" i="21" s="1"/>
  <c r="C69" i="21"/>
  <c r="C73" i="21"/>
  <c r="C75" i="21"/>
  <c r="C78" i="21"/>
  <c r="S78" i="21" s="1"/>
  <c r="C80" i="21"/>
  <c r="C82" i="21"/>
  <c r="C84" i="21"/>
  <c r="C87" i="21"/>
  <c r="C89" i="21"/>
  <c r="C93" i="21"/>
  <c r="S93" i="21" s="1"/>
  <c r="C95" i="21"/>
  <c r="C97" i="21"/>
  <c r="C100" i="21"/>
  <c r="C102" i="21"/>
  <c r="S102" i="21" s="1"/>
  <c r="C105" i="21"/>
  <c r="C112" i="21"/>
  <c r="S112" i="21" s="1"/>
  <c r="C118" i="21"/>
  <c r="S118" i="21" s="1"/>
  <c r="G4" i="15"/>
  <c r="F4" i="15"/>
  <c r="G3" i="15"/>
  <c r="F3" i="15"/>
  <c r="F20" i="15"/>
  <c r="G20" i="15"/>
  <c r="F19" i="15"/>
  <c r="G19" i="15"/>
  <c r="F18" i="15"/>
  <c r="G18" i="15"/>
  <c r="F17" i="15"/>
  <c r="G17" i="15"/>
  <c r="F16" i="15"/>
  <c r="G16" i="15"/>
  <c r="F15" i="15"/>
  <c r="G15" i="15"/>
  <c r="F14" i="15"/>
  <c r="G14" i="15"/>
  <c r="F13" i="15"/>
  <c r="G13" i="15"/>
  <c r="G12" i="15"/>
  <c r="F12" i="15"/>
  <c r="G11" i="15"/>
  <c r="F11" i="15"/>
  <c r="G10" i="15"/>
  <c r="F10" i="15"/>
  <c r="G9" i="15"/>
  <c r="F9" i="15"/>
  <c r="G8" i="15"/>
  <c r="F8" i="15"/>
  <c r="G7" i="15"/>
  <c r="F7" i="15"/>
  <c r="G6" i="15"/>
  <c r="F6" i="15"/>
  <c r="G5" i="15"/>
  <c r="F5" i="15"/>
  <c r="D87" i="5" a="1"/>
  <c r="D87" i="5" s="1"/>
  <c r="D84" i="5" a="1"/>
  <c r="D84" i="5" s="1"/>
  <c r="D75" i="5" a="1"/>
  <c r="D75" i="5" s="1"/>
  <c r="E82" i="17"/>
  <c r="D82" i="17"/>
  <c r="D80" i="17"/>
  <c r="D81" i="17"/>
  <c r="E81" i="17"/>
  <c r="D61" i="5" a="1"/>
  <c r="D61" i="5" s="1"/>
  <c r="Q55" i="5"/>
  <c r="D55" i="5" a="1"/>
  <c r="D55" i="5" s="1"/>
  <c r="G52" i="5"/>
  <c r="D52" i="5" a="1"/>
  <c r="D52" i="5" s="1"/>
  <c r="Q46" i="5"/>
  <c r="D46" i="5" a="1"/>
  <c r="D46" i="5" s="1"/>
  <c r="Q10" i="5"/>
  <c r="D10" i="5" a="1"/>
  <c r="D10" i="5" s="1"/>
  <c r="G51" i="5"/>
  <c r="D51" i="5" a="1"/>
  <c r="D51" i="5" s="1"/>
  <c r="Q45" i="5"/>
  <c r="D45" i="5" a="1"/>
  <c r="D45" i="5" s="1"/>
  <c r="Q36" i="5"/>
  <c r="D36" i="5" a="1"/>
  <c r="D36" i="5" s="1"/>
  <c r="Q21" i="5"/>
  <c r="D21" i="5" a="1"/>
  <c r="D21" i="5" s="1"/>
  <c r="Q15" i="5"/>
  <c r="D15" i="5" a="1"/>
  <c r="D15" i="5" s="1"/>
  <c r="G9" i="5"/>
  <c r="D9" i="5" a="1"/>
  <c r="D9" i="5" s="1"/>
  <c r="D56" i="5" a="1"/>
  <c r="D56" i="5" s="1"/>
  <c r="D102" i="5" a="1"/>
  <c r="D102" i="5" s="1"/>
  <c r="R102" i="5"/>
  <c r="D99" i="5" a="1"/>
  <c r="D99" i="5" s="1"/>
  <c r="R99" i="5"/>
  <c r="D96" i="5" a="1"/>
  <c r="D96" i="5" s="1"/>
  <c r="R96" i="5"/>
  <c r="D93" i="5" a="1"/>
  <c r="D93" i="5" s="1"/>
  <c r="R93" i="5"/>
  <c r="G53" i="5"/>
  <c r="D53" i="5" a="1"/>
  <c r="D53" i="5" s="1"/>
  <c r="G29" i="5"/>
  <c r="D29" i="5" a="1"/>
  <c r="D29" i="5" s="1"/>
  <c r="Q20" i="5"/>
  <c r="D20" i="5" a="1"/>
  <c r="D20" i="5" s="1"/>
  <c r="G14" i="5"/>
  <c r="D14" i="5" a="1"/>
  <c r="D14" i="5" s="1"/>
  <c r="Q11" i="5"/>
  <c r="D11" i="5" a="1"/>
  <c r="D11" i="5" s="1"/>
  <c r="D16" i="5" a="1"/>
  <c r="D16" i="5" s="1"/>
  <c r="R101" i="5"/>
  <c r="D101" i="5" a="1"/>
  <c r="D101" i="5" s="1"/>
  <c r="D98" i="5" a="1"/>
  <c r="D98" i="5" s="1"/>
  <c r="R98" i="5"/>
  <c r="R95" i="5"/>
  <c r="S82" i="5"/>
  <c r="AG72" i="3"/>
  <c r="D23" i="5" a="1"/>
  <c r="D23" i="5" s="1"/>
  <c r="AG95" i="3"/>
  <c r="D78" i="5" a="1"/>
  <c r="D78" i="5" s="1"/>
  <c r="R12" i="5"/>
  <c r="D12" i="5" a="1"/>
  <c r="D12" i="5" s="1"/>
  <c r="AG92" i="3"/>
  <c r="D58" i="5" a="1"/>
  <c r="D58" i="5" s="1"/>
  <c r="AG86" i="3"/>
  <c r="D42" i="5" a="1"/>
  <c r="D42" i="5" s="1"/>
  <c r="AG93" i="3"/>
  <c r="D60" i="5" a="1"/>
  <c r="D60" i="5" s="1"/>
  <c r="AG96" i="3"/>
  <c r="D30" i="5" a="1"/>
  <c r="D30" i="5" s="1"/>
  <c r="G67" i="5"/>
  <c r="AG66" i="3"/>
  <c r="D40" i="5" a="1"/>
  <c r="D40" i="5" s="1"/>
  <c r="AG61" i="3"/>
  <c r="D76" i="5" a="1"/>
  <c r="D76" i="5" s="1"/>
  <c r="AG123" i="3"/>
  <c r="D24" i="5" a="1"/>
  <c r="D24" i="5" s="1"/>
  <c r="AG143" i="3"/>
  <c r="D35" i="5" a="1"/>
  <c r="D35" i="5" s="1"/>
  <c r="AG140" i="3"/>
  <c r="D32" i="5" a="1"/>
  <c r="D32" i="5" s="1"/>
  <c r="D314" i="5" a="1"/>
  <c r="D314" i="5" s="1"/>
  <c r="D311" i="5" a="1"/>
  <c r="D311" i="5" s="1"/>
  <c r="AG77" i="3"/>
  <c r="D66" i="5" a="1"/>
  <c r="D66" i="5" s="1"/>
  <c r="G54" i="5"/>
  <c r="G65" i="5"/>
  <c r="D105" i="5" a="1"/>
  <c r="D105" i="5" s="1"/>
  <c r="D108" i="5" a="1"/>
  <c r="D108" i="5" s="1"/>
  <c r="D111" i="5" a="1"/>
  <c r="D111" i="5" s="1"/>
  <c r="D114" i="5" a="1"/>
  <c r="D114" i="5" s="1"/>
  <c r="D117" i="5" a="1"/>
  <c r="D117" i="5" s="1"/>
  <c r="D120" i="5" a="1"/>
  <c r="D120" i="5" s="1"/>
  <c r="D123" i="5" a="1"/>
  <c r="D123" i="5" s="1"/>
  <c r="D126" i="5" a="1"/>
  <c r="D126" i="5" s="1"/>
  <c r="D129" i="5" a="1"/>
  <c r="D129" i="5" s="1"/>
  <c r="D132" i="5" a="1"/>
  <c r="D132" i="5" s="1"/>
  <c r="D135" i="5" a="1"/>
  <c r="D135" i="5" s="1"/>
  <c r="D138" i="5" a="1"/>
  <c r="D138" i="5" s="1"/>
  <c r="D141" i="5" a="1"/>
  <c r="D141" i="5" s="1"/>
  <c r="D144" i="5" a="1"/>
  <c r="D144" i="5" s="1"/>
  <c r="D147" i="5" a="1"/>
  <c r="D147" i="5" s="1"/>
  <c r="D150" i="5" a="1"/>
  <c r="D150" i="5" s="1"/>
  <c r="D153" i="5" a="1"/>
  <c r="D153" i="5" s="1"/>
  <c r="D156" i="5" a="1"/>
  <c r="D156" i="5" s="1"/>
  <c r="D159" i="5" a="1"/>
  <c r="D159" i="5" s="1"/>
  <c r="D162" i="5" a="1"/>
  <c r="D162" i="5" s="1"/>
  <c r="D165" i="5" a="1"/>
  <c r="D165" i="5" s="1"/>
  <c r="D168" i="5" a="1"/>
  <c r="D168" i="5" s="1"/>
  <c r="D171" i="5" a="1"/>
  <c r="D171" i="5" s="1"/>
  <c r="D174" i="5" a="1"/>
  <c r="D174" i="5" s="1"/>
  <c r="D177" i="5" a="1"/>
  <c r="D177" i="5" s="1"/>
  <c r="D180" i="5" a="1"/>
  <c r="D180" i="5" s="1"/>
  <c r="D183" i="5" a="1"/>
  <c r="D183" i="5" s="1"/>
  <c r="D186" i="5" a="1"/>
  <c r="D186" i="5" s="1"/>
  <c r="D189" i="5" a="1"/>
  <c r="D189" i="5" s="1"/>
  <c r="D192" i="5" a="1"/>
  <c r="D192" i="5" s="1"/>
  <c r="D195" i="5" a="1"/>
  <c r="D195" i="5" s="1"/>
  <c r="D198" i="5" a="1"/>
  <c r="D198" i="5" s="1"/>
  <c r="D201" i="5" a="1"/>
  <c r="D201" i="5" s="1"/>
  <c r="D204" i="5" a="1"/>
  <c r="D204" i="5" s="1"/>
  <c r="D207" i="5" a="1"/>
  <c r="D207" i="5" s="1"/>
  <c r="D210" i="5" a="1"/>
  <c r="D210" i="5" s="1"/>
  <c r="D213" i="5" a="1"/>
  <c r="D213" i="5" s="1"/>
  <c r="D216" i="5" a="1"/>
  <c r="D216" i="5" s="1"/>
  <c r="D219" i="5" a="1"/>
  <c r="D219" i="5" s="1"/>
  <c r="D222" i="5" a="1"/>
  <c r="D222" i="5" s="1"/>
  <c r="D225" i="5" a="1"/>
  <c r="D225" i="5" s="1"/>
  <c r="D228" i="5" a="1"/>
  <c r="D228" i="5" s="1"/>
  <c r="D231" i="5" a="1"/>
  <c r="D231" i="5" s="1"/>
  <c r="D234" i="5" a="1"/>
  <c r="D234" i="5" s="1"/>
  <c r="D237" i="5" a="1"/>
  <c r="D237" i="5" s="1"/>
  <c r="D240" i="5" a="1"/>
  <c r="D240" i="5" s="1"/>
  <c r="D243" i="5" a="1"/>
  <c r="D243" i="5" s="1"/>
  <c r="D246" i="5" a="1"/>
  <c r="D246" i="5" s="1"/>
  <c r="D249" i="5" a="1"/>
  <c r="D249" i="5" s="1"/>
  <c r="D252" i="5" a="1"/>
  <c r="D252" i="5" s="1"/>
  <c r="D255" i="5" a="1"/>
  <c r="D255" i="5" s="1"/>
  <c r="D258" i="5" a="1"/>
  <c r="D258" i="5" s="1"/>
  <c r="D261" i="5" a="1"/>
  <c r="D261" i="5" s="1"/>
  <c r="D264" i="5" a="1"/>
  <c r="D264" i="5" s="1"/>
  <c r="D267" i="5" a="1"/>
  <c r="D267" i="5" s="1"/>
  <c r="D270" i="5" a="1"/>
  <c r="D270" i="5" s="1"/>
  <c r="D273" i="5" a="1"/>
  <c r="D273" i="5" s="1"/>
  <c r="D276" i="5" a="1"/>
  <c r="D276" i="5" s="1"/>
  <c r="D279" i="5" a="1"/>
  <c r="D279" i="5" s="1"/>
  <c r="D282" i="5" a="1"/>
  <c r="D282" i="5" s="1"/>
  <c r="D285" i="5" a="1"/>
  <c r="D285" i="5" s="1"/>
  <c r="D288" i="5" a="1"/>
  <c r="D288" i="5" s="1"/>
  <c r="D291" i="5" a="1"/>
  <c r="D291" i="5" s="1"/>
  <c r="D294" i="5" a="1"/>
  <c r="D294" i="5" s="1"/>
  <c r="D297" i="5" a="1"/>
  <c r="D297" i="5" s="1"/>
  <c r="D300" i="5" a="1"/>
  <c r="D300" i="5" s="1"/>
  <c r="D303" i="5" a="1"/>
  <c r="D303" i="5" s="1"/>
  <c r="D306" i="5" a="1"/>
  <c r="D306" i="5" s="1"/>
  <c r="D31" i="5" a="1"/>
  <c r="D31" i="5" s="1"/>
  <c r="D103" i="5" a="1"/>
  <c r="D103" i="5" s="1"/>
  <c r="D106" i="5" a="1"/>
  <c r="D106" i="5" s="1"/>
  <c r="D109" i="5" a="1"/>
  <c r="D109" i="5" s="1"/>
  <c r="D112" i="5" a="1"/>
  <c r="D112" i="5" s="1"/>
  <c r="D115" i="5" a="1"/>
  <c r="D115" i="5" s="1"/>
  <c r="D118" i="5" a="1"/>
  <c r="D118" i="5" s="1"/>
  <c r="D121" i="5" a="1"/>
  <c r="D121" i="5" s="1"/>
  <c r="D124" i="5" a="1"/>
  <c r="D124" i="5" s="1"/>
  <c r="D127" i="5" a="1"/>
  <c r="D127" i="5" s="1"/>
  <c r="D130" i="5" a="1"/>
  <c r="D130" i="5" s="1"/>
  <c r="D133" i="5" a="1"/>
  <c r="D133" i="5" s="1"/>
  <c r="D136" i="5" a="1"/>
  <c r="D136" i="5" s="1"/>
  <c r="D139" i="5" a="1"/>
  <c r="D139" i="5" s="1"/>
  <c r="D142" i="5" a="1"/>
  <c r="D142" i="5" s="1"/>
  <c r="D145" i="5" a="1"/>
  <c r="D145" i="5" s="1"/>
  <c r="D148" i="5" a="1"/>
  <c r="D148" i="5" s="1"/>
  <c r="D151" i="5" a="1"/>
  <c r="D151" i="5" s="1"/>
  <c r="D154" i="5" a="1"/>
  <c r="D154" i="5" s="1"/>
  <c r="D157" i="5" a="1"/>
  <c r="D157" i="5" s="1"/>
  <c r="D160" i="5" a="1"/>
  <c r="D160" i="5" s="1"/>
  <c r="D163" i="5" a="1"/>
  <c r="D163" i="5" s="1"/>
  <c r="D166" i="5" a="1"/>
  <c r="D166" i="5" s="1"/>
  <c r="D169" i="5" a="1"/>
  <c r="D169" i="5" s="1"/>
  <c r="D172" i="5" a="1"/>
  <c r="D172" i="5" s="1"/>
  <c r="D175" i="5" a="1"/>
  <c r="D175" i="5" s="1"/>
  <c r="D178" i="5" a="1"/>
  <c r="D178" i="5" s="1"/>
  <c r="D181" i="5" a="1"/>
  <c r="D181" i="5" s="1"/>
  <c r="D184" i="5" a="1"/>
  <c r="D184" i="5" s="1"/>
  <c r="D187" i="5" a="1"/>
  <c r="D187" i="5" s="1"/>
  <c r="D190" i="5" a="1"/>
  <c r="D190" i="5" s="1"/>
  <c r="D193" i="5" a="1"/>
  <c r="D193" i="5" s="1"/>
  <c r="D196" i="5" a="1"/>
  <c r="D196" i="5" s="1"/>
  <c r="D199" i="5" a="1"/>
  <c r="D199" i="5" s="1"/>
  <c r="D202" i="5" a="1"/>
  <c r="D202" i="5" s="1"/>
  <c r="D205" i="5" a="1"/>
  <c r="D205" i="5" s="1"/>
  <c r="D208" i="5" a="1"/>
  <c r="D208" i="5" s="1"/>
  <c r="D211" i="5" a="1"/>
  <c r="D211" i="5" s="1"/>
  <c r="D214" i="5" a="1"/>
  <c r="D214" i="5" s="1"/>
  <c r="D217" i="5" a="1"/>
  <c r="D217" i="5" s="1"/>
  <c r="D220" i="5" a="1"/>
  <c r="D220" i="5" s="1"/>
  <c r="D223" i="5" a="1"/>
  <c r="D223" i="5" s="1"/>
  <c r="D226" i="5" a="1"/>
  <c r="D226" i="5" s="1"/>
  <c r="D229" i="5" a="1"/>
  <c r="D229" i="5" s="1"/>
  <c r="D232" i="5" a="1"/>
  <c r="D232" i="5" s="1"/>
  <c r="D235" i="5" a="1"/>
  <c r="D235" i="5" s="1"/>
  <c r="D238" i="5" a="1"/>
  <c r="D238" i="5" s="1"/>
  <c r="D241" i="5" a="1"/>
  <c r="D241" i="5" s="1"/>
  <c r="D244" i="5" a="1"/>
  <c r="D244" i="5" s="1"/>
  <c r="D247" i="5" a="1"/>
  <c r="D247" i="5" s="1"/>
  <c r="D250" i="5" a="1"/>
  <c r="D250" i="5" s="1"/>
  <c r="D253" i="5" a="1"/>
  <c r="D253" i="5" s="1"/>
  <c r="D256" i="5" a="1"/>
  <c r="D256" i="5" s="1"/>
  <c r="D259" i="5" a="1"/>
  <c r="D259" i="5" s="1"/>
  <c r="D262" i="5" a="1"/>
  <c r="D262" i="5" s="1"/>
  <c r="D265" i="5" a="1"/>
  <c r="D265" i="5" s="1"/>
  <c r="D268" i="5" a="1"/>
  <c r="D268" i="5" s="1"/>
  <c r="D271" i="5" a="1"/>
  <c r="D271" i="5" s="1"/>
  <c r="D274" i="5" a="1"/>
  <c r="D274" i="5" s="1"/>
  <c r="D277" i="5" a="1"/>
  <c r="D277" i="5" s="1"/>
  <c r="D280" i="5" a="1"/>
  <c r="D280" i="5" s="1"/>
  <c r="D283" i="5" a="1"/>
  <c r="D283" i="5" s="1"/>
  <c r="D286" i="5" a="1"/>
  <c r="D286" i="5" s="1"/>
  <c r="D289" i="5" a="1"/>
  <c r="D289" i="5" s="1"/>
  <c r="D292" i="5" a="1"/>
  <c r="D292" i="5" s="1"/>
  <c r="D295" i="5" a="1"/>
  <c r="D295" i="5" s="1"/>
  <c r="D298" i="5" a="1"/>
  <c r="D298" i="5" s="1"/>
  <c r="D301" i="5" a="1"/>
  <c r="D301" i="5" s="1"/>
  <c r="D304" i="5" a="1"/>
  <c r="D304" i="5" s="1"/>
  <c r="D104" i="5" a="1"/>
  <c r="D104" i="5" s="1"/>
  <c r="D107" i="5" a="1"/>
  <c r="D107" i="5" s="1"/>
  <c r="D110" i="5" a="1"/>
  <c r="D110" i="5" s="1"/>
  <c r="D113" i="5" a="1"/>
  <c r="D113" i="5" s="1"/>
  <c r="D116" i="5" a="1"/>
  <c r="D116" i="5" s="1"/>
  <c r="D119" i="5" a="1"/>
  <c r="D119" i="5" s="1"/>
  <c r="D122" i="5" a="1"/>
  <c r="D122" i="5" s="1"/>
  <c r="D125" i="5" a="1"/>
  <c r="D125" i="5" s="1"/>
  <c r="D128" i="5" a="1"/>
  <c r="D128" i="5" s="1"/>
  <c r="D131" i="5" a="1"/>
  <c r="D131" i="5" s="1"/>
  <c r="D134" i="5" a="1"/>
  <c r="D134" i="5" s="1"/>
  <c r="D137" i="5" a="1"/>
  <c r="D137" i="5" s="1"/>
  <c r="D140" i="5" a="1"/>
  <c r="D140" i="5" s="1"/>
  <c r="D143" i="5" a="1"/>
  <c r="D143" i="5" s="1"/>
  <c r="D146" i="5" a="1"/>
  <c r="D146" i="5" s="1"/>
  <c r="D149" i="5" a="1"/>
  <c r="D149" i="5" s="1"/>
  <c r="D152" i="5" a="1"/>
  <c r="D152" i="5" s="1"/>
  <c r="D155" i="5" a="1"/>
  <c r="D155" i="5" s="1"/>
  <c r="D158" i="5" a="1"/>
  <c r="D158" i="5" s="1"/>
  <c r="D161" i="5" a="1"/>
  <c r="D161" i="5" s="1"/>
  <c r="D164" i="5" a="1"/>
  <c r="D164" i="5" s="1"/>
  <c r="D167" i="5" a="1"/>
  <c r="D167" i="5" s="1"/>
  <c r="D170" i="5" a="1"/>
  <c r="D170" i="5" s="1"/>
  <c r="D173" i="5" a="1"/>
  <c r="D173" i="5" s="1"/>
  <c r="D176" i="5" a="1"/>
  <c r="D176" i="5" s="1"/>
  <c r="D179" i="5" a="1"/>
  <c r="D179" i="5" s="1"/>
  <c r="D182" i="5" a="1"/>
  <c r="D182" i="5" s="1"/>
  <c r="D185" i="5" a="1"/>
  <c r="D185" i="5" s="1"/>
  <c r="D188" i="5" a="1"/>
  <c r="D188" i="5" s="1"/>
  <c r="D191" i="5" a="1"/>
  <c r="D191" i="5" s="1"/>
  <c r="D194" i="5" a="1"/>
  <c r="D194" i="5" s="1"/>
  <c r="D197" i="5" a="1"/>
  <c r="D197" i="5" s="1"/>
  <c r="D200" i="5" a="1"/>
  <c r="D200" i="5" s="1"/>
  <c r="D203" i="5" a="1"/>
  <c r="D203" i="5" s="1"/>
  <c r="D206" i="5" a="1"/>
  <c r="D206" i="5" s="1"/>
  <c r="D209" i="5" a="1"/>
  <c r="D209" i="5" s="1"/>
  <c r="D212" i="5" a="1"/>
  <c r="D212" i="5" s="1"/>
  <c r="D215" i="5" a="1"/>
  <c r="D215" i="5" s="1"/>
  <c r="D218" i="5" a="1"/>
  <c r="D218" i="5" s="1"/>
  <c r="D221" i="5" a="1"/>
  <c r="D221" i="5" s="1"/>
  <c r="D224" i="5" a="1"/>
  <c r="D224" i="5" s="1"/>
  <c r="D227" i="5" a="1"/>
  <c r="D227" i="5" s="1"/>
  <c r="D230" i="5" a="1"/>
  <c r="D230" i="5" s="1"/>
  <c r="D233" i="5" a="1"/>
  <c r="D233" i="5" s="1"/>
  <c r="D236" i="5" a="1"/>
  <c r="D236" i="5" s="1"/>
  <c r="D239" i="5" a="1"/>
  <c r="D239" i="5" s="1"/>
  <c r="D242" i="5" a="1"/>
  <c r="D242" i="5" s="1"/>
  <c r="D245" i="5" a="1"/>
  <c r="D245" i="5" s="1"/>
  <c r="D248" i="5" a="1"/>
  <c r="D248" i="5" s="1"/>
  <c r="D251" i="5" a="1"/>
  <c r="D251" i="5" s="1"/>
  <c r="D254" i="5" a="1"/>
  <c r="D254" i="5" s="1"/>
  <c r="D257" i="5" a="1"/>
  <c r="D257" i="5" s="1"/>
  <c r="D260" i="5" a="1"/>
  <c r="D260" i="5" s="1"/>
  <c r="D263" i="5" a="1"/>
  <c r="D263" i="5" s="1"/>
  <c r="D266" i="5" a="1"/>
  <c r="D266" i="5" s="1"/>
  <c r="D269" i="5" a="1"/>
  <c r="D269" i="5" s="1"/>
  <c r="D272" i="5" a="1"/>
  <c r="D272" i="5" s="1"/>
  <c r="D275" i="5" a="1"/>
  <c r="D275" i="5" s="1"/>
  <c r="D278" i="5" a="1"/>
  <c r="D278" i="5" s="1"/>
  <c r="D281" i="5" a="1"/>
  <c r="D281" i="5" s="1"/>
  <c r="D284" i="5" a="1"/>
  <c r="D284" i="5" s="1"/>
  <c r="D287" i="5" a="1"/>
  <c r="D287" i="5" s="1"/>
  <c r="D290" i="5" a="1"/>
  <c r="D290" i="5" s="1"/>
  <c r="D293" i="5" a="1"/>
  <c r="D293" i="5" s="1"/>
  <c r="D296" i="5" a="1"/>
  <c r="D296" i="5" s="1"/>
  <c r="D299" i="5" a="1"/>
  <c r="D299" i="5" s="1"/>
  <c r="D302" i="5" a="1"/>
  <c r="D302" i="5" s="1"/>
  <c r="D305" i="5" a="1"/>
  <c r="D305" i="5" s="1"/>
  <c r="E80" i="17"/>
  <c r="AG124" i="3"/>
  <c r="D27" i="5" a="1"/>
  <c r="D27" i="5" s="1"/>
  <c r="AG126" i="3"/>
  <c r="D49" i="5" a="1"/>
  <c r="D49" i="5" s="1"/>
  <c r="S75" i="5"/>
  <c r="D316" i="5" a="1"/>
  <c r="D316" i="5" s="1"/>
  <c r="D313" i="5" a="1"/>
  <c r="D313" i="5" s="1"/>
  <c r="D310" i="5" a="1"/>
  <c r="D310" i="5" s="1"/>
  <c r="D307" i="5" a="1"/>
  <c r="D307" i="5" s="1"/>
  <c r="D82" i="5" a="1"/>
  <c r="D82" i="5" s="1"/>
  <c r="AG73" i="3"/>
  <c r="D25" i="5" a="1"/>
  <c r="D25" i="5" s="1"/>
  <c r="AG88" i="3"/>
  <c r="D50" i="5" a="1"/>
  <c r="D50" i="5" s="1"/>
  <c r="R18" i="5"/>
  <c r="G47" i="5"/>
  <c r="H47" i="5" s="1"/>
  <c r="O47" i="5" s="1"/>
  <c r="G38" i="5"/>
  <c r="H38" i="5" s="1"/>
  <c r="O38" i="5" s="1"/>
  <c r="AG111" i="3"/>
  <c r="D73" i="5" a="1"/>
  <c r="D73" i="5" s="1"/>
  <c r="AG107" i="3"/>
  <c r="D28" i="5" a="1"/>
  <c r="D28" i="5" s="1"/>
  <c r="AG110" i="3"/>
  <c r="D71" i="5" a="1"/>
  <c r="D71" i="5" s="1"/>
  <c r="AG104" i="3"/>
  <c r="D22" i="5" a="1"/>
  <c r="D22" i="5" s="1"/>
  <c r="AG105" i="3"/>
  <c r="D54" i="5" a="1"/>
  <c r="D54" i="5" s="1"/>
  <c r="AG101" i="3"/>
  <c r="D67" i="5" a="1"/>
  <c r="D67" i="5" s="1"/>
  <c r="AG102" i="3"/>
  <c r="D77" i="5" a="1"/>
  <c r="D77" i="5" s="1"/>
  <c r="AG121" i="3"/>
  <c r="D19" i="5" a="1"/>
  <c r="D19" i="5" s="1"/>
  <c r="AG125" i="3"/>
  <c r="D41" i="5" a="1"/>
  <c r="D41" i="5" s="1"/>
  <c r="AG151" i="3"/>
  <c r="D81" i="5" a="1"/>
  <c r="D81" i="5" s="1"/>
  <c r="AG135" i="3"/>
  <c r="D62" i="5" a="1"/>
  <c r="D62" i="5" s="1"/>
  <c r="AG187" i="3"/>
  <c r="D94" i="5" a="1"/>
  <c r="D94" i="5" s="1"/>
  <c r="AG164" i="3"/>
  <c r="D92" i="5" a="1"/>
  <c r="D92" i="5" s="1"/>
  <c r="R82" i="5"/>
  <c r="R80" i="5"/>
  <c r="R79" i="5"/>
  <c r="S76" i="5"/>
  <c r="D315" i="5" a="1"/>
  <c r="D315" i="5" s="1"/>
  <c r="D312" i="5" a="1"/>
  <c r="D312" i="5" s="1"/>
  <c r="D309" i="5" a="1"/>
  <c r="D309" i="5" s="1"/>
  <c r="AG65" i="3"/>
  <c r="D7" i="5" a="1"/>
  <c r="D7" i="5" s="1"/>
  <c r="AG84" i="3"/>
  <c r="D6" i="5" a="1"/>
  <c r="D6" i="5" s="1"/>
  <c r="AG168" i="3"/>
  <c r="D8" i="5" a="1"/>
  <c r="D8" i="5" s="1"/>
  <c r="D18" i="5" a="1"/>
  <c r="D18" i="5" s="1"/>
  <c r="M152" i="12"/>
  <c r="M70" i="12"/>
  <c r="M153" i="12"/>
  <c r="M151" i="12"/>
  <c r="M66" i="12"/>
  <c r="M32" i="12"/>
  <c r="M163" i="12"/>
  <c r="M56" i="12"/>
  <c r="M67" i="12"/>
  <c r="M62" i="12"/>
  <c r="M57" i="12"/>
  <c r="M60" i="12"/>
  <c r="M54" i="12"/>
  <c r="M52" i="12"/>
  <c r="M53" i="12"/>
  <c r="M61" i="12"/>
  <c r="D73" i="17"/>
  <c r="E73" i="17"/>
  <c r="D74" i="17"/>
  <c r="E74" i="17"/>
  <c r="D75" i="17"/>
  <c r="E75" i="17"/>
  <c r="D76" i="17"/>
  <c r="E76" i="17"/>
  <c r="D77" i="17"/>
  <c r="E77" i="17"/>
  <c r="D78" i="17"/>
  <c r="E78" i="17"/>
  <c r="D79" i="17"/>
  <c r="E79" i="17"/>
  <c r="R24" i="5"/>
  <c r="G58" i="5"/>
  <c r="G42" i="5"/>
  <c r="H42" i="5" s="1"/>
  <c r="O42" i="5" s="1"/>
  <c r="G32" i="5"/>
  <c r="G12" i="5"/>
  <c r="AG69" i="3"/>
  <c r="R78" i="5"/>
  <c r="AG78" i="3"/>
  <c r="R76" i="5"/>
  <c r="R8" i="5"/>
  <c r="AG74" i="3"/>
  <c r="R40" i="5"/>
  <c r="AG76" i="3"/>
  <c r="AG75" i="3"/>
  <c r="K20" i="6"/>
  <c r="AG70" i="3"/>
  <c r="R36" i="5"/>
  <c r="AG67" i="3"/>
  <c r="AG68" i="3"/>
  <c r="R75" i="5"/>
  <c r="AG94" i="3"/>
  <c r="R58" i="5"/>
  <c r="AG85" i="3"/>
  <c r="K29" i="6"/>
  <c r="AG81" i="3"/>
  <c r="AG79" i="3"/>
  <c r="R34" i="5"/>
  <c r="AG83" i="3"/>
  <c r="R30" i="5"/>
  <c r="AG87" i="3"/>
  <c r="P35" i="6"/>
  <c r="AG82" i="3"/>
  <c r="R10" i="5"/>
  <c r="AG91" i="3"/>
  <c r="G62" i="5"/>
  <c r="G70" i="5"/>
  <c r="H70" i="5" s="1"/>
  <c r="O70" i="5" s="1"/>
  <c r="AG52" i="3"/>
  <c r="S280" i="5"/>
  <c r="S199" i="5"/>
  <c r="S170" i="5"/>
  <c r="G5" i="5"/>
  <c r="S137" i="5"/>
  <c r="S125" i="5"/>
  <c r="S74" i="5"/>
  <c r="S169" i="5"/>
  <c r="S167" i="5"/>
  <c r="S164" i="5"/>
  <c r="S161" i="5"/>
  <c r="S159" i="5"/>
  <c r="S316" i="5"/>
  <c r="S313" i="5"/>
  <c r="S308" i="5"/>
  <c r="S305" i="5"/>
  <c r="S303" i="5"/>
  <c r="S302" i="5"/>
  <c r="S300" i="5"/>
  <c r="S297" i="5"/>
  <c r="S291" i="5"/>
  <c r="S282" i="5"/>
  <c r="S281" i="5"/>
  <c r="S126" i="5"/>
  <c r="S105" i="5"/>
  <c r="S100" i="5"/>
  <c r="S97" i="5"/>
  <c r="S94" i="5"/>
  <c r="S91" i="5"/>
  <c r="S89" i="5"/>
  <c r="S83" i="5"/>
  <c r="S198" i="5"/>
  <c r="S177" i="5"/>
  <c r="S113" i="5"/>
  <c r="S112" i="5"/>
  <c r="S109" i="5"/>
  <c r="S279" i="5"/>
  <c r="S277" i="5"/>
  <c r="S276" i="5"/>
  <c r="S274" i="5"/>
  <c r="S273" i="5"/>
  <c r="S268" i="5"/>
  <c r="S265" i="5"/>
  <c r="S262" i="5"/>
  <c r="S259" i="5"/>
  <c r="S256" i="5"/>
  <c r="S253" i="5"/>
  <c r="S250" i="5"/>
  <c r="S248" i="5"/>
  <c r="S247" i="5"/>
  <c r="S242" i="5"/>
  <c r="S241" i="5"/>
  <c r="S240" i="5"/>
  <c r="S238" i="5"/>
  <c r="S237" i="5"/>
  <c r="S232" i="5"/>
  <c r="S231" i="5"/>
  <c r="S229" i="5"/>
  <c r="S228" i="5"/>
  <c r="S226" i="5"/>
  <c r="S223" i="5"/>
  <c r="S222" i="5"/>
  <c r="S219" i="5"/>
  <c r="S217" i="5"/>
  <c r="S216" i="5"/>
  <c r="S214" i="5"/>
  <c r="S213" i="5"/>
  <c r="S211" i="5"/>
  <c r="S208" i="5"/>
  <c r="S207" i="5"/>
  <c r="S206" i="5"/>
  <c r="S204" i="5"/>
  <c r="S149" i="5"/>
  <c r="S146" i="5"/>
  <c r="S143" i="5"/>
  <c r="S141" i="5"/>
  <c r="S124" i="5"/>
  <c r="S81" i="5"/>
  <c r="S79" i="5"/>
  <c r="S78" i="5"/>
  <c r="S77" i="5"/>
  <c r="G4" i="5"/>
  <c r="S304" i="5"/>
  <c r="S236" i="5"/>
  <c r="G44" i="5"/>
  <c r="G23" i="5"/>
  <c r="G17" i="5"/>
  <c r="G64" i="5"/>
  <c r="G71" i="5"/>
  <c r="G68" i="5"/>
  <c r="R73" i="5"/>
  <c r="G49" i="5"/>
  <c r="G43" i="5"/>
  <c r="G37" i="5"/>
  <c r="G28" i="5"/>
  <c r="G22" i="5"/>
  <c r="G13" i="5"/>
  <c r="G63" i="5"/>
  <c r="S289" i="5"/>
  <c r="R43" i="5"/>
  <c r="G48" i="5"/>
  <c r="G39" i="5"/>
  <c r="G33" i="5"/>
  <c r="G27" i="5"/>
  <c r="G24" i="5"/>
  <c r="G18" i="5"/>
  <c r="G6" i="5"/>
  <c r="G69" i="5"/>
  <c r="G66" i="5"/>
  <c r="S312" i="5"/>
  <c r="S309" i="5"/>
  <c r="S296" i="5"/>
  <c r="S285" i="5"/>
  <c r="S284" i="5"/>
  <c r="S266" i="5"/>
  <c r="S260" i="5"/>
  <c r="S257" i="5"/>
  <c r="S251" i="5"/>
  <c r="S244" i="5"/>
  <c r="S239" i="5"/>
  <c r="S230" i="5"/>
  <c r="S227" i="5"/>
  <c r="S218" i="5"/>
  <c r="S212" i="5"/>
  <c r="S210" i="5"/>
  <c r="S205" i="5"/>
  <c r="S202" i="5"/>
  <c r="S197" i="5"/>
  <c r="S176" i="5"/>
  <c r="S173" i="5"/>
  <c r="S140" i="5"/>
  <c r="S132" i="5"/>
  <c r="S120" i="5"/>
  <c r="S98" i="5"/>
  <c r="S92" i="5"/>
  <c r="S88" i="5"/>
  <c r="S85" i="5"/>
  <c r="S193" i="5"/>
  <c r="S190" i="5"/>
  <c r="S187" i="5"/>
  <c r="S181" i="5"/>
  <c r="S178" i="5"/>
  <c r="S172" i="5"/>
  <c r="S168" i="5"/>
  <c r="S160" i="5"/>
  <c r="S155" i="5"/>
  <c r="S152" i="5"/>
  <c r="S150" i="5"/>
  <c r="S134" i="5"/>
  <c r="S128" i="5"/>
  <c r="R74" i="5"/>
  <c r="F283" i="5"/>
  <c r="M283" i="5" s="1"/>
  <c r="G305" i="5"/>
  <c r="T305" i="5" s="1"/>
  <c r="F306" i="5"/>
  <c r="M306" i="5" s="1"/>
  <c r="F307" i="5"/>
  <c r="M307" i="5" s="1"/>
  <c r="G313" i="5"/>
  <c r="N313" i="5" s="1"/>
  <c r="G72" i="5"/>
  <c r="F292" i="5"/>
  <c r="M292" i="5" s="1"/>
  <c r="Q57" i="5"/>
  <c r="Q52" i="5"/>
  <c r="Q47" i="5"/>
  <c r="Q42" i="5"/>
  <c r="Q37" i="5"/>
  <c r="Q32" i="5"/>
  <c r="Q27" i="5"/>
  <c r="Q22" i="5"/>
  <c r="Q17" i="5"/>
  <c r="Q12" i="5"/>
  <c r="R31" i="5"/>
  <c r="G60" i="5"/>
  <c r="G55" i="5"/>
  <c r="G50" i="5"/>
  <c r="G45" i="5"/>
  <c r="G40" i="5"/>
  <c r="G35" i="5"/>
  <c r="G30" i="5"/>
  <c r="G25" i="5"/>
  <c r="G20" i="5"/>
  <c r="G15" i="5"/>
  <c r="G10" i="5"/>
  <c r="F316" i="5"/>
  <c r="M316" i="5" s="1"/>
  <c r="S314" i="5"/>
  <c r="G295" i="5"/>
  <c r="N295" i="5" s="1"/>
  <c r="Q4" i="5"/>
  <c r="F310" i="5"/>
  <c r="M310" i="5" s="1"/>
  <c r="F309" i="5"/>
  <c r="M309" i="5" s="1"/>
  <c r="F304" i="5"/>
  <c r="M304" i="5" s="1"/>
  <c r="G303" i="5"/>
  <c r="N303" i="5" s="1"/>
  <c r="Q51" i="5"/>
  <c r="Q41" i="5"/>
  <c r="Q31" i="5"/>
  <c r="G59" i="5"/>
  <c r="G34" i="5"/>
  <c r="F315" i="5"/>
  <c r="M315" i="5" s="1"/>
  <c r="G308" i="5"/>
  <c r="T308" i="5" s="1"/>
  <c r="G298" i="5"/>
  <c r="T298" i="5" s="1"/>
  <c r="G291" i="5"/>
  <c r="H291" i="5" s="1"/>
  <c r="O291" i="5" s="1"/>
  <c r="F77" i="5"/>
  <c r="M77" i="5" s="1"/>
  <c r="G77" i="5"/>
  <c r="F78" i="5"/>
  <c r="M78" i="5" s="1"/>
  <c r="G78" i="5"/>
  <c r="F79" i="5"/>
  <c r="M79" i="5" s="1"/>
  <c r="G79" i="5"/>
  <c r="G80" i="5"/>
  <c r="F81" i="5"/>
  <c r="M81" i="5" s="1"/>
  <c r="G82" i="5"/>
  <c r="G84" i="5"/>
  <c r="F85" i="5"/>
  <c r="M85" i="5" s="1"/>
  <c r="F86" i="5"/>
  <c r="M86" i="5" s="1"/>
  <c r="F88" i="5"/>
  <c r="M88" i="5" s="1"/>
  <c r="F89" i="5"/>
  <c r="M89" i="5" s="1"/>
  <c r="G91" i="5"/>
  <c r="G93" i="5"/>
  <c r="F94" i="5"/>
  <c r="M94" i="5" s="1"/>
  <c r="F95" i="5"/>
  <c r="M95" i="5" s="1"/>
  <c r="G96" i="5"/>
  <c r="G99" i="5"/>
  <c r="F100" i="5"/>
  <c r="M100" i="5" s="1"/>
  <c r="G101" i="5"/>
  <c r="F102" i="5"/>
  <c r="M102" i="5" s="1"/>
  <c r="G104" i="5"/>
  <c r="F105" i="5"/>
  <c r="M105" i="5" s="1"/>
  <c r="G106" i="5"/>
  <c r="G107" i="5"/>
  <c r="F108" i="5"/>
  <c r="M108" i="5" s="1"/>
  <c r="G112" i="5"/>
  <c r="G113" i="5"/>
  <c r="G114" i="5"/>
  <c r="F115" i="5"/>
  <c r="G116" i="5"/>
  <c r="F117" i="5"/>
  <c r="M117" i="5" s="1"/>
  <c r="F120" i="5"/>
  <c r="M120" i="5" s="1"/>
  <c r="G121" i="5"/>
  <c r="G122" i="5"/>
  <c r="F123" i="5"/>
  <c r="M123" i="5" s="1"/>
  <c r="F125" i="5"/>
  <c r="M125" i="5" s="1"/>
  <c r="G127" i="5"/>
  <c r="G129" i="5"/>
  <c r="G130" i="5"/>
  <c r="G131" i="5"/>
  <c r="H131" i="5" s="1"/>
  <c r="O131" i="5" s="1"/>
  <c r="G81" i="5"/>
  <c r="F83" i="5"/>
  <c r="M83" i="5" s="1"/>
  <c r="G85" i="5"/>
  <c r="G86" i="5"/>
  <c r="F87" i="5"/>
  <c r="M87" i="5" s="1"/>
  <c r="G88" i="5"/>
  <c r="G89" i="5"/>
  <c r="F90" i="5"/>
  <c r="M90" i="5" s="1"/>
  <c r="F92" i="5"/>
  <c r="M92" i="5" s="1"/>
  <c r="G94" i="5"/>
  <c r="G95" i="5"/>
  <c r="F97" i="5"/>
  <c r="M97" i="5" s="1"/>
  <c r="F98" i="5"/>
  <c r="M98" i="5" s="1"/>
  <c r="G100" i="5"/>
  <c r="G102" i="5"/>
  <c r="F103" i="5"/>
  <c r="M103" i="5" s="1"/>
  <c r="G105" i="5"/>
  <c r="G108" i="5"/>
  <c r="F109" i="5"/>
  <c r="M109" i="5" s="1"/>
  <c r="F110" i="5"/>
  <c r="F111" i="5"/>
  <c r="M111" i="5" s="1"/>
  <c r="G115" i="5"/>
  <c r="G117" i="5"/>
  <c r="F118" i="5"/>
  <c r="M118" i="5" s="1"/>
  <c r="F119" i="5"/>
  <c r="G120" i="5"/>
  <c r="F80" i="5"/>
  <c r="M80" i="5" s="1"/>
  <c r="F82" i="5"/>
  <c r="M82" i="5" s="1"/>
  <c r="G83" i="5"/>
  <c r="F84" i="5"/>
  <c r="M84" i="5" s="1"/>
  <c r="G87" i="5"/>
  <c r="G90" i="5"/>
  <c r="F91" i="5"/>
  <c r="M91" i="5" s="1"/>
  <c r="G92" i="5"/>
  <c r="F93" i="5"/>
  <c r="M93" i="5" s="1"/>
  <c r="F96" i="5"/>
  <c r="M96" i="5" s="1"/>
  <c r="G97" i="5"/>
  <c r="G98" i="5"/>
  <c r="F99" i="5"/>
  <c r="M99" i="5" s="1"/>
  <c r="F101" i="5"/>
  <c r="M101" i="5" s="1"/>
  <c r="G103" i="5"/>
  <c r="F104" i="5"/>
  <c r="M104" i="5" s="1"/>
  <c r="F106" i="5"/>
  <c r="F107" i="5"/>
  <c r="M107" i="5" s="1"/>
  <c r="G109" i="5"/>
  <c r="G110" i="5"/>
  <c r="G111" i="5"/>
  <c r="F112" i="5"/>
  <c r="F113" i="5"/>
  <c r="F114" i="5"/>
  <c r="M114" i="5" s="1"/>
  <c r="F116" i="5"/>
  <c r="M116" i="5" s="1"/>
  <c r="G118" i="5"/>
  <c r="G119" i="5"/>
  <c r="F121" i="5"/>
  <c r="M121" i="5" s="1"/>
  <c r="F122" i="5"/>
  <c r="M122" i="5" s="1"/>
  <c r="G124" i="5"/>
  <c r="G123" i="5"/>
  <c r="G128" i="5"/>
  <c r="G132" i="5"/>
  <c r="F133" i="5"/>
  <c r="M133" i="5" s="1"/>
  <c r="G134" i="5"/>
  <c r="F136" i="5"/>
  <c r="M136" i="5" s="1"/>
  <c r="G137" i="5"/>
  <c r="G138" i="5"/>
  <c r="G140" i="5"/>
  <c r="G141" i="5"/>
  <c r="F142" i="5"/>
  <c r="M142" i="5" s="1"/>
  <c r="G143" i="5"/>
  <c r="F145" i="5"/>
  <c r="M145" i="5" s="1"/>
  <c r="G146" i="5"/>
  <c r="G147" i="5"/>
  <c r="G149" i="5"/>
  <c r="G150" i="5"/>
  <c r="F151" i="5"/>
  <c r="M151" i="5" s="1"/>
  <c r="G152" i="5"/>
  <c r="F154" i="5"/>
  <c r="M154" i="5" s="1"/>
  <c r="G125" i="5"/>
  <c r="F126" i="5"/>
  <c r="M126" i="5" s="1"/>
  <c r="F127" i="5"/>
  <c r="M127" i="5" s="1"/>
  <c r="F130" i="5"/>
  <c r="M130" i="5" s="1"/>
  <c r="F131" i="5"/>
  <c r="M131" i="5" s="1"/>
  <c r="G133" i="5"/>
  <c r="F135" i="5"/>
  <c r="M135" i="5" s="1"/>
  <c r="G136" i="5"/>
  <c r="F139" i="5"/>
  <c r="M139" i="5" s="1"/>
  <c r="G142" i="5"/>
  <c r="F144" i="5"/>
  <c r="M144" i="5" s="1"/>
  <c r="G145" i="5"/>
  <c r="F148" i="5"/>
  <c r="M148" i="5" s="1"/>
  <c r="G151" i="5"/>
  <c r="F153" i="5"/>
  <c r="M153" i="5" s="1"/>
  <c r="G154" i="5"/>
  <c r="F157" i="5"/>
  <c r="M157" i="5" s="1"/>
  <c r="G158" i="5"/>
  <c r="F162" i="5"/>
  <c r="M162" i="5" s="1"/>
  <c r="G163" i="5"/>
  <c r="G166" i="5"/>
  <c r="F168" i="5"/>
  <c r="M168" i="5" s="1"/>
  <c r="F169" i="5"/>
  <c r="M169" i="5" s="1"/>
  <c r="F170" i="5"/>
  <c r="M170" i="5" s="1"/>
  <c r="G171" i="5"/>
  <c r="F173" i="5"/>
  <c r="M173" i="5" s="1"/>
  <c r="F174" i="5"/>
  <c r="M174" i="5" s="1"/>
  <c r="F124" i="5"/>
  <c r="G126" i="5"/>
  <c r="F128" i="5"/>
  <c r="F129" i="5"/>
  <c r="M129" i="5" s="1"/>
  <c r="F132" i="5"/>
  <c r="M132" i="5" s="1"/>
  <c r="F134" i="5"/>
  <c r="M134" i="5" s="1"/>
  <c r="G135" i="5"/>
  <c r="F137" i="5"/>
  <c r="M137" i="5" s="1"/>
  <c r="F138" i="5"/>
  <c r="M138" i="5" s="1"/>
  <c r="G139" i="5"/>
  <c r="F140" i="5"/>
  <c r="M140" i="5" s="1"/>
  <c r="F141" i="5"/>
  <c r="M141" i="5" s="1"/>
  <c r="F143" i="5"/>
  <c r="M143" i="5" s="1"/>
  <c r="G144" i="5"/>
  <c r="F146" i="5"/>
  <c r="M146" i="5" s="1"/>
  <c r="F147" i="5"/>
  <c r="M147" i="5" s="1"/>
  <c r="G148" i="5"/>
  <c r="F149" i="5"/>
  <c r="M149" i="5" s="1"/>
  <c r="F150" i="5"/>
  <c r="M150" i="5" s="1"/>
  <c r="F152" i="5"/>
  <c r="M152" i="5" s="1"/>
  <c r="G153" i="5"/>
  <c r="F155" i="5"/>
  <c r="M155" i="5" s="1"/>
  <c r="F156" i="5"/>
  <c r="M156" i="5" s="1"/>
  <c r="G156" i="5"/>
  <c r="F159" i="5"/>
  <c r="M159" i="5" s="1"/>
  <c r="F160" i="5"/>
  <c r="M160" i="5" s="1"/>
  <c r="G161" i="5"/>
  <c r="F163" i="5"/>
  <c r="M163" i="5" s="1"/>
  <c r="F165" i="5"/>
  <c r="M165" i="5" s="1"/>
  <c r="F166" i="5"/>
  <c r="M166" i="5" s="1"/>
  <c r="G169" i="5"/>
  <c r="F172" i="5"/>
  <c r="M172" i="5" s="1"/>
  <c r="G176" i="5"/>
  <c r="F177" i="5"/>
  <c r="M177" i="5" s="1"/>
  <c r="F178" i="5"/>
  <c r="M178" i="5" s="1"/>
  <c r="G179" i="5"/>
  <c r="G180" i="5"/>
  <c r="F182" i="5"/>
  <c r="M182" i="5" s="1"/>
  <c r="G184" i="5"/>
  <c r="G186" i="5"/>
  <c r="F187" i="5"/>
  <c r="M187" i="5" s="1"/>
  <c r="G188" i="5"/>
  <c r="G189" i="5"/>
  <c r="F190" i="5"/>
  <c r="M190" i="5" s="1"/>
  <c r="G192" i="5"/>
  <c r="F193" i="5"/>
  <c r="M193" i="5" s="1"/>
  <c r="G194" i="5"/>
  <c r="F195" i="5"/>
  <c r="M195" i="5" s="1"/>
  <c r="F198" i="5"/>
  <c r="M198" i="5" s="1"/>
  <c r="G199" i="5"/>
  <c r="F201" i="5"/>
  <c r="M201" i="5" s="1"/>
  <c r="F203" i="5"/>
  <c r="M203" i="5" s="1"/>
  <c r="G207" i="5"/>
  <c r="G208" i="5"/>
  <c r="F209" i="5"/>
  <c r="M209" i="5" s="1"/>
  <c r="G211" i="5"/>
  <c r="F215" i="5"/>
  <c r="M215" i="5" s="1"/>
  <c r="G216" i="5"/>
  <c r="H216" i="5" s="1"/>
  <c r="O216" i="5" s="1"/>
  <c r="G219" i="5"/>
  <c r="T219" i="5" s="1"/>
  <c r="G220" i="5"/>
  <c r="H220" i="5" s="1"/>
  <c r="O220" i="5" s="1"/>
  <c r="G221" i="5"/>
  <c r="H221" i="5" s="1"/>
  <c r="O221" i="5" s="1"/>
  <c r="F222" i="5"/>
  <c r="M222" i="5" s="1"/>
  <c r="F224" i="5"/>
  <c r="M224" i="5" s="1"/>
  <c r="G225" i="5"/>
  <c r="T225" i="5" s="1"/>
  <c r="G227" i="5"/>
  <c r="P227" i="5" s="1"/>
  <c r="G232" i="5"/>
  <c r="T232" i="5" s="1"/>
  <c r="G233" i="5"/>
  <c r="H233" i="5" s="1"/>
  <c r="O233" i="5" s="1"/>
  <c r="F234" i="5"/>
  <c r="M234" i="5" s="1"/>
  <c r="G235" i="5"/>
  <c r="H235" i="5" s="1"/>
  <c r="O235" i="5" s="1"/>
  <c r="G236" i="5"/>
  <c r="T236" i="5" s="1"/>
  <c r="G155" i="5"/>
  <c r="G159" i="5"/>
  <c r="G160" i="5"/>
  <c r="F164" i="5"/>
  <c r="M164" i="5" s="1"/>
  <c r="G165" i="5"/>
  <c r="F167" i="5"/>
  <c r="M167" i="5" s="1"/>
  <c r="G168" i="5"/>
  <c r="G170" i="5"/>
  <c r="G172" i="5"/>
  <c r="G173" i="5"/>
  <c r="G174" i="5"/>
  <c r="F175" i="5"/>
  <c r="M175" i="5" s="1"/>
  <c r="G177" i="5"/>
  <c r="G178" i="5"/>
  <c r="F181" i="5"/>
  <c r="M181" i="5" s="1"/>
  <c r="G182" i="5"/>
  <c r="F183" i="5"/>
  <c r="M183" i="5" s="1"/>
  <c r="F185" i="5"/>
  <c r="M185" i="5" s="1"/>
  <c r="G187" i="5"/>
  <c r="G190" i="5"/>
  <c r="F191" i="5"/>
  <c r="M191" i="5" s="1"/>
  <c r="G193" i="5"/>
  <c r="G195" i="5"/>
  <c r="F196" i="5"/>
  <c r="M196" i="5" s="1"/>
  <c r="F197" i="5"/>
  <c r="M197" i="5" s="1"/>
  <c r="G198" i="5"/>
  <c r="F200" i="5"/>
  <c r="M200" i="5" s="1"/>
  <c r="G201" i="5"/>
  <c r="F202" i="5"/>
  <c r="M202" i="5" s="1"/>
  <c r="G203" i="5"/>
  <c r="F204" i="5"/>
  <c r="M204" i="5" s="1"/>
  <c r="F205" i="5"/>
  <c r="M205" i="5" s="1"/>
  <c r="F206" i="5"/>
  <c r="M206" i="5" s="1"/>
  <c r="G209" i="5"/>
  <c r="F210" i="5"/>
  <c r="M210" i="5" s="1"/>
  <c r="F212" i="5"/>
  <c r="M212" i="5" s="1"/>
  <c r="F213" i="5"/>
  <c r="M213" i="5" s="1"/>
  <c r="G157" i="5"/>
  <c r="F158" i="5"/>
  <c r="M158" i="5" s="1"/>
  <c r="F161" i="5"/>
  <c r="M161" i="5" s="1"/>
  <c r="G162" i="5"/>
  <c r="G164" i="5"/>
  <c r="G167" i="5"/>
  <c r="F171" i="5"/>
  <c r="M171" i="5" s="1"/>
  <c r="G175" i="5"/>
  <c r="F176" i="5"/>
  <c r="M176" i="5" s="1"/>
  <c r="F179" i="5"/>
  <c r="M179" i="5" s="1"/>
  <c r="F180" i="5"/>
  <c r="M180" i="5" s="1"/>
  <c r="G181" i="5"/>
  <c r="G183" i="5"/>
  <c r="F184" i="5"/>
  <c r="M184" i="5" s="1"/>
  <c r="G185" i="5"/>
  <c r="F186" i="5"/>
  <c r="M186" i="5" s="1"/>
  <c r="F188" i="5"/>
  <c r="M188" i="5" s="1"/>
  <c r="F189" i="5"/>
  <c r="M189" i="5" s="1"/>
  <c r="G191" i="5"/>
  <c r="F192" i="5"/>
  <c r="M192" i="5" s="1"/>
  <c r="F194" i="5"/>
  <c r="M194" i="5" s="1"/>
  <c r="G196" i="5"/>
  <c r="G197" i="5"/>
  <c r="F199" i="5"/>
  <c r="M199" i="5" s="1"/>
  <c r="G200" i="5"/>
  <c r="G202" i="5"/>
  <c r="G204" i="5"/>
  <c r="G205" i="5"/>
  <c r="G206" i="5"/>
  <c r="F207" i="5"/>
  <c r="M207" i="5" s="1"/>
  <c r="F208" i="5"/>
  <c r="M208" i="5" s="1"/>
  <c r="G210" i="5"/>
  <c r="F211" i="5"/>
  <c r="M211" i="5" s="1"/>
  <c r="G212" i="5"/>
  <c r="G213" i="5"/>
  <c r="G214" i="5"/>
  <c r="F216" i="5"/>
  <c r="M216" i="5" s="1"/>
  <c r="G215" i="5"/>
  <c r="P215" i="5" s="1"/>
  <c r="G217" i="5"/>
  <c r="H217" i="5" s="1"/>
  <c r="O217" i="5" s="1"/>
  <c r="F223" i="5"/>
  <c r="M223" i="5" s="1"/>
  <c r="F225" i="5"/>
  <c r="M225" i="5" s="1"/>
  <c r="G226" i="5"/>
  <c r="F229" i="5"/>
  <c r="M229" i="5" s="1"/>
  <c r="G230" i="5"/>
  <c r="H230" i="5" s="1"/>
  <c r="O230" i="5" s="1"/>
  <c r="F237" i="5"/>
  <c r="M237" i="5" s="1"/>
  <c r="G240" i="5"/>
  <c r="H240" i="5" s="1"/>
  <c r="O240" i="5" s="1"/>
  <c r="F244" i="5"/>
  <c r="M244" i="5" s="1"/>
  <c r="F249" i="5"/>
  <c r="M249" i="5" s="1"/>
  <c r="G250" i="5"/>
  <c r="T250" i="5" s="1"/>
  <c r="G251" i="5"/>
  <c r="T251" i="5" s="1"/>
  <c r="G254" i="5"/>
  <c r="H254" i="5" s="1"/>
  <c r="O254" i="5" s="1"/>
  <c r="F258" i="5"/>
  <c r="M258" i="5" s="1"/>
  <c r="F259" i="5"/>
  <c r="M259" i="5" s="1"/>
  <c r="F261" i="5"/>
  <c r="M261" i="5" s="1"/>
  <c r="G262" i="5"/>
  <c r="H262" i="5" s="1"/>
  <c r="O262" i="5" s="1"/>
  <c r="F263" i="5"/>
  <c r="M263" i="5" s="1"/>
  <c r="F264" i="5"/>
  <c r="M264" i="5" s="1"/>
  <c r="F265" i="5"/>
  <c r="M265" i="5" s="1"/>
  <c r="G267" i="5"/>
  <c r="H267" i="5" s="1"/>
  <c r="O267" i="5" s="1"/>
  <c r="G272" i="5"/>
  <c r="H272" i="5" s="1"/>
  <c r="O272" i="5" s="1"/>
  <c r="G275" i="5"/>
  <c r="N275" i="5" s="1"/>
  <c r="G278" i="5"/>
  <c r="T278" i="5" s="1"/>
  <c r="G280" i="5"/>
  <c r="N280" i="5" s="1"/>
  <c r="F218" i="5"/>
  <c r="M218" i="5" s="1"/>
  <c r="G222" i="5"/>
  <c r="H222" i="5" s="1"/>
  <c r="O222" i="5" s="1"/>
  <c r="G223" i="5"/>
  <c r="T223" i="5" s="1"/>
  <c r="G229" i="5"/>
  <c r="T229" i="5" s="1"/>
  <c r="F231" i="5"/>
  <c r="M231" i="5" s="1"/>
  <c r="F235" i="5"/>
  <c r="M235" i="5" s="1"/>
  <c r="F236" i="5"/>
  <c r="M236" i="5" s="1"/>
  <c r="G237" i="5"/>
  <c r="H237" i="5" s="1"/>
  <c r="O237" i="5" s="1"/>
  <c r="F239" i="5"/>
  <c r="M239" i="5" s="1"/>
  <c r="F241" i="5"/>
  <c r="M241" i="5" s="1"/>
  <c r="F243" i="5"/>
  <c r="M243" i="5" s="1"/>
  <c r="G244" i="5"/>
  <c r="H244" i="5" s="1"/>
  <c r="O244" i="5" s="1"/>
  <c r="F246" i="5"/>
  <c r="M246" i="5" s="1"/>
  <c r="F247" i="5"/>
  <c r="M247" i="5" s="1"/>
  <c r="G249" i="5"/>
  <c r="P249" i="5" s="1"/>
  <c r="F253" i="5"/>
  <c r="M253" i="5" s="1"/>
  <c r="G258" i="5"/>
  <c r="H258" i="5" s="1"/>
  <c r="O258" i="5" s="1"/>
  <c r="G259" i="5"/>
  <c r="T259" i="5" s="1"/>
  <c r="F260" i="5"/>
  <c r="M260" i="5" s="1"/>
  <c r="G261" i="5"/>
  <c r="P261" i="5" s="1"/>
  <c r="G263" i="5"/>
  <c r="P263" i="5" s="1"/>
  <c r="G264" i="5"/>
  <c r="T264" i="5" s="1"/>
  <c r="G265" i="5"/>
  <c r="H265" i="5" s="1"/>
  <c r="O265" i="5" s="1"/>
  <c r="F266" i="5"/>
  <c r="M266" i="5" s="1"/>
  <c r="F268" i="5"/>
  <c r="M268" i="5" s="1"/>
  <c r="F270" i="5"/>
  <c r="M270" i="5" s="1"/>
  <c r="F271" i="5"/>
  <c r="M271" i="5" s="1"/>
  <c r="G282" i="5"/>
  <c r="H282" i="5" s="1"/>
  <c r="O282" i="5" s="1"/>
  <c r="G283" i="5"/>
  <c r="N283" i="5" s="1"/>
  <c r="F285" i="5"/>
  <c r="M285" i="5" s="1"/>
  <c r="F287" i="5"/>
  <c r="M287" i="5" s="1"/>
  <c r="F289" i="5"/>
  <c r="M289" i="5" s="1"/>
  <c r="F293" i="5"/>
  <c r="M293" i="5" s="1"/>
  <c r="F296" i="5"/>
  <c r="M296" i="5" s="1"/>
  <c r="F299" i="5"/>
  <c r="M299" i="5" s="1"/>
  <c r="F301" i="5"/>
  <c r="M301" i="5" s="1"/>
  <c r="G304" i="5"/>
  <c r="N304" i="5" s="1"/>
  <c r="G306" i="5"/>
  <c r="N306" i="5" s="1"/>
  <c r="G309" i="5"/>
  <c r="T309" i="5" s="1"/>
  <c r="G310" i="5"/>
  <c r="T310" i="5" s="1"/>
  <c r="F311" i="5"/>
  <c r="M311" i="5" s="1"/>
  <c r="F312" i="5"/>
  <c r="M312" i="5" s="1"/>
  <c r="G314" i="5"/>
  <c r="H314" i="5" s="1"/>
  <c r="O314" i="5" s="1"/>
  <c r="G315" i="5"/>
  <c r="N315" i="5" s="1"/>
  <c r="G218" i="5"/>
  <c r="H218" i="5" s="1"/>
  <c r="O218" i="5" s="1"/>
  <c r="F220" i="5"/>
  <c r="M220" i="5" s="1"/>
  <c r="G224" i="5"/>
  <c r="T224" i="5" s="1"/>
  <c r="F228" i="5"/>
  <c r="M228" i="5" s="1"/>
  <c r="G231" i="5"/>
  <c r="H231" i="5" s="1"/>
  <c r="O231" i="5" s="1"/>
  <c r="F233" i="5"/>
  <c r="M233" i="5" s="1"/>
  <c r="F238" i="5"/>
  <c r="M238" i="5" s="1"/>
  <c r="G239" i="5"/>
  <c r="H239" i="5" s="1"/>
  <c r="O239" i="5" s="1"/>
  <c r="G241" i="5"/>
  <c r="N241" i="5" s="1"/>
  <c r="F242" i="5"/>
  <c r="M242" i="5" s="1"/>
  <c r="G243" i="5"/>
  <c r="H243" i="5" s="1"/>
  <c r="O243" i="5" s="1"/>
  <c r="F245" i="5"/>
  <c r="M245" i="5" s="1"/>
  <c r="G246" i="5"/>
  <c r="T246" i="5" s="1"/>
  <c r="G247" i="5"/>
  <c r="T247" i="5" s="1"/>
  <c r="F248" i="5"/>
  <c r="M248" i="5" s="1"/>
  <c r="F252" i="5"/>
  <c r="M252" i="5" s="1"/>
  <c r="G253" i="5"/>
  <c r="H253" i="5" s="1"/>
  <c r="O253" i="5" s="1"/>
  <c r="F255" i="5"/>
  <c r="M255" i="5" s="1"/>
  <c r="F256" i="5"/>
  <c r="M256" i="5" s="1"/>
  <c r="F257" i="5"/>
  <c r="M257" i="5" s="1"/>
  <c r="G260" i="5"/>
  <c r="T260" i="5" s="1"/>
  <c r="G266" i="5"/>
  <c r="H266" i="5" s="1"/>
  <c r="O266" i="5" s="1"/>
  <c r="G268" i="5"/>
  <c r="H268" i="5" s="1"/>
  <c r="O268" i="5" s="1"/>
  <c r="F269" i="5"/>
  <c r="M269" i="5" s="1"/>
  <c r="G270" i="5"/>
  <c r="P270" i="5" s="1"/>
  <c r="G271" i="5"/>
  <c r="H271" i="5" s="1"/>
  <c r="O271" i="5" s="1"/>
  <c r="F273" i="5"/>
  <c r="M273" i="5" s="1"/>
  <c r="F274" i="5"/>
  <c r="M274" i="5" s="1"/>
  <c r="F276" i="5"/>
  <c r="M276" i="5" s="1"/>
  <c r="F277" i="5"/>
  <c r="M277" i="5" s="1"/>
  <c r="F279" i="5"/>
  <c r="M279" i="5" s="1"/>
  <c r="F281" i="5"/>
  <c r="M281" i="5" s="1"/>
  <c r="F284" i="5"/>
  <c r="M284" i="5" s="1"/>
  <c r="G285" i="5"/>
  <c r="T285" i="5" s="1"/>
  <c r="F286" i="5"/>
  <c r="M286" i="5" s="1"/>
  <c r="G287" i="5"/>
  <c r="H287" i="5" s="1"/>
  <c r="O287" i="5" s="1"/>
  <c r="F288" i="5"/>
  <c r="M288" i="5" s="1"/>
  <c r="G289" i="5"/>
  <c r="T289" i="5" s="1"/>
  <c r="F290" i="5"/>
  <c r="M290" i="5" s="1"/>
  <c r="F291" i="5"/>
  <c r="M291" i="5" s="1"/>
  <c r="G293" i="5"/>
  <c r="T293" i="5" s="1"/>
  <c r="F294" i="5"/>
  <c r="M294" i="5" s="1"/>
  <c r="F295" i="5"/>
  <c r="M295" i="5" s="1"/>
  <c r="G296" i="5"/>
  <c r="T296" i="5" s="1"/>
  <c r="F297" i="5"/>
  <c r="M297" i="5" s="1"/>
  <c r="F298" i="5"/>
  <c r="M298" i="5" s="1"/>
  <c r="G299" i="5"/>
  <c r="F300" i="5"/>
  <c r="M300" i="5" s="1"/>
  <c r="G301" i="5"/>
  <c r="H301" i="5" s="1"/>
  <c r="O301" i="5" s="1"/>
  <c r="F302" i="5"/>
  <c r="M302" i="5" s="1"/>
  <c r="F303" i="5"/>
  <c r="M303" i="5" s="1"/>
  <c r="G311" i="5"/>
  <c r="T311" i="5" s="1"/>
  <c r="G312" i="5"/>
  <c r="H312" i="5" s="1"/>
  <c r="O312" i="5" s="1"/>
  <c r="F214" i="5"/>
  <c r="M214" i="5" s="1"/>
  <c r="F217" i="5"/>
  <c r="M217" i="5" s="1"/>
  <c r="F219" i="5"/>
  <c r="M219" i="5" s="1"/>
  <c r="F221" i="5"/>
  <c r="M221" i="5" s="1"/>
  <c r="F226" i="5"/>
  <c r="M226" i="5" s="1"/>
  <c r="F227" i="5"/>
  <c r="M227" i="5" s="1"/>
  <c r="G228" i="5"/>
  <c r="H228" i="5" s="1"/>
  <c r="O228" i="5" s="1"/>
  <c r="F230" i="5"/>
  <c r="M230" i="5" s="1"/>
  <c r="F232" i="5"/>
  <c r="M232" i="5" s="1"/>
  <c r="G234" i="5"/>
  <c r="P234" i="5" s="1"/>
  <c r="G238" i="5"/>
  <c r="T238" i="5" s="1"/>
  <c r="F240" i="5"/>
  <c r="M240" i="5" s="1"/>
  <c r="G242" i="5"/>
  <c r="H242" i="5" s="1"/>
  <c r="O242" i="5" s="1"/>
  <c r="G245" i="5"/>
  <c r="H245" i="5" s="1"/>
  <c r="O245" i="5" s="1"/>
  <c r="G248" i="5"/>
  <c r="H248" i="5" s="1"/>
  <c r="O248" i="5" s="1"/>
  <c r="F250" i="5"/>
  <c r="M250" i="5" s="1"/>
  <c r="F251" i="5"/>
  <c r="M251" i="5" s="1"/>
  <c r="G252" i="5"/>
  <c r="P252" i="5" s="1"/>
  <c r="F254" i="5"/>
  <c r="M254" i="5" s="1"/>
  <c r="G255" i="5"/>
  <c r="P255" i="5" s="1"/>
  <c r="G256" i="5"/>
  <c r="P256" i="5" s="1"/>
  <c r="G257" i="5"/>
  <c r="T257" i="5" s="1"/>
  <c r="F262" i="5"/>
  <c r="M262" i="5" s="1"/>
  <c r="F267" i="5"/>
  <c r="M267" i="5" s="1"/>
  <c r="G269" i="5"/>
  <c r="T269" i="5" s="1"/>
  <c r="F272" i="5"/>
  <c r="M272" i="5" s="1"/>
  <c r="G273" i="5"/>
  <c r="T273" i="5" s="1"/>
  <c r="G274" i="5"/>
  <c r="H274" i="5" s="1"/>
  <c r="O274" i="5" s="1"/>
  <c r="F275" i="5"/>
  <c r="M275" i="5" s="1"/>
  <c r="G276" i="5"/>
  <c r="T276" i="5" s="1"/>
  <c r="G277" i="5"/>
  <c r="T277" i="5" s="1"/>
  <c r="F278" i="5"/>
  <c r="M278" i="5" s="1"/>
  <c r="G279" i="5"/>
  <c r="H279" i="5" s="1"/>
  <c r="O279" i="5" s="1"/>
  <c r="F280" i="5"/>
  <c r="M280" i="5" s="1"/>
  <c r="G281" i="5"/>
  <c r="H281" i="5" s="1"/>
  <c r="O281" i="5" s="1"/>
  <c r="G284" i="5"/>
  <c r="N284" i="5" s="1"/>
  <c r="G286" i="5"/>
  <c r="H286" i="5" s="1"/>
  <c r="O286" i="5" s="1"/>
  <c r="G288" i="5"/>
  <c r="N288" i="5" s="1"/>
  <c r="G290" i="5"/>
  <c r="H290" i="5" s="1"/>
  <c r="O290" i="5" s="1"/>
  <c r="G61" i="5"/>
  <c r="G56" i="5"/>
  <c r="G46" i="5"/>
  <c r="G36" i="5"/>
  <c r="G31" i="5"/>
  <c r="G26" i="5"/>
  <c r="G21" i="5"/>
  <c r="G16" i="5"/>
  <c r="G11" i="5"/>
  <c r="G316" i="5"/>
  <c r="H316" i="5" s="1"/>
  <c r="O316" i="5" s="1"/>
  <c r="F313" i="5"/>
  <c r="M313" i="5" s="1"/>
  <c r="F305" i="5"/>
  <c r="M305" i="5" s="1"/>
  <c r="R42" i="5"/>
  <c r="R49" i="5"/>
  <c r="Q60" i="5"/>
  <c r="R37" i="5"/>
  <c r="G73" i="5"/>
  <c r="F314" i="5"/>
  <c r="M314" i="5" s="1"/>
  <c r="S311" i="5"/>
  <c r="F308" i="5"/>
  <c r="M308" i="5" s="1"/>
  <c r="G307" i="5"/>
  <c r="H307" i="5" s="1"/>
  <c r="O307" i="5" s="1"/>
  <c r="G302" i="5"/>
  <c r="H302" i="5" s="1"/>
  <c r="O302" i="5" s="1"/>
  <c r="G294" i="5"/>
  <c r="H294" i="5" s="1"/>
  <c r="O294" i="5" s="1"/>
  <c r="F282" i="5"/>
  <c r="M282" i="5" s="1"/>
  <c r="G57" i="5"/>
  <c r="G7" i="5"/>
  <c r="G300" i="5"/>
  <c r="H300" i="5" s="1"/>
  <c r="O300" i="5" s="1"/>
  <c r="G297" i="5"/>
  <c r="H297" i="5" s="1"/>
  <c r="O297" i="5" s="1"/>
  <c r="G292" i="5"/>
  <c r="N292" i="5" s="1"/>
  <c r="S233" i="5"/>
  <c r="S220" i="5"/>
  <c r="S301" i="5"/>
  <c r="S293" i="5"/>
  <c r="S287" i="5"/>
  <c r="S283" i="5"/>
  <c r="S255" i="5"/>
  <c r="S310" i="5"/>
  <c r="S271" i="5"/>
  <c r="S270" i="5"/>
  <c r="S246" i="5"/>
  <c r="S264" i="5"/>
  <c r="S196" i="5"/>
  <c r="S194" i="5"/>
  <c r="S235" i="5"/>
  <c r="S225" i="5"/>
  <c r="S203" i="5"/>
  <c r="S184" i="5"/>
  <c r="S179" i="5"/>
  <c r="S130" i="5"/>
  <c r="S163" i="5"/>
  <c r="S154" i="5"/>
  <c r="S153" i="5"/>
  <c r="S145" i="5"/>
  <c r="S144" i="5"/>
  <c r="S136" i="5"/>
  <c r="S135" i="5"/>
  <c r="S131" i="5"/>
  <c r="S122" i="5"/>
  <c r="S116" i="5"/>
  <c r="S107" i="5"/>
  <c r="S103" i="5"/>
  <c r="S101" i="5"/>
  <c r="S87" i="5"/>
  <c r="S129" i="5"/>
  <c r="S96" i="5"/>
  <c r="F74" i="5"/>
  <c r="M74" i="5" s="1"/>
  <c r="G74" i="5"/>
  <c r="F75" i="5"/>
  <c r="M75" i="5" s="1"/>
  <c r="G75" i="5"/>
  <c r="F76" i="5"/>
  <c r="M76" i="5" s="1"/>
  <c r="G76" i="5"/>
  <c r="S299" i="5"/>
  <c r="S298" i="5"/>
  <c r="S292" i="5"/>
  <c r="S288" i="5"/>
  <c r="S269" i="5"/>
  <c r="S267" i="5"/>
  <c r="S315" i="5"/>
  <c r="S307" i="5"/>
  <c r="S306" i="5"/>
  <c r="S295" i="5"/>
  <c r="S294" i="5"/>
  <c r="S290" i="5"/>
  <c r="S286" i="5"/>
  <c r="S278" i="5"/>
  <c r="S275" i="5"/>
  <c r="S272" i="5"/>
  <c r="S263" i="5"/>
  <c r="S261" i="5"/>
  <c r="S254" i="5"/>
  <c r="S252" i="5"/>
  <c r="S245" i="5"/>
  <c r="S243" i="5"/>
  <c r="S234" i="5"/>
  <c r="S221" i="5"/>
  <c r="S200" i="5"/>
  <c r="S195" i="5"/>
  <c r="S191" i="5"/>
  <c r="S258" i="5"/>
  <c r="S249" i="5"/>
  <c r="S224" i="5"/>
  <c r="S215" i="5"/>
  <c r="S209" i="5"/>
  <c r="S201" i="5"/>
  <c r="S192" i="5"/>
  <c r="S189" i="5"/>
  <c r="S186" i="5"/>
  <c r="S183" i="5"/>
  <c r="S180" i="5"/>
  <c r="S175" i="5"/>
  <c r="S171" i="5"/>
  <c r="S166" i="5"/>
  <c r="S162" i="5"/>
  <c r="S157" i="5"/>
  <c r="S148" i="5"/>
  <c r="S139" i="5"/>
  <c r="S188" i="5"/>
  <c r="S185" i="5"/>
  <c r="S182" i="5"/>
  <c r="S174" i="5"/>
  <c r="S165" i="5"/>
  <c r="S156" i="5"/>
  <c r="S151" i="5"/>
  <c r="S147" i="5"/>
  <c r="S142" i="5"/>
  <c r="S138" i="5"/>
  <c r="S133" i="5"/>
  <c r="S117" i="5"/>
  <c r="S108" i="5"/>
  <c r="S99" i="5"/>
  <c r="S90" i="5"/>
  <c r="S123" i="5"/>
  <c r="S114" i="5"/>
  <c r="S80" i="5"/>
  <c r="S111" i="5"/>
  <c r="S104" i="5"/>
  <c r="S102" i="5"/>
  <c r="S95" i="5"/>
  <c r="S93" i="5"/>
  <c r="S86" i="5"/>
  <c r="S84" i="5"/>
  <c r="D72" i="17"/>
  <c r="E72" i="17"/>
  <c r="D71" i="17"/>
  <c r="E71" i="17"/>
  <c r="C8" i="19"/>
  <c r="D70" i="17"/>
  <c r="E70" i="17"/>
  <c r="D66" i="17"/>
  <c r="E66" i="17"/>
  <c r="D67" i="17"/>
  <c r="E67" i="17"/>
  <c r="D68" i="17"/>
  <c r="E68" i="17"/>
  <c r="D69" i="17"/>
  <c r="E69" i="17"/>
  <c r="R46" i="5"/>
  <c r="R50" i="5"/>
  <c r="R22" i="5"/>
  <c r="R35" i="5"/>
  <c r="R29" i="5"/>
  <c r="Q64" i="5"/>
  <c r="E63" i="5"/>
  <c r="E62" i="5"/>
  <c r="R62" i="5"/>
  <c r="E71" i="5"/>
  <c r="Q71" i="5"/>
  <c r="R71" i="5"/>
  <c r="Q67" i="5"/>
  <c r="E72" i="5"/>
  <c r="Q72" i="5"/>
  <c r="R72" i="5"/>
  <c r="E68" i="5"/>
  <c r="Q68" i="5"/>
  <c r="R68" i="5"/>
  <c r="E70" i="5"/>
  <c r="Q70" i="5"/>
  <c r="R70" i="5"/>
  <c r="R69" i="5"/>
  <c r="Q69" i="5"/>
  <c r="E69" i="5"/>
  <c r="G65" i="15"/>
  <c r="G57" i="15"/>
  <c r="G49" i="15"/>
  <c r="G41" i="15"/>
  <c r="G33" i="15"/>
  <c r="G25" i="15"/>
  <c r="G64" i="15"/>
  <c r="G56" i="15"/>
  <c r="G48" i="15"/>
  <c r="G40" i="15"/>
  <c r="G32" i="15"/>
  <c r="G24" i="15"/>
  <c r="G63" i="15"/>
  <c r="G55" i="15"/>
  <c r="G47" i="15"/>
  <c r="G39" i="15"/>
  <c r="G31" i="15"/>
  <c r="G23" i="15"/>
  <c r="G62" i="15"/>
  <c r="G54" i="15"/>
  <c r="G46" i="15"/>
  <c r="G38" i="15"/>
  <c r="G30" i="15"/>
  <c r="G22" i="15"/>
  <c r="G61" i="15"/>
  <c r="G53" i="15"/>
  <c r="G45" i="15"/>
  <c r="G37" i="15"/>
  <c r="G29" i="15"/>
  <c r="G21" i="15"/>
  <c r="G60" i="15"/>
  <c r="G52" i="15"/>
  <c r="G44" i="15"/>
  <c r="G36" i="15"/>
  <c r="G28" i="15"/>
  <c r="G59" i="15"/>
  <c r="G51" i="15"/>
  <c r="G43" i="15"/>
  <c r="G35" i="15"/>
  <c r="G27" i="15"/>
  <c r="G66" i="15"/>
  <c r="G58" i="15"/>
  <c r="G50" i="15"/>
  <c r="G42" i="15"/>
  <c r="G34" i="15"/>
  <c r="G26" i="15"/>
  <c r="E67" i="5"/>
  <c r="E64" i="5"/>
  <c r="R63" i="5"/>
  <c r="R61" i="5"/>
  <c r="R47" i="5"/>
  <c r="R65" i="5"/>
  <c r="Q63" i="5"/>
  <c r="Q61" i="5"/>
  <c r="Q65" i="5"/>
  <c r="E61" i="5"/>
  <c r="E65" i="5"/>
  <c r="E57" i="5"/>
  <c r="R67" i="5"/>
  <c r="R64" i="5"/>
  <c r="Q62" i="5"/>
  <c r="M39" i="12"/>
  <c r="D63" i="17"/>
  <c r="D64" i="17"/>
  <c r="D65" i="17"/>
  <c r="E62" i="17"/>
  <c r="E63" i="17"/>
  <c r="E64" i="17"/>
  <c r="E65" i="17"/>
  <c r="E66" i="5"/>
  <c r="Q66" i="5"/>
  <c r="R66" i="5"/>
  <c r="A1" i="17"/>
  <c r="D4" i="17"/>
  <c r="D7" i="17"/>
  <c r="D10" i="17"/>
  <c r="D13" i="17"/>
  <c r="D16" i="17"/>
  <c r="D19" i="17"/>
  <c r="D22" i="17"/>
  <c r="D25" i="17"/>
  <c r="D28" i="17"/>
  <c r="D31" i="17"/>
  <c r="D34" i="17"/>
  <c r="D37" i="17"/>
  <c r="D40" i="17"/>
  <c r="D43" i="17"/>
  <c r="D46" i="17"/>
  <c r="D49" i="17"/>
  <c r="D52" i="17"/>
  <c r="D55" i="17"/>
  <c r="D58" i="17"/>
  <c r="D61" i="17"/>
  <c r="E31" i="17"/>
  <c r="E34" i="17"/>
  <c r="E37" i="17"/>
  <c r="E40" i="17"/>
  <c r="E43" i="17"/>
  <c r="E46" i="17"/>
  <c r="E49" i="17"/>
  <c r="E52" i="17"/>
  <c r="E55" i="17"/>
  <c r="E58" i="17"/>
  <c r="E61" i="17"/>
  <c r="E5" i="17"/>
  <c r="E8" i="17"/>
  <c r="E11" i="17"/>
  <c r="E14" i="17"/>
  <c r="E17" i="17"/>
  <c r="E20" i="17"/>
  <c r="E23" i="17"/>
  <c r="E26" i="17"/>
  <c r="E2" i="17"/>
  <c r="D5" i="17"/>
  <c r="D8" i="17"/>
  <c r="D11" i="17"/>
  <c r="D14" i="17"/>
  <c r="D17" i="17"/>
  <c r="D20" i="17"/>
  <c r="D23" i="17"/>
  <c r="D26" i="17"/>
  <c r="D29" i="17"/>
  <c r="D32" i="17"/>
  <c r="D35" i="17"/>
  <c r="D38" i="17"/>
  <c r="D41" i="17"/>
  <c r="D44" i="17"/>
  <c r="D47" i="17"/>
  <c r="D50" i="17"/>
  <c r="D53" i="17"/>
  <c r="D56" i="17"/>
  <c r="D59" i="17"/>
  <c r="D62" i="17"/>
  <c r="E29" i="17"/>
  <c r="E32" i="17"/>
  <c r="E35" i="17"/>
  <c r="E38" i="17"/>
  <c r="E41" i="17"/>
  <c r="E44" i="17"/>
  <c r="E47" i="17"/>
  <c r="E50" i="17"/>
  <c r="E53" i="17"/>
  <c r="E56" i="17"/>
  <c r="E59" i="17"/>
  <c r="E3" i="17"/>
  <c r="E6" i="17"/>
  <c r="E9" i="17"/>
  <c r="E12" i="17"/>
  <c r="E15" i="17"/>
  <c r="E18" i="17"/>
  <c r="E21" i="17"/>
  <c r="E24" i="17"/>
  <c r="E27" i="17"/>
  <c r="D3" i="17"/>
  <c r="D6" i="17"/>
  <c r="D9" i="17"/>
  <c r="D12" i="17"/>
  <c r="D15" i="17"/>
  <c r="D18" i="17"/>
  <c r="D21" i="17"/>
  <c r="D24" i="17"/>
  <c r="D27" i="17"/>
  <c r="D30" i="17"/>
  <c r="D33" i="17"/>
  <c r="D36" i="17"/>
  <c r="D39" i="17"/>
  <c r="D42" i="17"/>
  <c r="D45" i="17"/>
  <c r="D48" i="17"/>
  <c r="D51" i="17"/>
  <c r="D54" i="17"/>
  <c r="D57" i="17"/>
  <c r="D60" i="17"/>
  <c r="D2" i="17"/>
  <c r="E30" i="17"/>
  <c r="E33" i="17"/>
  <c r="E36" i="17"/>
  <c r="E39" i="17"/>
  <c r="E42" i="17"/>
  <c r="E45" i="17"/>
  <c r="E48" i="17"/>
  <c r="E51" i="17"/>
  <c r="E54" i="17"/>
  <c r="E57" i="17"/>
  <c r="E60" i="17"/>
  <c r="E4" i="17"/>
  <c r="E7" i="17"/>
  <c r="E10" i="17"/>
  <c r="E13" i="17"/>
  <c r="E16" i="17"/>
  <c r="E19" i="17"/>
  <c r="E22" i="17"/>
  <c r="E25" i="17"/>
  <c r="E28" i="17"/>
  <c r="S73" i="5"/>
  <c r="M49" i="12"/>
  <c r="M30" i="12"/>
  <c r="M46" i="12"/>
  <c r="M36" i="12"/>
  <c r="M33" i="12"/>
  <c r="M37" i="12"/>
  <c r="M64" i="12"/>
  <c r="M111" i="12"/>
  <c r="M98" i="12"/>
  <c r="M113" i="12"/>
  <c r="M95" i="12"/>
  <c r="M102" i="12"/>
  <c r="M104" i="12"/>
  <c r="M110" i="12"/>
  <c r="M107" i="12"/>
  <c r="M103" i="12"/>
  <c r="M69" i="12"/>
  <c r="M109" i="12"/>
  <c r="M114" i="12"/>
  <c r="M97" i="12"/>
  <c r="M96" i="12"/>
  <c r="M115" i="12"/>
  <c r="M45" i="12"/>
  <c r="M106" i="12"/>
  <c r="M116" i="12"/>
  <c r="M47" i="12"/>
  <c r="M48" i="12"/>
  <c r="M59" i="12"/>
  <c r="M73" i="12"/>
  <c r="M118" i="12"/>
  <c r="M117" i="12"/>
  <c r="M75" i="12"/>
  <c r="M76" i="12"/>
  <c r="M50" i="12"/>
  <c r="M74" i="12"/>
  <c r="M99" i="12"/>
  <c r="M112" i="12"/>
  <c r="M108" i="12"/>
  <c r="M68" i="12"/>
  <c r="M105" i="12"/>
  <c r="M65" i="12"/>
  <c r="M72" i="12"/>
  <c r="M100" i="12"/>
  <c r="M101" i="12"/>
  <c r="M120" i="12"/>
  <c r="M121" i="12"/>
  <c r="M119" i="12"/>
  <c r="M156" i="12"/>
  <c r="M158" i="12"/>
  <c r="M157" i="12"/>
  <c r="M51" i="12"/>
  <c r="M71" i="12"/>
  <c r="M42" i="12"/>
  <c r="M58" i="12"/>
  <c r="M41" i="12"/>
  <c r="M40" i="12"/>
  <c r="M43" i="12"/>
  <c r="M44" i="12"/>
  <c r="M31" i="12"/>
  <c r="M38" i="12"/>
  <c r="M63" i="12"/>
  <c r="M55" i="12"/>
  <c r="M29" i="12"/>
  <c r="M35" i="12"/>
  <c r="F61" i="5"/>
  <c r="F62" i="5"/>
  <c r="F73" i="5"/>
  <c r="M73" i="5" s="1"/>
  <c r="F72" i="5"/>
  <c r="F69" i="5"/>
  <c r="F66" i="5"/>
  <c r="H65" i="5"/>
  <c r="O65" i="5" s="1"/>
  <c r="F63" i="5"/>
  <c r="F71" i="5"/>
  <c r="F68" i="5"/>
  <c r="H67" i="5"/>
  <c r="O67" i="5" s="1"/>
  <c r="F65" i="5"/>
  <c r="F70" i="5"/>
  <c r="F67" i="5"/>
  <c r="F64" i="5"/>
  <c r="E58" i="5"/>
  <c r="E59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S18" i="5" s="1"/>
  <c r="E17" i="5"/>
  <c r="E16" i="5"/>
  <c r="E15" i="5"/>
  <c r="E14" i="5"/>
  <c r="E13" i="5"/>
  <c r="E12" i="5"/>
  <c r="E11" i="5"/>
  <c r="E10" i="5"/>
  <c r="E9" i="5"/>
  <c r="S9" i="5" s="1"/>
  <c r="E8" i="5"/>
  <c r="E7" i="5"/>
  <c r="E6" i="5"/>
  <c r="E5" i="5"/>
  <c r="E4" i="5"/>
  <c r="B12" i="4"/>
  <c r="B13" i="4"/>
  <c r="B14" i="4"/>
  <c r="B8" i="4"/>
  <c r="B9" i="4"/>
  <c r="B10" i="4"/>
  <c r="B11" i="4"/>
  <c r="R45" i="5"/>
  <c r="R38" i="5"/>
  <c r="R4" i="5"/>
  <c r="R32" i="5"/>
  <c r="R25" i="5"/>
  <c r="R15" i="5"/>
  <c r="K6" i="6"/>
  <c r="R44" i="5"/>
  <c r="R41" i="5"/>
  <c r="R28" i="5"/>
  <c r="R20" i="5"/>
  <c r="R14" i="5"/>
  <c r="O62" i="6"/>
  <c r="O63" i="6" s="1"/>
  <c r="Q22" i="6"/>
  <c r="L30" i="6"/>
  <c r="L40" i="6"/>
  <c r="Q52" i="6"/>
  <c r="R33" i="5"/>
  <c r="R26" i="5"/>
  <c r="R23" i="5"/>
  <c r="I6" i="6"/>
  <c r="L6" i="6" s="1"/>
  <c r="F4" i="5"/>
  <c r="F5" i="5"/>
  <c r="F6" i="5"/>
  <c r="F8" i="5"/>
  <c r="H8" i="5"/>
  <c r="O8" i="5" s="1"/>
  <c r="F9" i="5"/>
  <c r="H9" i="5"/>
  <c r="O9" i="5" s="1"/>
  <c r="F10" i="5"/>
  <c r="F11" i="5"/>
  <c r="F12" i="5"/>
  <c r="F13" i="5"/>
  <c r="F14" i="5"/>
  <c r="H14" i="5"/>
  <c r="O14" i="5" s="1"/>
  <c r="F15" i="5"/>
  <c r="F16" i="5"/>
  <c r="F17" i="5"/>
  <c r="F18" i="5"/>
  <c r="F19" i="5"/>
  <c r="H19" i="5"/>
  <c r="O19" i="5" s="1"/>
  <c r="F20" i="5"/>
  <c r="F21" i="5"/>
  <c r="F22" i="5"/>
  <c r="F23" i="5"/>
  <c r="F24" i="5"/>
  <c r="F25" i="5"/>
  <c r="F26" i="5"/>
  <c r="F27" i="5"/>
  <c r="F28" i="5"/>
  <c r="F29" i="5"/>
  <c r="H29" i="5"/>
  <c r="O29" i="5" s="1"/>
  <c r="F30" i="5"/>
  <c r="F31" i="5"/>
  <c r="F32" i="5"/>
  <c r="F33" i="5"/>
  <c r="F34" i="5"/>
  <c r="F35" i="5"/>
  <c r="F36" i="5"/>
  <c r="F37" i="5"/>
  <c r="F38" i="5"/>
  <c r="F39" i="5"/>
  <c r="F40" i="5"/>
  <c r="F41" i="5"/>
  <c r="H41" i="5"/>
  <c r="O41" i="5" s="1"/>
  <c r="F42" i="5"/>
  <c r="F43" i="5"/>
  <c r="F44" i="5"/>
  <c r="F45" i="5"/>
  <c r="F46" i="5"/>
  <c r="F47" i="5"/>
  <c r="F48" i="5"/>
  <c r="F49" i="5"/>
  <c r="F50" i="5"/>
  <c r="F51" i="5"/>
  <c r="H51" i="5"/>
  <c r="O51" i="5" s="1"/>
  <c r="F52" i="5"/>
  <c r="H52" i="5"/>
  <c r="O52" i="5" s="1"/>
  <c r="F53" i="5"/>
  <c r="H53" i="5"/>
  <c r="O53" i="5" s="1"/>
  <c r="F54" i="5"/>
  <c r="H54" i="5"/>
  <c r="O54" i="5" s="1"/>
  <c r="F55" i="5"/>
  <c r="F56" i="5"/>
  <c r="F57" i="5"/>
  <c r="F58" i="5"/>
  <c r="F59" i="5"/>
  <c r="F60" i="5"/>
  <c r="M32" i="6"/>
  <c r="N32" i="6"/>
  <c r="O57" i="6"/>
  <c r="L4" i="6"/>
  <c r="Q17" i="6"/>
  <c r="P46" i="6"/>
  <c r="J46" i="6"/>
  <c r="M46" i="6" s="1"/>
  <c r="G46" i="6" a="1"/>
  <c r="G46" i="6" s="1"/>
  <c r="I8" i="6"/>
  <c r="L8" i="6" s="1"/>
  <c r="P3" i="6"/>
  <c r="J3" i="6"/>
  <c r="M3" i="6" s="1"/>
  <c r="G3" i="6" a="1"/>
  <c r="G3" i="6" s="1"/>
  <c r="I15" i="6"/>
  <c r="L15" i="6" s="1"/>
  <c r="P5" i="6"/>
  <c r="J5" i="6"/>
  <c r="M5" i="6" s="1"/>
  <c r="N5" i="6" s="1"/>
  <c r="G5" i="6" a="1"/>
  <c r="G5" i="6" s="1"/>
  <c r="P51" i="6"/>
  <c r="J51" i="6"/>
  <c r="N51" i="6" s="1"/>
  <c r="G51" i="6" a="1"/>
  <c r="G51" i="6" s="1"/>
  <c r="I51" i="6"/>
  <c r="L51" i="6" s="1"/>
  <c r="K51" i="6"/>
  <c r="P18" i="6"/>
  <c r="J18" i="6"/>
  <c r="G18" i="6" a="1"/>
  <c r="G18" i="6" s="1"/>
  <c r="I25" i="6"/>
  <c r="L25" i="6" s="1"/>
  <c r="P54" i="6"/>
  <c r="J54" i="6"/>
  <c r="M54" i="6" s="1"/>
  <c r="G54" i="6" a="1"/>
  <c r="G54" i="6" s="1"/>
  <c r="I54" i="6"/>
  <c r="K54" i="6"/>
  <c r="I16" i="6"/>
  <c r="L16" i="6" s="1"/>
  <c r="I14" i="6"/>
  <c r="L14" i="6" s="1"/>
  <c r="P4" i="6"/>
  <c r="J4" i="6"/>
  <c r="M4" i="6" s="1"/>
  <c r="G4" i="6" a="1"/>
  <c r="G4" i="6" s="1"/>
  <c r="P48" i="6"/>
  <c r="J48" i="6"/>
  <c r="N48" i="6" s="1"/>
  <c r="G48" i="6" a="1"/>
  <c r="G48" i="6" s="1"/>
  <c r="I13" i="6"/>
  <c r="L13" i="6" s="1"/>
  <c r="P16" i="6"/>
  <c r="J16" i="6"/>
  <c r="M16" i="6" s="1"/>
  <c r="G16" i="6" a="1"/>
  <c r="G16" i="6" s="1"/>
  <c r="I9" i="6"/>
  <c r="L9" i="6" s="1"/>
  <c r="P47" i="6"/>
  <c r="J47" i="6"/>
  <c r="M47" i="6" s="1"/>
  <c r="G47" i="6" a="1"/>
  <c r="G47" i="6" s="1"/>
  <c r="I48" i="6"/>
  <c r="L48" i="6" s="1"/>
  <c r="K48" i="6"/>
  <c r="P55" i="6"/>
  <c r="J55" i="6"/>
  <c r="N55" i="6" s="1"/>
  <c r="G55" i="6" a="1"/>
  <c r="G55" i="6" s="1"/>
  <c r="I55" i="6"/>
  <c r="L55" i="6" s="1"/>
  <c r="K55" i="6"/>
  <c r="I23" i="6"/>
  <c r="L23" i="6" s="1"/>
  <c r="P50" i="6"/>
  <c r="J50" i="6"/>
  <c r="N50" i="6" s="1"/>
  <c r="G50" i="6" a="1"/>
  <c r="G50" i="6" s="1"/>
  <c r="I50" i="6"/>
  <c r="L50" i="6" s="1"/>
  <c r="K50" i="6"/>
  <c r="P49" i="6"/>
  <c r="J49" i="6"/>
  <c r="N49" i="6" s="1"/>
  <c r="G49" i="6" a="1"/>
  <c r="G49" i="6" s="1"/>
  <c r="I49" i="6"/>
  <c r="L49" i="6" s="1"/>
  <c r="K49" i="6"/>
  <c r="R59" i="5"/>
  <c r="R56" i="5"/>
  <c r="R53" i="5"/>
  <c r="R17" i="5"/>
  <c r="R11" i="5"/>
  <c r="R5" i="5"/>
  <c r="K5" i="6"/>
  <c r="J8" i="6"/>
  <c r="M8" i="6" s="1"/>
  <c r="N8" i="6" s="1"/>
  <c r="P8" i="6"/>
  <c r="K9" i="6"/>
  <c r="J14" i="6"/>
  <c r="N14" i="6" s="1"/>
  <c r="P14" i="6"/>
  <c r="K15" i="6"/>
  <c r="K16" i="6"/>
  <c r="K23" i="6"/>
  <c r="R55" i="5"/>
  <c r="R52" i="5"/>
  <c r="R19" i="5"/>
  <c r="R16" i="5"/>
  <c r="R13" i="5"/>
  <c r="R7" i="5"/>
  <c r="G8" i="6" a="1"/>
  <c r="G8" i="6" s="1"/>
  <c r="K8" i="6"/>
  <c r="J13" i="6"/>
  <c r="N13" i="6" s="1"/>
  <c r="P13" i="6"/>
  <c r="G14" i="6" a="1"/>
  <c r="G14" i="6" s="1"/>
  <c r="K14" i="6"/>
  <c r="G35" i="6" a="1"/>
  <c r="G35" i="6" s="1"/>
  <c r="J35" i="6"/>
  <c r="N35" i="6" s="1"/>
  <c r="P43" i="6"/>
  <c r="J43" i="6"/>
  <c r="N43" i="6" s="1"/>
  <c r="G43" i="6" a="1"/>
  <c r="G43" i="6" s="1"/>
  <c r="I45" i="6"/>
  <c r="L45" i="6" s="1"/>
  <c r="K45" i="6"/>
  <c r="I7" i="6"/>
  <c r="L7" i="6" s="1"/>
  <c r="P45" i="6"/>
  <c r="J45" i="6"/>
  <c r="N45" i="6" s="1"/>
  <c r="G45" i="6" a="1"/>
  <c r="G45" i="6" s="1"/>
  <c r="I47" i="6"/>
  <c r="L47" i="6" s="1"/>
  <c r="K47" i="6"/>
  <c r="I20" i="6"/>
  <c r="L20" i="6" s="1"/>
  <c r="P44" i="6"/>
  <c r="J44" i="6"/>
  <c r="N44" i="6" s="1"/>
  <c r="G44" i="6" a="1"/>
  <c r="G44" i="6" s="1"/>
  <c r="I46" i="6"/>
  <c r="L46" i="6" s="1"/>
  <c r="K46" i="6"/>
  <c r="P53" i="6"/>
  <c r="J53" i="6"/>
  <c r="N53" i="6" s="1"/>
  <c r="G53" i="6" a="1"/>
  <c r="G53" i="6" s="1"/>
  <c r="I53" i="6"/>
  <c r="L53" i="6" s="1"/>
  <c r="K53" i="6"/>
  <c r="P24" i="6"/>
  <c r="J24" i="6"/>
  <c r="M24" i="6" s="1"/>
  <c r="G24" i="6" a="1"/>
  <c r="G24" i="6" s="1"/>
  <c r="I29" i="6"/>
  <c r="L29" i="6" s="1"/>
  <c r="P52" i="6"/>
  <c r="J52" i="6"/>
  <c r="M52" i="6" s="1"/>
  <c r="G52" i="6" a="1"/>
  <c r="G52" i="6" s="1"/>
  <c r="I52" i="6"/>
  <c r="L52" i="6" s="1"/>
  <c r="K52" i="6"/>
  <c r="R60" i="5"/>
  <c r="R57" i="5"/>
  <c r="R54" i="5"/>
  <c r="R51" i="5"/>
  <c r="R48" i="5"/>
  <c r="R39" i="5"/>
  <c r="R27" i="5"/>
  <c r="R21" i="5"/>
  <c r="R9" i="5"/>
  <c r="R6" i="5"/>
  <c r="I5" i="6"/>
  <c r="L5" i="6" s="1"/>
  <c r="G2" i="6" a="1"/>
  <c r="G2" i="6" s="1"/>
  <c r="G6" i="6" a="1"/>
  <c r="G6" i="6" s="1"/>
  <c r="J6" i="6"/>
  <c r="P6" i="6"/>
  <c r="K7" i="6"/>
  <c r="G10" i="6" a="1"/>
  <c r="G10" i="6" s="1"/>
  <c r="J10" i="6"/>
  <c r="N10" i="6" s="1"/>
  <c r="P10" i="6"/>
  <c r="G13" i="6" a="1"/>
  <c r="G13" i="6" s="1"/>
  <c r="K13" i="6"/>
  <c r="K25" i="6"/>
  <c r="L21" i="6"/>
  <c r="L32" i="6"/>
  <c r="L54" i="6"/>
  <c r="L36" i="6"/>
  <c r="L42" i="6"/>
  <c r="Q42" i="6"/>
  <c r="L12" i="6"/>
  <c r="L28" i="6"/>
  <c r="Q27" i="6"/>
  <c r="M42" i="6"/>
  <c r="Q48" i="6"/>
  <c r="M37" i="6"/>
  <c r="R42" i="6"/>
  <c r="Q43" i="6"/>
  <c r="L3" i="6"/>
  <c r="R37" i="6"/>
  <c r="Q45" i="6"/>
  <c r="Q9" i="6"/>
  <c r="Q3" i="6"/>
  <c r="Q18" i="6"/>
  <c r="Q23" i="6"/>
  <c r="M29" i="6"/>
  <c r="Q53" i="6"/>
  <c r="Q11" i="6"/>
  <c r="Q5" i="6"/>
  <c r="L26" i="6"/>
  <c r="Q29" i="6"/>
  <c r="Q50" i="6"/>
  <c r="Q13" i="6"/>
  <c r="R15" i="6"/>
  <c r="Q30" i="6"/>
  <c r="L43" i="6"/>
  <c r="R17" i="6"/>
  <c r="Q21" i="6"/>
  <c r="R23" i="6"/>
  <c r="Q44" i="6"/>
  <c r="Q7" i="6"/>
  <c r="Q20" i="6"/>
  <c r="R12" i="6"/>
  <c r="L41" i="6"/>
  <c r="Q8" i="6"/>
  <c r="L10" i="6"/>
  <c r="L11" i="6"/>
  <c r="Q28" i="6"/>
  <c r="Q35" i="6"/>
  <c r="L18" i="6"/>
  <c r="Q24" i="6"/>
  <c r="L34" i="6"/>
  <c r="M40" i="6"/>
  <c r="Q15" i="6"/>
  <c r="R9" i="6"/>
  <c r="Q10" i="6"/>
  <c r="Q16" i="6"/>
  <c r="R20" i="6"/>
  <c r="L39" i="6"/>
  <c r="M41" i="6"/>
  <c r="M11" i="6"/>
  <c r="Q40" i="6"/>
  <c r="P57" i="6"/>
  <c r="Q19" i="6"/>
  <c r="Q14" i="6"/>
  <c r="Q34" i="6"/>
  <c r="Q4" i="6"/>
  <c r="Q25" i="6"/>
  <c r="R25" i="6"/>
  <c r="L27" i="6"/>
  <c r="R29" i="6"/>
  <c r="R34" i="6"/>
  <c r="M39" i="6"/>
  <c r="L31" i="6"/>
  <c r="L38" i="6"/>
  <c r="Q41" i="6"/>
  <c r="Q46" i="6"/>
  <c r="M26" i="6"/>
  <c r="L17" i="6"/>
  <c r="M22" i="6"/>
  <c r="Q26" i="6"/>
  <c r="R31" i="6"/>
  <c r="Q32" i="6"/>
  <c r="R32" i="6"/>
  <c r="Q37" i="6"/>
  <c r="R38" i="6"/>
  <c r="Q39" i="6"/>
  <c r="R39" i="6"/>
  <c r="Q51" i="6"/>
  <c r="Q54" i="6"/>
  <c r="M27" i="6"/>
  <c r="M12" i="6"/>
  <c r="P62" i="6"/>
  <c r="N17" i="6"/>
  <c r="N20" i="6"/>
  <c r="M25" i="6"/>
  <c r="L35" i="6"/>
  <c r="Q55" i="6"/>
  <c r="N9" i="6"/>
  <c r="Q12" i="6"/>
  <c r="R22" i="6"/>
  <c r="L24" i="6"/>
  <c r="R27" i="6"/>
  <c r="Q31" i="6"/>
  <c r="M34" i="6"/>
  <c r="Q36" i="6"/>
  <c r="Q38" i="6"/>
  <c r="Q47" i="6"/>
  <c r="R19" i="6"/>
  <c r="Q6" i="6"/>
  <c r="R7" i="6"/>
  <c r="R28" i="6"/>
  <c r="R36" i="6"/>
  <c r="R21" i="6"/>
  <c r="M7" i="6"/>
  <c r="M15" i="6"/>
  <c r="L22" i="6"/>
  <c r="M23" i="6"/>
  <c r="M30" i="6"/>
  <c r="N31" i="6"/>
  <c r="L37" i="6"/>
  <c r="N38" i="6"/>
  <c r="L44" i="6"/>
  <c r="Q49" i="6"/>
  <c r="R11" i="6"/>
  <c r="N15" i="6"/>
  <c r="N23" i="6"/>
  <c r="N30" i="6"/>
  <c r="R41" i="6"/>
  <c r="M21" i="6"/>
  <c r="R26" i="6"/>
  <c r="M28" i="6"/>
  <c r="R33" i="6"/>
  <c r="M36" i="6"/>
  <c r="R40" i="6"/>
  <c r="H67" i="6"/>
  <c r="B7" i="4"/>
  <c r="B5" i="4"/>
  <c r="B6" i="4"/>
  <c r="B3" i="4"/>
  <c r="B4" i="4"/>
  <c r="S69" i="21" l="1"/>
  <c r="S54" i="21"/>
  <c r="S39" i="21"/>
  <c r="S77" i="21"/>
  <c r="M128" i="5"/>
  <c r="S20" i="21"/>
  <c r="S61" i="21"/>
  <c r="S8" i="21"/>
  <c r="S117" i="21"/>
  <c r="S59" i="21"/>
  <c r="S68" i="21"/>
  <c r="S71" i="21"/>
  <c r="K122" i="21"/>
  <c r="M122" i="21"/>
  <c r="K9" i="21"/>
  <c r="M9" i="21"/>
  <c r="K72" i="21"/>
  <c r="M72" i="21"/>
  <c r="K43" i="21"/>
  <c r="M43" i="21"/>
  <c r="K46" i="21"/>
  <c r="M46" i="21"/>
  <c r="K36" i="21"/>
  <c r="M36" i="21"/>
  <c r="K6" i="21"/>
  <c r="M6" i="21"/>
  <c r="S19" i="21"/>
  <c r="K63" i="21"/>
  <c r="M63" i="21"/>
  <c r="S63" i="21"/>
  <c r="K25" i="21"/>
  <c r="M25" i="21"/>
  <c r="S10" i="21"/>
  <c r="K31" i="21"/>
  <c r="M31" i="21"/>
  <c r="S31" i="21"/>
  <c r="K99" i="21"/>
  <c r="M99" i="21"/>
  <c r="S85" i="21"/>
  <c r="K127" i="21"/>
  <c r="M127" i="21"/>
  <c r="K128" i="21"/>
  <c r="M128" i="21"/>
  <c r="K133" i="21"/>
  <c r="M133" i="21"/>
  <c r="K134" i="21"/>
  <c r="M134" i="21"/>
  <c r="K142" i="21"/>
  <c r="M142" i="21"/>
  <c r="K143" i="21"/>
  <c r="M143" i="21"/>
  <c r="K151" i="21"/>
  <c r="M151" i="21"/>
  <c r="K152" i="21"/>
  <c r="M152" i="21"/>
  <c r="K169" i="21"/>
  <c r="M169" i="21"/>
  <c r="K178" i="21"/>
  <c r="M178" i="21"/>
  <c r="K188" i="21"/>
  <c r="M188" i="21"/>
  <c r="K197" i="21"/>
  <c r="M197" i="21"/>
  <c r="K202" i="21"/>
  <c r="M202" i="21"/>
  <c r="K121" i="21"/>
  <c r="M121" i="21"/>
  <c r="K113" i="21"/>
  <c r="M113" i="21"/>
  <c r="K100" i="21"/>
  <c r="M100" i="21"/>
  <c r="K96" i="21"/>
  <c r="M96" i="21"/>
  <c r="K52" i="21"/>
  <c r="M52" i="21"/>
  <c r="S52" i="21" s="1"/>
  <c r="K34" i="21"/>
  <c r="M34" i="21"/>
  <c r="S32" i="21"/>
  <c r="K30" i="21"/>
  <c r="M30" i="21"/>
  <c r="K16" i="21"/>
  <c r="M16" i="21"/>
  <c r="S82" i="21"/>
  <c r="S89" i="21"/>
  <c r="S107" i="21"/>
  <c r="S179" i="21"/>
  <c r="S198" i="21"/>
  <c r="S125" i="21"/>
  <c r="S162" i="21"/>
  <c r="S189" i="21"/>
  <c r="S111" i="21"/>
  <c r="S155" i="21"/>
  <c r="S171" i="21"/>
  <c r="S172" i="21"/>
  <c r="S178" i="21"/>
  <c r="S176" i="21"/>
  <c r="S120" i="21"/>
  <c r="S154" i="21"/>
  <c r="S87" i="21"/>
  <c r="S110" i="21"/>
  <c r="S92" i="21"/>
  <c r="S80" i="21"/>
  <c r="S75" i="21"/>
  <c r="S115" i="21"/>
  <c r="S197" i="21"/>
  <c r="S199" i="21"/>
  <c r="S121" i="5"/>
  <c r="M113" i="5"/>
  <c r="M119" i="5"/>
  <c r="M124" i="5"/>
  <c r="M112" i="5"/>
  <c r="M115" i="5"/>
  <c r="M110" i="5"/>
  <c r="N3" i="6"/>
  <c r="N47" i="6"/>
  <c r="R49" i="6"/>
  <c r="R47" i="6"/>
  <c r="R48" i="6"/>
  <c r="P63" i="6"/>
  <c r="R46" i="6"/>
  <c r="J203" i="5"/>
  <c r="R16" i="6"/>
  <c r="J173" i="5"/>
  <c r="N54" i="6"/>
  <c r="J308" i="5"/>
  <c r="L286" i="5"/>
  <c r="R54" i="6"/>
  <c r="K260" i="5"/>
  <c r="R51" i="6"/>
  <c r="R55" i="6"/>
  <c r="S151" i="21"/>
  <c r="K297" i="5"/>
  <c r="J275" i="5"/>
  <c r="J240" i="5"/>
  <c r="L157" i="5"/>
  <c r="N16" i="6"/>
  <c r="M55" i="6"/>
  <c r="I315" i="5"/>
  <c r="L294" i="5"/>
  <c r="L271" i="5"/>
  <c r="J233" i="5"/>
  <c r="J138" i="5"/>
  <c r="I4" i="5"/>
  <c r="N4" i="6"/>
  <c r="I313" i="5"/>
  <c r="J292" i="5"/>
  <c r="J268" i="5"/>
  <c r="I223" i="5"/>
  <c r="J104" i="5"/>
  <c r="L310" i="5"/>
  <c r="K289" i="5"/>
  <c r="J265" i="5"/>
  <c r="K212" i="5"/>
  <c r="K305" i="5"/>
  <c r="J284" i="5"/>
  <c r="J255" i="5"/>
  <c r="I193" i="5"/>
  <c r="R50" i="6"/>
  <c r="L302" i="5"/>
  <c r="K281" i="5"/>
  <c r="K250" i="5"/>
  <c r="K182" i="5"/>
  <c r="J300" i="5"/>
  <c r="J278" i="5"/>
  <c r="K245" i="5"/>
  <c r="K89" i="5"/>
  <c r="R1" i="4"/>
  <c r="M18" i="6"/>
  <c r="N18" i="6" s="1"/>
  <c r="L4" i="5"/>
  <c r="J316" i="5"/>
  <c r="J314" i="5"/>
  <c r="J312" i="5"/>
  <c r="L309" i="5"/>
  <c r="J307" i="5"/>
  <c r="K304" i="5"/>
  <c r="L301" i="5"/>
  <c r="J299" i="5"/>
  <c r="K296" i="5"/>
  <c r="L293" i="5"/>
  <c r="J291" i="5"/>
  <c r="K288" i="5"/>
  <c r="L285" i="5"/>
  <c r="J283" i="5"/>
  <c r="K280" i="5"/>
  <c r="I277" i="5"/>
  <c r="I274" i="5"/>
  <c r="K270" i="5"/>
  <c r="I267" i="5"/>
  <c r="K263" i="5"/>
  <c r="K258" i="5"/>
  <c r="J253" i="5"/>
  <c r="K248" i="5"/>
  <c r="K243" i="5"/>
  <c r="J238" i="5"/>
  <c r="I229" i="5"/>
  <c r="J219" i="5"/>
  <c r="L208" i="5"/>
  <c r="I199" i="5"/>
  <c r="J189" i="5"/>
  <c r="L178" i="5"/>
  <c r="L166" i="5"/>
  <c r="J152" i="5"/>
  <c r="L124" i="5"/>
  <c r="J51" i="5"/>
  <c r="M49" i="6"/>
  <c r="M48" i="6"/>
  <c r="I316" i="5"/>
  <c r="I314" i="5"/>
  <c r="I312" i="5"/>
  <c r="K309" i="5"/>
  <c r="L306" i="5"/>
  <c r="J304" i="5"/>
  <c r="K301" i="5"/>
  <c r="L298" i="5"/>
  <c r="J296" i="5"/>
  <c r="K293" i="5"/>
  <c r="L290" i="5"/>
  <c r="J288" i="5"/>
  <c r="K285" i="5"/>
  <c r="L282" i="5"/>
  <c r="J280" i="5"/>
  <c r="L276" i="5"/>
  <c r="J273" i="5"/>
  <c r="J270" i="5"/>
  <c r="L266" i="5"/>
  <c r="L262" i="5"/>
  <c r="I258" i="5"/>
  <c r="I253" i="5"/>
  <c r="L247" i="5"/>
  <c r="I243" i="5"/>
  <c r="I238" i="5"/>
  <c r="K227" i="5"/>
  <c r="J218" i="5"/>
  <c r="I208" i="5"/>
  <c r="K197" i="5"/>
  <c r="J188" i="5"/>
  <c r="I178" i="5"/>
  <c r="K164" i="5"/>
  <c r="L150" i="5"/>
  <c r="K121" i="5"/>
  <c r="R18" i="6"/>
  <c r="K4" i="5"/>
  <c r="K316" i="5"/>
  <c r="K314" i="5"/>
  <c r="K312" i="5"/>
  <c r="J310" i="5"/>
  <c r="K307" i="5"/>
  <c r="L304" i="5"/>
  <c r="J302" i="5"/>
  <c r="K299" i="5"/>
  <c r="L296" i="5"/>
  <c r="J294" i="5"/>
  <c r="K291" i="5"/>
  <c r="L288" i="5"/>
  <c r="J286" i="5"/>
  <c r="K283" i="5"/>
  <c r="L280" i="5"/>
  <c r="L277" i="5"/>
  <c r="J274" i="5"/>
  <c r="L270" i="5"/>
  <c r="L267" i="5"/>
  <c r="J264" i="5"/>
  <c r="I259" i="5"/>
  <c r="J254" i="5"/>
  <c r="J249" i="5"/>
  <c r="I244" i="5"/>
  <c r="J239" i="5"/>
  <c r="K230" i="5"/>
  <c r="I220" i="5"/>
  <c r="L210" i="5"/>
  <c r="K200" i="5"/>
  <c r="I190" i="5"/>
  <c r="L180" i="5"/>
  <c r="I169" i="5"/>
  <c r="J153" i="5"/>
  <c r="K131" i="5"/>
  <c r="I80" i="5"/>
  <c r="L315" i="5"/>
  <c r="L313" i="5"/>
  <c r="L311" i="5"/>
  <c r="J309" i="5"/>
  <c r="K306" i="5"/>
  <c r="L303" i="5"/>
  <c r="J301" i="5"/>
  <c r="K298" i="5"/>
  <c r="L295" i="5"/>
  <c r="J293" i="5"/>
  <c r="K290" i="5"/>
  <c r="L287" i="5"/>
  <c r="J285" i="5"/>
  <c r="K282" i="5"/>
  <c r="K279" i="5"/>
  <c r="K276" i="5"/>
  <c r="I273" i="5"/>
  <c r="K269" i="5"/>
  <c r="K266" i="5"/>
  <c r="J262" i="5"/>
  <c r="I257" i="5"/>
  <c r="J252" i="5"/>
  <c r="J247" i="5"/>
  <c r="I242" i="5"/>
  <c r="K236" i="5"/>
  <c r="L226" i="5"/>
  <c r="J216" i="5"/>
  <c r="K206" i="5"/>
  <c r="L196" i="5"/>
  <c r="J186" i="5"/>
  <c r="K176" i="5"/>
  <c r="K163" i="5"/>
  <c r="L147" i="5"/>
  <c r="L117" i="5"/>
  <c r="R3" i="6"/>
  <c r="H22" i="19"/>
  <c r="R5" i="6"/>
  <c r="K315" i="5"/>
  <c r="K313" i="5"/>
  <c r="K311" i="5"/>
  <c r="L308" i="5"/>
  <c r="J306" i="5"/>
  <c r="K303" i="5"/>
  <c r="L300" i="5"/>
  <c r="J298" i="5"/>
  <c r="K295" i="5"/>
  <c r="L292" i="5"/>
  <c r="J290" i="5"/>
  <c r="K287" i="5"/>
  <c r="L284" i="5"/>
  <c r="J282" i="5"/>
  <c r="J279" i="5"/>
  <c r="L275" i="5"/>
  <c r="L272" i="5"/>
  <c r="J269" i="5"/>
  <c r="L265" i="5"/>
  <c r="L261" i="5"/>
  <c r="L256" i="5"/>
  <c r="K251" i="5"/>
  <c r="L246" i="5"/>
  <c r="L241" i="5"/>
  <c r="I235" i="5"/>
  <c r="L225" i="5"/>
  <c r="K215" i="5"/>
  <c r="I205" i="5"/>
  <c r="L195" i="5"/>
  <c r="K185" i="5"/>
  <c r="I175" i="5"/>
  <c r="I162" i="5"/>
  <c r="K146" i="5"/>
  <c r="I111" i="5"/>
  <c r="M51" i="6"/>
  <c r="N46" i="6"/>
  <c r="M50" i="6"/>
  <c r="J315" i="5"/>
  <c r="J313" i="5"/>
  <c r="J311" i="5"/>
  <c r="K308" i="5"/>
  <c r="L305" i="5"/>
  <c r="J303" i="5"/>
  <c r="K300" i="5"/>
  <c r="L297" i="5"/>
  <c r="J295" i="5"/>
  <c r="K292" i="5"/>
  <c r="L289" i="5"/>
  <c r="J287" i="5"/>
  <c r="K284" i="5"/>
  <c r="L281" i="5"/>
  <c r="I279" i="5"/>
  <c r="K275" i="5"/>
  <c r="I272" i="5"/>
  <c r="I269" i="5"/>
  <c r="K265" i="5"/>
  <c r="L260" i="5"/>
  <c r="I256" i="5"/>
  <c r="I251" i="5"/>
  <c r="L245" i="5"/>
  <c r="I241" i="5"/>
  <c r="J234" i="5"/>
  <c r="L223" i="5"/>
  <c r="I214" i="5"/>
  <c r="J204" i="5"/>
  <c r="L193" i="5"/>
  <c r="I184" i="5"/>
  <c r="J174" i="5"/>
  <c r="I159" i="5"/>
  <c r="J144" i="5"/>
  <c r="I108" i="5"/>
  <c r="H25" i="19"/>
  <c r="H24" i="19"/>
  <c r="J4" i="5"/>
  <c r="L316" i="5"/>
  <c r="L314" i="5"/>
  <c r="L312" i="5"/>
  <c r="K310" i="5"/>
  <c r="L307" i="5"/>
  <c r="J305" i="5"/>
  <c r="K302" i="5"/>
  <c r="L299" i="5"/>
  <c r="J297" i="5"/>
  <c r="K294" i="5"/>
  <c r="L291" i="5"/>
  <c r="J289" i="5"/>
  <c r="K286" i="5"/>
  <c r="L283" i="5"/>
  <c r="J281" i="5"/>
  <c r="I278" i="5"/>
  <c r="K274" i="5"/>
  <c r="K271" i="5"/>
  <c r="I268" i="5"/>
  <c r="K264" i="5"/>
  <c r="L259" i="5"/>
  <c r="L254" i="5"/>
  <c r="K249" i="5"/>
  <c r="L244" i="5"/>
  <c r="L239" i="5"/>
  <c r="J231" i="5"/>
  <c r="K221" i="5"/>
  <c r="L211" i="5"/>
  <c r="J201" i="5"/>
  <c r="K191" i="5"/>
  <c r="L181" i="5"/>
  <c r="J170" i="5"/>
  <c r="K155" i="5"/>
  <c r="L136" i="5"/>
  <c r="H23" i="19"/>
  <c r="Q84" i="21"/>
  <c r="Q50" i="21"/>
  <c r="Q45" i="21"/>
  <c r="Q62" i="21"/>
  <c r="Q16" i="21"/>
  <c r="Q61" i="21"/>
  <c r="Q59" i="21"/>
  <c r="Q60" i="21"/>
  <c r="Q55" i="21"/>
  <c r="Q81" i="21"/>
  <c r="Q34" i="21"/>
  <c r="Q9" i="21"/>
  <c r="Q79" i="21"/>
  <c r="Q11" i="21"/>
  <c r="Q22" i="21"/>
  <c r="Q49" i="21"/>
  <c r="H76" i="5"/>
  <c r="O76" i="5" s="1"/>
  <c r="H75" i="5"/>
  <c r="O75" i="5" s="1"/>
  <c r="H74" i="5"/>
  <c r="O74" i="5" s="1"/>
  <c r="H7" i="5"/>
  <c r="O7" i="5" s="1"/>
  <c r="H57" i="5"/>
  <c r="O57" i="5" s="1"/>
  <c r="H73" i="5"/>
  <c r="H11" i="5"/>
  <c r="H16" i="5"/>
  <c r="H21" i="5"/>
  <c r="H26" i="5"/>
  <c r="H31" i="5"/>
  <c r="H36" i="5"/>
  <c r="H46" i="5"/>
  <c r="H56" i="5"/>
  <c r="H61" i="5"/>
  <c r="N214" i="5"/>
  <c r="P213" i="5"/>
  <c r="H212" i="5"/>
  <c r="H206" i="5"/>
  <c r="H205" i="5"/>
  <c r="N204" i="5"/>
  <c r="H202" i="5"/>
  <c r="T200" i="5"/>
  <c r="T197" i="5"/>
  <c r="T191" i="5"/>
  <c r="P185" i="5"/>
  <c r="T183" i="5"/>
  <c r="P181" i="5"/>
  <c r="T175" i="5"/>
  <c r="N167" i="5"/>
  <c r="T164" i="5"/>
  <c r="P162" i="5"/>
  <c r="P157" i="5"/>
  <c r="H209" i="5"/>
  <c r="H203" i="5"/>
  <c r="P201" i="5"/>
  <c r="P198" i="5"/>
  <c r="P195" i="5"/>
  <c r="H193" i="5"/>
  <c r="N190" i="5"/>
  <c r="P187" i="5"/>
  <c r="T182" i="5"/>
  <c r="T178" i="5"/>
  <c r="H177" i="5"/>
  <c r="H174" i="5"/>
  <c r="T173" i="5"/>
  <c r="P172" i="5"/>
  <c r="T170" i="5"/>
  <c r="H168" i="5"/>
  <c r="H165" i="5"/>
  <c r="T160" i="5"/>
  <c r="H159" i="5"/>
  <c r="T211" i="5"/>
  <c r="H208" i="5"/>
  <c r="N207" i="5"/>
  <c r="N199" i="5"/>
  <c r="H194" i="5"/>
  <c r="H192" i="5"/>
  <c r="H189" i="5"/>
  <c r="N188" i="5"/>
  <c r="H186" i="5"/>
  <c r="P184" i="5"/>
  <c r="P180" i="5"/>
  <c r="H179" i="5"/>
  <c r="T176" i="5"/>
  <c r="T169" i="5"/>
  <c r="H161" i="5"/>
  <c r="T156" i="5"/>
  <c r="T153" i="5"/>
  <c r="T148" i="5"/>
  <c r="P144" i="5"/>
  <c r="T139" i="5"/>
  <c r="T135" i="5"/>
  <c r="H126" i="5"/>
  <c r="P171" i="5"/>
  <c r="P166" i="5"/>
  <c r="P163" i="5"/>
  <c r="N158" i="5"/>
  <c r="P154" i="5"/>
  <c r="T151" i="5"/>
  <c r="P145" i="5"/>
  <c r="P142" i="5"/>
  <c r="P136" i="5"/>
  <c r="P133" i="5"/>
  <c r="N125" i="5"/>
  <c r="H152" i="5"/>
  <c r="H150" i="5"/>
  <c r="T149" i="5"/>
  <c r="T147" i="5"/>
  <c r="T146" i="5"/>
  <c r="T143" i="5"/>
  <c r="H141" i="5"/>
  <c r="T140" i="5"/>
  <c r="P138" i="5"/>
  <c r="T137" i="5"/>
  <c r="H134" i="5"/>
  <c r="H132" i="5"/>
  <c r="H128" i="5"/>
  <c r="T123" i="5"/>
  <c r="H124" i="5"/>
  <c r="T119" i="5"/>
  <c r="H118" i="5"/>
  <c r="P111" i="5"/>
  <c r="H110" i="5"/>
  <c r="T109" i="5"/>
  <c r="H103" i="5"/>
  <c r="H98" i="5"/>
  <c r="T97" i="5"/>
  <c r="T92" i="5"/>
  <c r="T90" i="5"/>
  <c r="T87" i="5"/>
  <c r="P83" i="5"/>
  <c r="T120" i="5"/>
  <c r="T117" i="5"/>
  <c r="T115" i="5"/>
  <c r="T105" i="5"/>
  <c r="P102" i="5"/>
  <c r="T100" i="5"/>
  <c r="T95" i="5"/>
  <c r="H89" i="5"/>
  <c r="T88" i="5"/>
  <c r="P86" i="5"/>
  <c r="T131" i="5"/>
  <c r="Q130" i="21"/>
  <c r="H130" i="5"/>
  <c r="T129" i="5"/>
  <c r="T127" i="5"/>
  <c r="H122" i="5"/>
  <c r="T121" i="5"/>
  <c r="T116" i="5"/>
  <c r="T114" i="5"/>
  <c r="H113" i="5"/>
  <c r="T112" i="5"/>
  <c r="H104" i="5"/>
  <c r="T101" i="5"/>
  <c r="T99" i="5"/>
  <c r="P96" i="5"/>
  <c r="T93" i="5"/>
  <c r="N91" i="5"/>
  <c r="T82" i="5"/>
  <c r="H80" i="5"/>
  <c r="O80" i="5" s="1"/>
  <c r="H79" i="5"/>
  <c r="T78" i="5"/>
  <c r="H34" i="5"/>
  <c r="H59" i="5"/>
  <c r="O59" i="5" s="1"/>
  <c r="H10" i="5"/>
  <c r="H15" i="5"/>
  <c r="O15" i="5" s="1"/>
  <c r="H20" i="5"/>
  <c r="H25" i="5"/>
  <c r="O25" i="5" s="1"/>
  <c r="H30" i="5"/>
  <c r="H35" i="5"/>
  <c r="O35" i="5" s="1"/>
  <c r="H40" i="5"/>
  <c r="H45" i="5"/>
  <c r="O45" i="5" s="1"/>
  <c r="H50" i="5"/>
  <c r="H55" i="5"/>
  <c r="O55" i="5" s="1"/>
  <c r="H60" i="5"/>
  <c r="H66" i="5"/>
  <c r="O66" i="5" s="1"/>
  <c r="H6" i="5"/>
  <c r="H18" i="5"/>
  <c r="O18" i="5" s="1"/>
  <c r="H24" i="5"/>
  <c r="H27" i="5"/>
  <c r="O27" i="5" s="1"/>
  <c r="H33" i="5"/>
  <c r="H39" i="5"/>
  <c r="O39" i="5" s="1"/>
  <c r="H48" i="5"/>
  <c r="H63" i="5"/>
  <c r="O63" i="5" s="1"/>
  <c r="H13" i="5"/>
  <c r="H22" i="5"/>
  <c r="O22" i="5" s="1"/>
  <c r="H28" i="5"/>
  <c r="H37" i="5"/>
  <c r="O37" i="5" s="1"/>
  <c r="H43" i="5"/>
  <c r="O43" i="5" s="1"/>
  <c r="H49" i="5"/>
  <c r="O49" i="5" s="1"/>
  <c r="H68" i="5"/>
  <c r="O68" i="5" s="1"/>
  <c r="H71" i="5"/>
  <c r="O71" i="5" s="1"/>
  <c r="H64" i="5"/>
  <c r="O64" i="5" s="1"/>
  <c r="H17" i="5"/>
  <c r="O17" i="5" s="1"/>
  <c r="H23" i="5"/>
  <c r="O23" i="5" s="1"/>
  <c r="H44" i="5"/>
  <c r="O44" i="5" s="1"/>
  <c r="H4" i="5"/>
  <c r="Q5" i="21" s="1"/>
  <c r="N5" i="5"/>
  <c r="H62" i="5"/>
  <c r="O62" i="5" s="1"/>
  <c r="H12" i="5"/>
  <c r="O12" i="5" s="1"/>
  <c r="H32" i="5"/>
  <c r="O32" i="5" s="1"/>
  <c r="H58" i="5"/>
  <c r="O58" i="5" s="1"/>
  <c r="T108" i="5"/>
  <c r="H107" i="5"/>
  <c r="O107" i="5" s="1"/>
  <c r="T106" i="5"/>
  <c r="M106" i="5"/>
  <c r="S180" i="21"/>
  <c r="S182" i="21"/>
  <c r="S166" i="21"/>
  <c r="S139" i="21"/>
  <c r="S164" i="21"/>
  <c r="S147" i="21"/>
  <c r="S141" i="21"/>
  <c r="S114" i="21"/>
  <c r="S129" i="21"/>
  <c r="M4" i="21"/>
  <c r="K4" i="21"/>
  <c r="S64" i="5"/>
  <c r="S106" i="5"/>
  <c r="S95" i="21"/>
  <c r="S101" i="21"/>
  <c r="S76" i="21"/>
  <c r="H5" i="5"/>
  <c r="O5" i="5" s="1"/>
  <c r="I7" i="5"/>
  <c r="L69" i="5"/>
  <c r="K97" i="5"/>
  <c r="K104" i="5"/>
  <c r="J111" i="5"/>
  <c r="I120" i="5"/>
  <c r="L126" i="5"/>
  <c r="K133" i="5"/>
  <c r="J140" i="5"/>
  <c r="J146" i="5"/>
  <c r="K148" i="5"/>
  <c r="I151" i="5"/>
  <c r="K154" i="5"/>
  <c r="K157" i="5"/>
  <c r="L159" i="5"/>
  <c r="J162" i="5"/>
  <c r="L165" i="5"/>
  <c r="L168" i="5"/>
  <c r="I171" i="5"/>
  <c r="K173" i="5"/>
  <c r="L175" i="5"/>
  <c r="L177" i="5"/>
  <c r="J179" i="5"/>
  <c r="I181" i="5"/>
  <c r="J183" i="5"/>
  <c r="J185" i="5"/>
  <c r="L186" i="5"/>
  <c r="K188" i="5"/>
  <c r="L190" i="5"/>
  <c r="L192" i="5"/>
  <c r="J194" i="5"/>
  <c r="I196" i="5"/>
  <c r="J198" i="5"/>
  <c r="J200" i="5"/>
  <c r="L201" i="5"/>
  <c r="K203" i="5"/>
  <c r="L205" i="5"/>
  <c r="L207" i="5"/>
  <c r="J209" i="5"/>
  <c r="I211" i="5"/>
  <c r="J213" i="5"/>
  <c r="J215" i="5"/>
  <c r="L216" i="5"/>
  <c r="K218" i="5"/>
  <c r="L220" i="5"/>
  <c r="L222" i="5"/>
  <c r="J224" i="5"/>
  <c r="I226" i="5"/>
  <c r="J228" i="5"/>
  <c r="J230" i="5"/>
  <c r="L231" i="5"/>
  <c r="K233" i="5"/>
  <c r="L235" i="5"/>
  <c r="L237" i="5"/>
  <c r="K238" i="5"/>
  <c r="K239" i="5"/>
  <c r="K240" i="5"/>
  <c r="K241" i="5"/>
  <c r="J242" i="5"/>
  <c r="J243" i="5"/>
  <c r="J244" i="5"/>
  <c r="J245" i="5"/>
  <c r="I246" i="5"/>
  <c r="I247" i="5"/>
  <c r="I248" i="5"/>
  <c r="I249" i="5"/>
  <c r="L249" i="5"/>
  <c r="L250" i="5"/>
  <c r="L251" i="5"/>
  <c r="L252" i="5"/>
  <c r="K253" i="5"/>
  <c r="K254" i="5"/>
  <c r="K255" i="5"/>
  <c r="K256" i="5"/>
  <c r="J257" i="5"/>
  <c r="J258" i="5"/>
  <c r="J259" i="5"/>
  <c r="J260" i="5"/>
  <c r="I261" i="5"/>
  <c r="I262" i="5"/>
  <c r="I263" i="5"/>
  <c r="I264" i="5"/>
  <c r="K29" i="5"/>
  <c r="L97" i="5"/>
  <c r="L114" i="5"/>
  <c r="J128" i="5"/>
  <c r="J143" i="5"/>
  <c r="I150" i="5"/>
  <c r="J155" i="5"/>
  <c r="J161" i="5"/>
  <c r="K166" i="5"/>
  <c r="K172" i="5"/>
  <c r="J176" i="5"/>
  <c r="J180" i="5"/>
  <c r="L183" i="5"/>
  <c r="L187" i="5"/>
  <c r="J191" i="5"/>
  <c r="J195" i="5"/>
  <c r="L198" i="5"/>
  <c r="L202" i="5"/>
  <c r="J206" i="5"/>
  <c r="J210" i="5"/>
  <c r="L213" i="5"/>
  <c r="L217" i="5"/>
  <c r="J221" i="5"/>
  <c r="J225" i="5"/>
  <c r="L228" i="5"/>
  <c r="L232" i="5"/>
  <c r="J236" i="5"/>
  <c r="I239" i="5"/>
  <c r="L240" i="5"/>
  <c r="L242" i="5"/>
  <c r="K244" i="5"/>
  <c r="K246" i="5"/>
  <c r="J248" i="5"/>
  <c r="J250" i="5"/>
  <c r="I252" i="5"/>
  <c r="I254" i="5"/>
  <c r="L255" i="5"/>
  <c r="L257" i="5"/>
  <c r="K259" i="5"/>
  <c r="K261" i="5"/>
  <c r="J263" i="5"/>
  <c r="L264" i="5"/>
  <c r="I266" i="5"/>
  <c r="J267" i="5"/>
  <c r="K268" i="5"/>
  <c r="L269" i="5"/>
  <c r="I271" i="5"/>
  <c r="J272" i="5"/>
  <c r="K273" i="5"/>
  <c r="L274" i="5"/>
  <c r="I276" i="5"/>
  <c r="J277" i="5"/>
  <c r="K278" i="5"/>
  <c r="L279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L10" i="5"/>
  <c r="I72" i="5"/>
  <c r="L18" i="5"/>
  <c r="S4" i="5"/>
  <c r="S67" i="5"/>
  <c r="I144" i="5"/>
  <c r="I138" i="5"/>
  <c r="J131" i="5"/>
  <c r="J123" i="5"/>
  <c r="K116" i="5"/>
  <c r="L109" i="5"/>
  <c r="I103" i="5"/>
  <c r="K94" i="5"/>
  <c r="K87" i="5"/>
  <c r="J77" i="5"/>
  <c r="J67" i="5"/>
  <c r="I49" i="5"/>
  <c r="J26" i="5"/>
  <c r="T194" i="5"/>
  <c r="L100" i="5"/>
  <c r="I94" i="5"/>
  <c r="L86" i="5"/>
  <c r="K76" i="5"/>
  <c r="K64" i="5"/>
  <c r="J44" i="5"/>
  <c r="I22" i="5"/>
  <c r="L141" i="5"/>
  <c r="K134" i="5"/>
  <c r="L127" i="5"/>
  <c r="I121" i="5"/>
  <c r="J114" i="5"/>
  <c r="K106" i="5"/>
  <c r="L99" i="5"/>
  <c r="I93" i="5"/>
  <c r="J85" i="5"/>
  <c r="I60" i="5"/>
  <c r="K37" i="5"/>
  <c r="I91" i="5"/>
  <c r="L81" i="5"/>
  <c r="L71" i="5"/>
  <c r="K56" i="5"/>
  <c r="J36" i="5"/>
  <c r="J9" i="5"/>
  <c r="K5" i="5"/>
  <c r="J14" i="5"/>
  <c r="J24" i="5"/>
  <c r="J32" i="5"/>
  <c r="L39" i="5"/>
  <c r="K47" i="5"/>
  <c r="L54" i="5"/>
  <c r="K62" i="5"/>
  <c r="L68" i="5"/>
  <c r="I74" i="5"/>
  <c r="L78" i="5"/>
  <c r="I84" i="5"/>
  <c r="L88" i="5"/>
  <c r="J92" i="5"/>
  <c r="K95" i="5"/>
  <c r="I99" i="5"/>
  <c r="J102" i="5"/>
  <c r="L105" i="5"/>
  <c r="I109" i="5"/>
  <c r="K112" i="5"/>
  <c r="L115" i="5"/>
  <c r="J119" i="5"/>
  <c r="K122" i="5"/>
  <c r="I126" i="5"/>
  <c r="J129" i="5"/>
  <c r="L132" i="5"/>
  <c r="I136" i="5"/>
  <c r="K139" i="5"/>
  <c r="L142" i="5"/>
  <c r="I145" i="5"/>
  <c r="J147" i="5"/>
  <c r="K149" i="5"/>
  <c r="L151" i="5"/>
  <c r="I154" i="5"/>
  <c r="J156" i="5"/>
  <c r="K158" i="5"/>
  <c r="L160" i="5"/>
  <c r="I163" i="5"/>
  <c r="J165" i="5"/>
  <c r="K167" i="5"/>
  <c r="L169" i="5"/>
  <c r="I172" i="5"/>
  <c r="I174" i="5"/>
  <c r="K175" i="5"/>
  <c r="I177" i="5"/>
  <c r="K178" i="5"/>
  <c r="I180" i="5"/>
  <c r="K181" i="5"/>
  <c r="I183" i="5"/>
  <c r="K184" i="5"/>
  <c r="I186" i="5"/>
  <c r="K187" i="5"/>
  <c r="I189" i="5"/>
  <c r="K190" i="5"/>
  <c r="I192" i="5"/>
  <c r="K193" i="5"/>
  <c r="I195" i="5"/>
  <c r="K196" i="5"/>
  <c r="I198" i="5"/>
  <c r="K199" i="5"/>
  <c r="I201" i="5"/>
  <c r="K202" i="5"/>
  <c r="I204" i="5"/>
  <c r="K205" i="5"/>
  <c r="I207" i="5"/>
  <c r="K208" i="5"/>
  <c r="I210" i="5"/>
  <c r="K211" i="5"/>
  <c r="I213" i="5"/>
  <c r="K214" i="5"/>
  <c r="I216" i="5"/>
  <c r="K217" i="5"/>
  <c r="I219" i="5"/>
  <c r="K220" i="5"/>
  <c r="I222" i="5"/>
  <c r="K223" i="5"/>
  <c r="I225" i="5"/>
  <c r="K226" i="5"/>
  <c r="I228" i="5"/>
  <c r="K229" i="5"/>
  <c r="I231" i="5"/>
  <c r="K232" i="5"/>
  <c r="I234" i="5"/>
  <c r="K235" i="5"/>
  <c r="I237" i="5"/>
  <c r="L13" i="5"/>
  <c r="L28" i="5"/>
  <c r="J41" i="5"/>
  <c r="K52" i="5"/>
  <c r="K66" i="5"/>
  <c r="I75" i="5"/>
  <c r="J82" i="5"/>
  <c r="L90" i="5"/>
  <c r="J96" i="5"/>
  <c r="J101" i="5"/>
  <c r="K107" i="5"/>
  <c r="J113" i="5"/>
  <c r="I118" i="5"/>
  <c r="K124" i="5"/>
  <c r="I130" i="5"/>
  <c r="I135" i="5"/>
  <c r="J141" i="5"/>
  <c r="K145" i="5"/>
  <c r="L148" i="5"/>
  <c r="I153" i="5"/>
  <c r="L156" i="5"/>
  <c r="I160" i="5"/>
  <c r="J164" i="5"/>
  <c r="I168" i="5"/>
  <c r="J171" i="5"/>
  <c r="L174" i="5"/>
  <c r="J177" i="5"/>
  <c r="K179" i="5"/>
  <c r="J182" i="5"/>
  <c r="L184" i="5"/>
  <c r="I187" i="5"/>
  <c r="L189" i="5"/>
  <c r="J192" i="5"/>
  <c r="K194" i="5"/>
  <c r="J197" i="5"/>
  <c r="L199" i="5"/>
  <c r="I202" i="5"/>
  <c r="L204" i="5"/>
  <c r="J207" i="5"/>
  <c r="K209" i="5"/>
  <c r="J212" i="5"/>
  <c r="L214" i="5"/>
  <c r="I217" i="5"/>
  <c r="L219" i="5"/>
  <c r="J222" i="5"/>
  <c r="K224" i="5"/>
  <c r="J227" i="5"/>
  <c r="L229" i="5"/>
  <c r="I232" i="5"/>
  <c r="L234" i="5"/>
  <c r="J237" i="5"/>
  <c r="L238" i="5"/>
  <c r="I240" i="5"/>
  <c r="J241" i="5"/>
  <c r="K242" i="5"/>
  <c r="L243" i="5"/>
  <c r="I245" i="5"/>
  <c r="J246" i="5"/>
  <c r="K247" i="5"/>
  <c r="L248" i="5"/>
  <c r="I250" i="5"/>
  <c r="J251" i="5"/>
  <c r="K252" i="5"/>
  <c r="L253" i="5"/>
  <c r="I255" i="5"/>
  <c r="J256" i="5"/>
  <c r="K257" i="5"/>
  <c r="L258" i="5"/>
  <c r="I260" i="5"/>
  <c r="J261" i="5"/>
  <c r="K262" i="5"/>
  <c r="L263" i="5"/>
  <c r="I265" i="5"/>
  <c r="J266" i="5"/>
  <c r="K267" i="5"/>
  <c r="L268" i="5"/>
  <c r="I270" i="5"/>
  <c r="J271" i="5"/>
  <c r="K272" i="5"/>
  <c r="L273" i="5"/>
  <c r="I275" i="5"/>
  <c r="J276" i="5"/>
  <c r="K277" i="5"/>
  <c r="L278" i="5"/>
  <c r="I280" i="5"/>
  <c r="I21" i="5"/>
  <c r="I34" i="5"/>
  <c r="K44" i="5"/>
  <c r="J59" i="5"/>
  <c r="J17" i="5"/>
  <c r="T295" i="5"/>
  <c r="P194" i="5"/>
  <c r="K8" i="5"/>
  <c r="K113" i="5"/>
  <c r="K115" i="5"/>
  <c r="I117" i="5"/>
  <c r="L118" i="5"/>
  <c r="J120" i="5"/>
  <c r="J122" i="5"/>
  <c r="L123" i="5"/>
  <c r="K125" i="5"/>
  <c r="I127" i="5"/>
  <c r="I129" i="5"/>
  <c r="K130" i="5"/>
  <c r="J132" i="5"/>
  <c r="L133" i="5"/>
  <c r="L135" i="5"/>
  <c r="J137" i="5"/>
  <c r="I139" i="5"/>
  <c r="K140" i="5"/>
  <c r="K142" i="5"/>
  <c r="K143" i="5"/>
  <c r="L144" i="5"/>
  <c r="L145" i="5"/>
  <c r="I147" i="5"/>
  <c r="I148" i="5"/>
  <c r="J149" i="5"/>
  <c r="J150" i="5"/>
  <c r="K151" i="5"/>
  <c r="K152" i="5"/>
  <c r="L153" i="5"/>
  <c r="L154" i="5"/>
  <c r="I156" i="5"/>
  <c r="I157" i="5"/>
  <c r="J158" i="5"/>
  <c r="J159" i="5"/>
  <c r="K160" i="5"/>
  <c r="K161" i="5"/>
  <c r="L162" i="5"/>
  <c r="L163" i="5"/>
  <c r="I165" i="5"/>
  <c r="I166" i="5"/>
  <c r="J167" i="5"/>
  <c r="J168" i="5"/>
  <c r="K169" i="5"/>
  <c r="K170" i="5"/>
  <c r="L171" i="5"/>
  <c r="L172" i="5"/>
  <c r="L173" i="5"/>
  <c r="K174" i="5"/>
  <c r="J175" i="5"/>
  <c r="I176" i="5"/>
  <c r="L176" i="5"/>
  <c r="K177" i="5"/>
  <c r="J178" i="5"/>
  <c r="I179" i="5"/>
  <c r="L179" i="5"/>
  <c r="K180" i="5"/>
  <c r="J181" i="5"/>
  <c r="I182" i="5"/>
  <c r="L182" i="5"/>
  <c r="K183" i="5"/>
  <c r="J184" i="5"/>
  <c r="I185" i="5"/>
  <c r="L185" i="5"/>
  <c r="K186" i="5"/>
  <c r="J187" i="5"/>
  <c r="I188" i="5"/>
  <c r="L188" i="5"/>
  <c r="K189" i="5"/>
  <c r="J190" i="5"/>
  <c r="I191" i="5"/>
  <c r="L191" i="5"/>
  <c r="K192" i="5"/>
  <c r="J193" i="5"/>
  <c r="I194" i="5"/>
  <c r="L194" i="5"/>
  <c r="K195" i="5"/>
  <c r="J196" i="5"/>
  <c r="I197" i="5"/>
  <c r="L197" i="5"/>
  <c r="K198" i="5"/>
  <c r="J199" i="5"/>
  <c r="I200" i="5"/>
  <c r="L200" i="5"/>
  <c r="K201" i="5"/>
  <c r="J202" i="5"/>
  <c r="I203" i="5"/>
  <c r="L203" i="5"/>
  <c r="K204" i="5"/>
  <c r="J205" i="5"/>
  <c r="I206" i="5"/>
  <c r="L206" i="5"/>
  <c r="K207" i="5"/>
  <c r="J208" i="5"/>
  <c r="I209" i="5"/>
  <c r="L209" i="5"/>
  <c r="K210" i="5"/>
  <c r="J211" i="5"/>
  <c r="I212" i="5"/>
  <c r="L212" i="5"/>
  <c r="K213" i="5"/>
  <c r="J214" i="5"/>
  <c r="I215" i="5"/>
  <c r="L215" i="5"/>
  <c r="K216" i="5"/>
  <c r="J217" i="5"/>
  <c r="I218" i="5"/>
  <c r="L218" i="5"/>
  <c r="K219" i="5"/>
  <c r="J220" i="5"/>
  <c r="I221" i="5"/>
  <c r="L221" i="5"/>
  <c r="K222" i="5"/>
  <c r="J223" i="5"/>
  <c r="I224" i="5"/>
  <c r="L224" i="5"/>
  <c r="K225" i="5"/>
  <c r="J226" i="5"/>
  <c r="I227" i="5"/>
  <c r="L227" i="5"/>
  <c r="K228" i="5"/>
  <c r="J229" i="5"/>
  <c r="I230" i="5"/>
  <c r="L230" i="5"/>
  <c r="K231" i="5"/>
  <c r="J232" i="5"/>
  <c r="I233" i="5"/>
  <c r="L233" i="5"/>
  <c r="K234" i="5"/>
  <c r="J235" i="5"/>
  <c r="I236" i="5"/>
  <c r="L236" i="5"/>
  <c r="K237" i="5"/>
  <c r="M45" i="6"/>
  <c r="I112" i="5"/>
  <c r="J110" i="5"/>
  <c r="L108" i="5"/>
  <c r="L106" i="5"/>
  <c r="J105" i="5"/>
  <c r="K103" i="5"/>
  <c r="I102" i="5"/>
  <c r="I100" i="5"/>
  <c r="K98" i="5"/>
  <c r="L96" i="5"/>
  <c r="J95" i="5"/>
  <c r="J93" i="5"/>
  <c r="L91" i="5"/>
  <c r="I90" i="5"/>
  <c r="K88" i="5"/>
  <c r="K85" i="5"/>
  <c r="J83" i="5"/>
  <c r="L80" i="5"/>
  <c r="K78" i="5"/>
  <c r="K75" i="5"/>
  <c r="J73" i="5"/>
  <c r="K70" i="5"/>
  <c r="J68" i="5"/>
  <c r="L64" i="5"/>
  <c r="K61" i="5"/>
  <c r="L57" i="5"/>
  <c r="J54" i="5"/>
  <c r="L49" i="5"/>
  <c r="K46" i="5"/>
  <c r="J42" i="5"/>
  <c r="I39" i="5"/>
  <c r="K34" i="5"/>
  <c r="I31" i="5"/>
  <c r="J27" i="5"/>
  <c r="I24" i="5"/>
  <c r="K19" i="5"/>
  <c r="I16" i="5"/>
  <c r="I12" i="5"/>
  <c r="D23" i="19"/>
  <c r="K7" i="5"/>
  <c r="K10" i="5"/>
  <c r="L12" i="5"/>
  <c r="J15" i="5"/>
  <c r="K17" i="5"/>
  <c r="K20" i="5"/>
  <c r="L22" i="5"/>
  <c r="K25" i="5"/>
  <c r="L27" i="5"/>
  <c r="L30" i="5"/>
  <c r="I33" i="5"/>
  <c r="K35" i="5"/>
  <c r="L37" i="5"/>
  <c r="L40" i="5"/>
  <c r="I43" i="5"/>
  <c r="L45" i="5"/>
  <c r="I48" i="5"/>
  <c r="I51" i="5"/>
  <c r="J53" i="5"/>
  <c r="L55" i="5"/>
  <c r="I58" i="5"/>
  <c r="I61" i="5"/>
  <c r="J63" i="5"/>
  <c r="I66" i="5"/>
  <c r="K67" i="5"/>
  <c r="K69" i="5"/>
  <c r="I71" i="5"/>
  <c r="L72" i="5"/>
  <c r="J74" i="5"/>
  <c r="J76" i="5"/>
  <c r="L77" i="5"/>
  <c r="K79" i="5"/>
  <c r="I81" i="5"/>
  <c r="I83" i="5"/>
  <c r="K84" i="5"/>
  <c r="J86" i="5"/>
  <c r="L87" i="5"/>
  <c r="J89" i="5"/>
  <c r="J90" i="5"/>
  <c r="K91" i="5"/>
  <c r="K92" i="5"/>
  <c r="L93" i="5"/>
  <c r="L94" i="5"/>
  <c r="I96" i="5"/>
  <c r="I97" i="5"/>
  <c r="J98" i="5"/>
  <c r="J99" i="5"/>
  <c r="K100" i="5"/>
  <c r="K101" i="5"/>
  <c r="L102" i="5"/>
  <c r="L103" i="5"/>
  <c r="I105" i="5"/>
  <c r="I106" i="5"/>
  <c r="J107" i="5"/>
  <c r="J108" i="5"/>
  <c r="K109" i="5"/>
  <c r="K110" i="5"/>
  <c r="L111" i="5"/>
  <c r="L112" i="5"/>
  <c r="I114" i="5"/>
  <c r="I115" i="5"/>
  <c r="J116" i="5"/>
  <c r="J117" i="5"/>
  <c r="K118" i="5"/>
  <c r="K119" i="5"/>
  <c r="L120" i="5"/>
  <c r="L121" i="5"/>
  <c r="I123" i="5"/>
  <c r="I124" i="5"/>
  <c r="J125" i="5"/>
  <c r="J126" i="5"/>
  <c r="K127" i="5"/>
  <c r="K128" i="5"/>
  <c r="L129" i="5"/>
  <c r="L130" i="5"/>
  <c r="I132" i="5"/>
  <c r="I133" i="5"/>
  <c r="J134" i="5"/>
  <c r="J135" i="5"/>
  <c r="K136" i="5"/>
  <c r="K137" i="5"/>
  <c r="L138" i="5"/>
  <c r="L139" i="5"/>
  <c r="I141" i="5"/>
  <c r="I142" i="5"/>
  <c r="K16" i="5"/>
  <c r="J18" i="5"/>
  <c r="L19" i="5"/>
  <c r="L21" i="5"/>
  <c r="J23" i="5"/>
  <c r="I25" i="5"/>
  <c r="K26" i="5"/>
  <c r="K28" i="5"/>
  <c r="I30" i="5"/>
  <c r="L31" i="5"/>
  <c r="J33" i="5"/>
  <c r="J35" i="5"/>
  <c r="L36" i="5"/>
  <c r="K38" i="5"/>
  <c r="I40" i="5"/>
  <c r="I42" i="5"/>
  <c r="K43" i="5"/>
  <c r="J45" i="5"/>
  <c r="L46" i="5"/>
  <c r="L48" i="5"/>
  <c r="J50" i="5"/>
  <c r="I52" i="5"/>
  <c r="K53" i="5"/>
  <c r="K55" i="5"/>
  <c r="I57" i="5"/>
  <c r="L58" i="5"/>
  <c r="J60" i="5"/>
  <c r="J62" i="5"/>
  <c r="L63" i="5"/>
  <c r="K65" i="5"/>
  <c r="L66" i="5"/>
  <c r="I68" i="5"/>
  <c r="I69" i="5"/>
  <c r="J70" i="5"/>
  <c r="J71" i="5"/>
  <c r="K72" i="5"/>
  <c r="K73" i="5"/>
  <c r="L74" i="5"/>
  <c r="L75" i="5"/>
  <c r="I77" i="5"/>
  <c r="I78" i="5"/>
  <c r="J79" i="5"/>
  <c r="J80" i="5"/>
  <c r="K81" i="5"/>
  <c r="K82" i="5"/>
  <c r="L83" i="5"/>
  <c r="L84" i="5"/>
  <c r="I86" i="5"/>
  <c r="I87" i="5"/>
  <c r="J88" i="5"/>
  <c r="I89" i="5"/>
  <c r="L89" i="5"/>
  <c r="K90" i="5"/>
  <c r="J91" i="5"/>
  <c r="I92" i="5"/>
  <c r="L92" i="5"/>
  <c r="K93" i="5"/>
  <c r="J94" i="5"/>
  <c r="I95" i="5"/>
  <c r="L95" i="5"/>
  <c r="K96" i="5"/>
  <c r="J97" i="5"/>
  <c r="I98" i="5"/>
  <c r="L98" i="5"/>
  <c r="K99" i="5"/>
  <c r="J100" i="5"/>
  <c r="I101" i="5"/>
  <c r="L101" i="5"/>
  <c r="K102" i="5"/>
  <c r="J103" i="5"/>
  <c r="I104" i="5"/>
  <c r="L104" i="5"/>
  <c r="K105" i="5"/>
  <c r="J106" i="5"/>
  <c r="I107" i="5"/>
  <c r="L107" i="5"/>
  <c r="K108" i="5"/>
  <c r="J109" i="5"/>
  <c r="I110" i="5"/>
  <c r="L110" i="5"/>
  <c r="K111" i="5"/>
  <c r="J112" i="5"/>
  <c r="I113" i="5"/>
  <c r="L113" i="5"/>
  <c r="K114" i="5"/>
  <c r="J115" i="5"/>
  <c r="I116" i="5"/>
  <c r="L116" i="5"/>
  <c r="K117" i="5"/>
  <c r="J118" i="5"/>
  <c r="I119" i="5"/>
  <c r="L119" i="5"/>
  <c r="K120" i="5"/>
  <c r="J121" i="5"/>
  <c r="I122" i="5"/>
  <c r="L122" i="5"/>
  <c r="K123" i="5"/>
  <c r="J124" i="5"/>
  <c r="I125" i="5"/>
  <c r="L125" i="5"/>
  <c r="K126" i="5"/>
  <c r="J127" i="5"/>
  <c r="I128" i="5"/>
  <c r="L128" i="5"/>
  <c r="K129" i="5"/>
  <c r="J130" i="5"/>
  <c r="I131" i="5"/>
  <c r="L131" i="5"/>
  <c r="K132" i="5"/>
  <c r="J133" i="5"/>
  <c r="I134" i="5"/>
  <c r="L134" i="5"/>
  <c r="K135" i="5"/>
  <c r="J136" i="5"/>
  <c r="I137" i="5"/>
  <c r="L137" i="5"/>
  <c r="K138" i="5"/>
  <c r="J139" i="5"/>
  <c r="I140" i="5"/>
  <c r="L140" i="5"/>
  <c r="K141" i="5"/>
  <c r="J142" i="5"/>
  <c r="I143" i="5"/>
  <c r="L143" i="5"/>
  <c r="K144" i="5"/>
  <c r="J145" i="5"/>
  <c r="I146" i="5"/>
  <c r="L146" i="5"/>
  <c r="K147" i="5"/>
  <c r="J148" i="5"/>
  <c r="I149" i="5"/>
  <c r="L149" i="5"/>
  <c r="K150" i="5"/>
  <c r="J151" i="5"/>
  <c r="I152" i="5"/>
  <c r="L152" i="5"/>
  <c r="K153" i="5"/>
  <c r="J154" i="5"/>
  <c r="I155" i="5"/>
  <c r="L155" i="5"/>
  <c r="K156" i="5"/>
  <c r="J157" i="5"/>
  <c r="I158" i="5"/>
  <c r="L158" i="5"/>
  <c r="K159" i="5"/>
  <c r="J160" i="5"/>
  <c r="I161" i="5"/>
  <c r="L161" i="5"/>
  <c r="K162" i="5"/>
  <c r="J163" i="5"/>
  <c r="I164" i="5"/>
  <c r="L164" i="5"/>
  <c r="K165" i="5"/>
  <c r="J166" i="5"/>
  <c r="I167" i="5"/>
  <c r="L167" i="5"/>
  <c r="K168" i="5"/>
  <c r="J169" i="5"/>
  <c r="I170" i="5"/>
  <c r="L170" i="5"/>
  <c r="K171" i="5"/>
  <c r="J172" i="5"/>
  <c r="I173" i="5"/>
  <c r="I15" i="5"/>
  <c r="I13" i="5"/>
  <c r="K11" i="5"/>
  <c r="L9" i="5"/>
  <c r="J8" i="5"/>
  <c r="I6" i="5"/>
  <c r="D25" i="19"/>
  <c r="J5" i="5"/>
  <c r="L6" i="5"/>
  <c r="L7" i="5"/>
  <c r="I9" i="5"/>
  <c r="I10" i="5"/>
  <c r="J11" i="5"/>
  <c r="J12" i="5"/>
  <c r="K13" i="5"/>
  <c r="K14" i="5"/>
  <c r="L15" i="5"/>
  <c r="L16" i="5"/>
  <c r="I18" i="5"/>
  <c r="I19" i="5"/>
  <c r="J20" i="5"/>
  <c r="J21" i="5"/>
  <c r="K22" i="5"/>
  <c r="K23" i="5"/>
  <c r="L24" i="5"/>
  <c r="L25" i="5"/>
  <c r="I27" i="5"/>
  <c r="I28" i="5"/>
  <c r="J29" i="5"/>
  <c r="J30" i="5"/>
  <c r="K31" i="5"/>
  <c r="K32" i="5"/>
  <c r="L33" i="5"/>
  <c r="L34" i="5"/>
  <c r="I36" i="5"/>
  <c r="I37" i="5"/>
  <c r="J38" i="5"/>
  <c r="J39" i="5"/>
  <c r="K40" i="5"/>
  <c r="K41" i="5"/>
  <c r="L42" i="5"/>
  <c r="L43" i="5"/>
  <c r="I45" i="5"/>
  <c r="I46" i="5"/>
  <c r="J47" i="5"/>
  <c r="J48" i="5"/>
  <c r="K49" i="5"/>
  <c r="K50" i="5"/>
  <c r="L51" i="5"/>
  <c r="L52" i="5"/>
  <c r="I54" i="5"/>
  <c r="I55" i="5"/>
  <c r="J56" i="5"/>
  <c r="J57" i="5"/>
  <c r="K58" i="5"/>
  <c r="K59" i="5"/>
  <c r="L60" i="5"/>
  <c r="L61" i="5"/>
  <c r="I63" i="5"/>
  <c r="I64" i="5"/>
  <c r="J65" i="5"/>
  <c r="J66" i="5"/>
  <c r="I67" i="5"/>
  <c r="L67" i="5"/>
  <c r="K68" i="5"/>
  <c r="J69" i="5"/>
  <c r="I70" i="5"/>
  <c r="L70" i="5"/>
  <c r="K71" i="5"/>
  <c r="J72" i="5"/>
  <c r="I73" i="5"/>
  <c r="L73" i="5"/>
  <c r="K74" i="5"/>
  <c r="J75" i="5"/>
  <c r="I76" i="5"/>
  <c r="L76" i="5"/>
  <c r="K77" i="5"/>
  <c r="J78" i="5"/>
  <c r="I79" i="5"/>
  <c r="L79" i="5"/>
  <c r="K80" i="5"/>
  <c r="J81" i="5"/>
  <c r="I82" i="5"/>
  <c r="L82" i="5"/>
  <c r="K83" i="5"/>
  <c r="J84" i="5"/>
  <c r="I85" i="5"/>
  <c r="L85" i="5"/>
  <c r="K86" i="5"/>
  <c r="J87" i="5"/>
  <c r="I88" i="5"/>
  <c r="P211" i="5"/>
  <c r="T207" i="5"/>
  <c r="N194" i="5"/>
  <c r="N219" i="5"/>
  <c r="T313" i="5"/>
  <c r="H305" i="5"/>
  <c r="O305" i="5" s="1"/>
  <c r="P313" i="5"/>
  <c r="R4" i="6"/>
  <c r="T199" i="5"/>
  <c r="J6" i="5"/>
  <c r="D22" i="19"/>
  <c r="D24" i="19"/>
  <c r="I5" i="5"/>
  <c r="L5" i="5"/>
  <c r="K6" i="5"/>
  <c r="J7" i="5"/>
  <c r="I8" i="5"/>
  <c r="L8" i="5"/>
  <c r="K9" i="5"/>
  <c r="J10" i="5"/>
  <c r="I11" i="5"/>
  <c r="L11" i="5"/>
  <c r="K12" i="5"/>
  <c r="J13" i="5"/>
  <c r="I14" i="5"/>
  <c r="L14" i="5"/>
  <c r="K15" i="5"/>
  <c r="J16" i="5"/>
  <c r="I17" i="5"/>
  <c r="L17" i="5"/>
  <c r="K18" i="5"/>
  <c r="J19" i="5"/>
  <c r="I20" i="5"/>
  <c r="L20" i="5"/>
  <c r="K21" i="5"/>
  <c r="J22" i="5"/>
  <c r="I23" i="5"/>
  <c r="L23" i="5"/>
  <c r="K24" i="5"/>
  <c r="J25" i="5"/>
  <c r="I26" i="5"/>
  <c r="L26" i="5"/>
  <c r="K27" i="5"/>
  <c r="J28" i="5"/>
  <c r="I29" i="5"/>
  <c r="L29" i="5"/>
  <c r="K30" i="5"/>
  <c r="J31" i="5"/>
  <c r="I32" i="5"/>
  <c r="L32" i="5"/>
  <c r="K33" i="5"/>
  <c r="J34" i="5"/>
  <c r="I35" i="5"/>
  <c r="L35" i="5"/>
  <c r="K36" i="5"/>
  <c r="J37" i="5"/>
  <c r="I38" i="5"/>
  <c r="L38" i="5"/>
  <c r="K39" i="5"/>
  <c r="J40" i="5"/>
  <c r="I41" i="5"/>
  <c r="L41" i="5"/>
  <c r="K42" i="5"/>
  <c r="J43" i="5"/>
  <c r="I44" i="5"/>
  <c r="L44" i="5"/>
  <c r="K45" i="5"/>
  <c r="J46" i="5"/>
  <c r="I47" i="5"/>
  <c r="L47" i="5"/>
  <c r="K48" i="5"/>
  <c r="J49" i="5"/>
  <c r="I50" i="5"/>
  <c r="L50" i="5"/>
  <c r="K51" i="5"/>
  <c r="J52" i="5"/>
  <c r="I53" i="5"/>
  <c r="L53" i="5"/>
  <c r="K54" i="5"/>
  <c r="J55" i="5"/>
  <c r="I56" i="5"/>
  <c r="L56" i="5"/>
  <c r="K57" i="5"/>
  <c r="J58" i="5"/>
  <c r="I59" i="5"/>
  <c r="L59" i="5"/>
  <c r="K60" i="5"/>
  <c r="J61" i="5"/>
  <c r="I62" i="5"/>
  <c r="L62" i="5"/>
  <c r="K63" i="5"/>
  <c r="J64" i="5"/>
  <c r="I65" i="5"/>
  <c r="L65" i="5"/>
  <c r="P305" i="5"/>
  <c r="N110" i="5"/>
  <c r="N112" i="5"/>
  <c r="T145" i="5"/>
  <c r="P92" i="5"/>
  <c r="N128" i="5"/>
  <c r="T158" i="5"/>
  <c r="T133" i="5"/>
  <c r="T138" i="5"/>
  <c r="T69" i="5"/>
  <c r="M68" i="5"/>
  <c r="M62" i="5"/>
  <c r="P128" i="5"/>
  <c r="T89" i="5"/>
  <c r="H106" i="5"/>
  <c r="P148" i="5"/>
  <c r="T86" i="5"/>
  <c r="T166" i="5"/>
  <c r="T128" i="5"/>
  <c r="T110" i="5"/>
  <c r="T81" i="5"/>
  <c r="P110" i="5"/>
  <c r="P269" i="5"/>
  <c r="P108" i="5"/>
  <c r="T144" i="5"/>
  <c r="T206" i="5"/>
  <c r="T242" i="5"/>
  <c r="N165" i="5"/>
  <c r="T248" i="5"/>
  <c r="H229" i="5"/>
  <c r="O229" i="5" s="1"/>
  <c r="P304" i="5"/>
  <c r="P240" i="5"/>
  <c r="T157" i="5"/>
  <c r="S62" i="5"/>
  <c r="T297" i="5"/>
  <c r="T281" i="5"/>
  <c r="H309" i="5"/>
  <c r="O309" i="5" s="1"/>
  <c r="H280" i="5"/>
  <c r="O280" i="5" s="1"/>
  <c r="P182" i="5"/>
  <c r="T214" i="5"/>
  <c r="P288" i="5"/>
  <c r="P281" i="5"/>
  <c r="T72" i="5"/>
  <c r="P107" i="5"/>
  <c r="P125" i="5"/>
  <c r="P248" i="5"/>
  <c r="H296" i="5"/>
  <c r="O296" i="5" s="1"/>
  <c r="N247" i="5"/>
  <c r="H293" i="5"/>
  <c r="O293" i="5" s="1"/>
  <c r="T304" i="5"/>
  <c r="H304" i="5"/>
  <c r="O304" i="5" s="1"/>
  <c r="P188" i="5"/>
  <c r="N243" i="5"/>
  <c r="T212" i="5"/>
  <c r="N231" i="5"/>
  <c r="N248" i="5"/>
  <c r="P236" i="5"/>
  <c r="T228" i="5"/>
  <c r="T241" i="5"/>
  <c r="P292" i="5"/>
  <c r="T203" i="5"/>
  <c r="T315" i="5"/>
  <c r="P141" i="5"/>
  <c r="P228" i="5"/>
  <c r="H88" i="5"/>
  <c r="N221" i="5"/>
  <c r="T102" i="5"/>
  <c r="T283" i="5"/>
  <c r="P197" i="5"/>
  <c r="N109" i="5"/>
  <c r="N122" i="5"/>
  <c r="T152" i="5"/>
  <c r="P315" i="5"/>
  <c r="P284" i="5"/>
  <c r="T213" i="5"/>
  <c r="T215" i="5"/>
  <c r="T290" i="5"/>
  <c r="P122" i="5"/>
  <c r="P203" i="5"/>
  <c r="P233" i="5"/>
  <c r="P251" i="5"/>
  <c r="N290" i="5"/>
  <c r="T83" i="5"/>
  <c r="T91" i="5"/>
  <c r="N107" i="5"/>
  <c r="P114" i="5"/>
  <c r="N82" i="5"/>
  <c r="T124" i="5"/>
  <c r="P169" i="5"/>
  <c r="N206" i="5"/>
  <c r="N233" i="5"/>
  <c r="N203" i="5"/>
  <c r="P264" i="5"/>
  <c r="T111" i="5"/>
  <c r="T216" i="5"/>
  <c r="T198" i="5"/>
  <c r="T231" i="5"/>
  <c r="T261" i="5"/>
  <c r="T268" i="5"/>
  <c r="R43" i="6"/>
  <c r="P209" i="5"/>
  <c r="P165" i="5"/>
  <c r="H308" i="5"/>
  <c r="O308" i="5" s="1"/>
  <c r="N209" i="5"/>
  <c r="N217" i="5"/>
  <c r="H238" i="5"/>
  <c r="O238" i="5" s="1"/>
  <c r="P300" i="5"/>
  <c r="T266" i="5"/>
  <c r="P280" i="5"/>
  <c r="H303" i="5"/>
  <c r="O303" i="5" s="1"/>
  <c r="P316" i="5"/>
  <c r="T142" i="5"/>
  <c r="T165" i="5"/>
  <c r="T201" i="5"/>
  <c r="T185" i="5"/>
  <c r="T249" i="5"/>
  <c r="T244" i="5"/>
  <c r="T316" i="5"/>
  <c r="M43" i="6"/>
  <c r="M35" i="6"/>
  <c r="P116" i="5"/>
  <c r="P218" i="5"/>
  <c r="P174" i="5"/>
  <c r="T107" i="5"/>
  <c r="N174" i="5"/>
  <c r="N218" i="5"/>
  <c r="T245" i="5"/>
  <c r="P206" i="5"/>
  <c r="P221" i="5"/>
  <c r="P135" i="5"/>
  <c r="P147" i="5"/>
  <c r="P217" i="5"/>
  <c r="P243" i="5"/>
  <c r="P242" i="5"/>
  <c r="P266" i="5"/>
  <c r="H284" i="5"/>
  <c r="O284" i="5" s="1"/>
  <c r="N298" i="5"/>
  <c r="N80" i="5"/>
  <c r="P80" i="5" s="1"/>
  <c r="N98" i="5"/>
  <c r="P105" i="5"/>
  <c r="N100" i="5"/>
  <c r="T122" i="5"/>
  <c r="P93" i="5"/>
  <c r="N132" i="5"/>
  <c r="T167" i="5"/>
  <c r="P178" i="5"/>
  <c r="P190" i="5"/>
  <c r="N228" i="5"/>
  <c r="T204" i="5"/>
  <c r="N242" i="5"/>
  <c r="N266" i="5"/>
  <c r="P276" i="5"/>
  <c r="P283" i="5"/>
  <c r="T265" i="5"/>
  <c r="H283" i="5"/>
  <c r="O283" i="5" s="1"/>
  <c r="P290" i="5"/>
  <c r="P306" i="5"/>
  <c r="T84" i="5"/>
  <c r="T221" i="5"/>
  <c r="T174" i="5"/>
  <c r="T188" i="5"/>
  <c r="T208" i="5"/>
  <c r="T233" i="5"/>
  <c r="T243" i="5"/>
  <c r="T284" i="5"/>
  <c r="T230" i="5"/>
  <c r="T280" i="5"/>
  <c r="T255" i="5"/>
  <c r="R14" i="6"/>
  <c r="R35" i="6"/>
  <c r="S68" i="5"/>
  <c r="P89" i="5"/>
  <c r="P104" i="5"/>
  <c r="P119" i="5"/>
  <c r="P212" i="5"/>
  <c r="H125" i="5"/>
  <c r="P156" i="5"/>
  <c r="P260" i="5"/>
  <c r="P272" i="5"/>
  <c r="P78" i="5"/>
  <c r="P117" i="5"/>
  <c r="N126" i="5"/>
  <c r="N121" i="5"/>
  <c r="P121" i="5" s="1"/>
  <c r="P139" i="5"/>
  <c r="H190" i="5"/>
  <c r="H188" i="5"/>
  <c r="P225" i="5"/>
  <c r="N212" i="5"/>
  <c r="N230" i="5"/>
  <c r="T314" i="5"/>
  <c r="N281" i="5"/>
  <c r="T77" i="5"/>
  <c r="T125" i="5"/>
  <c r="T181" i="5"/>
  <c r="T195" i="5"/>
  <c r="T205" i="5"/>
  <c r="T187" i="5"/>
  <c r="T218" i="5"/>
  <c r="T179" i="5"/>
  <c r="T252" i="5"/>
  <c r="T270" i="5"/>
  <c r="T272" i="5"/>
  <c r="N305" i="5"/>
  <c r="H310" i="5"/>
  <c r="O310" i="5" s="1"/>
  <c r="H313" i="5"/>
  <c r="O313" i="5" s="1"/>
  <c r="H176" i="5"/>
  <c r="P159" i="5"/>
  <c r="P205" i="5"/>
  <c r="P230" i="5"/>
  <c r="P245" i="5"/>
  <c r="N294" i="5"/>
  <c r="P123" i="5"/>
  <c r="N127" i="5"/>
  <c r="N245" i="5"/>
  <c r="N257" i="5"/>
  <c r="N272" i="5"/>
  <c r="P294" i="5"/>
  <c r="T126" i="5"/>
  <c r="T234" i="5"/>
  <c r="S70" i="5"/>
  <c r="P95" i="5"/>
  <c r="P126" i="5"/>
  <c r="P132" i="5"/>
  <c r="P177" i="5"/>
  <c r="P208" i="5"/>
  <c r="P231" i="5"/>
  <c r="N282" i="5"/>
  <c r="N89" i="5"/>
  <c r="T113" i="5"/>
  <c r="N104" i="5"/>
  <c r="P175" i="5"/>
  <c r="N208" i="5"/>
  <c r="N205" i="5"/>
  <c r="N240" i="5"/>
  <c r="P246" i="5"/>
  <c r="P282" i="5"/>
  <c r="P302" i="5"/>
  <c r="H257" i="5"/>
  <c r="O257" i="5" s="1"/>
  <c r="P278" i="5"/>
  <c r="T282" i="5"/>
  <c r="P295" i="5"/>
  <c r="T104" i="5"/>
  <c r="T132" i="5"/>
  <c r="T190" i="5"/>
  <c r="T240" i="5"/>
  <c r="T288" i="5"/>
  <c r="T294" i="5"/>
  <c r="N300" i="5"/>
  <c r="T300" i="5"/>
  <c r="H306" i="5"/>
  <c r="O306" i="5" s="1"/>
  <c r="T306" i="5"/>
  <c r="P113" i="5"/>
  <c r="P129" i="5"/>
  <c r="N223" i="5"/>
  <c r="P239" i="5"/>
  <c r="P257" i="5"/>
  <c r="P275" i="5"/>
  <c r="H288" i="5"/>
  <c r="O288" i="5" s="1"/>
  <c r="N312" i="5"/>
  <c r="H115" i="5"/>
  <c r="T159" i="5"/>
  <c r="T168" i="5"/>
  <c r="T177" i="5"/>
  <c r="N237" i="5"/>
  <c r="N232" i="5"/>
  <c r="P303" i="5"/>
  <c r="P312" i="5"/>
  <c r="N256" i="5"/>
  <c r="T96" i="5"/>
  <c r="T312" i="5"/>
  <c r="H260" i="5"/>
  <c r="O260" i="5" s="1"/>
  <c r="N260" i="5"/>
  <c r="N309" i="5"/>
  <c r="P309" i="5"/>
  <c r="N265" i="5"/>
  <c r="P265" i="5"/>
  <c r="H259" i="5"/>
  <c r="O259" i="5" s="1"/>
  <c r="N259" i="5"/>
  <c r="P259" i="5"/>
  <c r="N244" i="5"/>
  <c r="P244" i="5"/>
  <c r="N267" i="5"/>
  <c r="T267" i="5"/>
  <c r="P267" i="5"/>
  <c r="H213" i="5"/>
  <c r="N213" i="5"/>
  <c r="H197" i="5"/>
  <c r="N197" i="5"/>
  <c r="H164" i="5"/>
  <c r="N164" i="5"/>
  <c r="P164" i="5"/>
  <c r="N235" i="5"/>
  <c r="P235" i="5"/>
  <c r="H225" i="5"/>
  <c r="O225" i="5" s="1"/>
  <c r="N225" i="5"/>
  <c r="N216" i="5"/>
  <c r="P216" i="5"/>
  <c r="H207" i="5"/>
  <c r="P207" i="5"/>
  <c r="H180" i="5"/>
  <c r="N180" i="5"/>
  <c r="T180" i="5"/>
  <c r="H169" i="5"/>
  <c r="N169" i="5"/>
  <c r="H135" i="5"/>
  <c r="N135" i="5"/>
  <c r="H158" i="5"/>
  <c r="P158" i="5"/>
  <c r="H145" i="5"/>
  <c r="N145" i="5"/>
  <c r="H133" i="5"/>
  <c r="N133" i="5"/>
  <c r="H146" i="5"/>
  <c r="N146" i="5"/>
  <c r="P146" i="5"/>
  <c r="H138" i="5"/>
  <c r="N138" i="5"/>
  <c r="N118" i="5"/>
  <c r="P118" i="5"/>
  <c r="T118" i="5"/>
  <c r="H108" i="5"/>
  <c r="N108" i="5"/>
  <c r="N88" i="5"/>
  <c r="P88" i="5"/>
  <c r="P131" i="5"/>
  <c r="N131" i="5"/>
  <c r="N106" i="5"/>
  <c r="P106" i="5"/>
  <c r="H91" i="5"/>
  <c r="O91" i="5" s="1"/>
  <c r="P91" i="5"/>
  <c r="H82" i="5"/>
  <c r="P82" i="5"/>
  <c r="H78" i="5"/>
  <c r="O78" i="5" s="1"/>
  <c r="N78" i="5"/>
  <c r="N291" i="5"/>
  <c r="P291" i="5"/>
  <c r="T307" i="5"/>
  <c r="M64" i="5"/>
  <c r="M63" i="5"/>
  <c r="P98" i="5"/>
  <c r="P200" i="5"/>
  <c r="P150" i="5"/>
  <c r="P168" i="5"/>
  <c r="H275" i="5"/>
  <c r="O275" i="5" s="1"/>
  <c r="N302" i="5"/>
  <c r="T98" i="5"/>
  <c r="T134" i="5"/>
  <c r="T161" i="5"/>
  <c r="P151" i="5"/>
  <c r="P160" i="5"/>
  <c r="T237" i="5"/>
  <c r="H250" i="5"/>
  <c r="O250" i="5" s="1"/>
  <c r="T256" i="5"/>
  <c r="T302" i="5"/>
  <c r="T80" i="5"/>
  <c r="T227" i="5"/>
  <c r="T209" i="5"/>
  <c r="T279" i="5"/>
  <c r="T303" i="5"/>
  <c r="T286" i="5"/>
  <c r="T275" i="5"/>
  <c r="T262" i="5"/>
  <c r="N274" i="5"/>
  <c r="P274" i="5"/>
  <c r="N296" i="5"/>
  <c r="P296" i="5"/>
  <c r="H289" i="5"/>
  <c r="O289" i="5" s="1"/>
  <c r="N289" i="5"/>
  <c r="P289" i="5"/>
  <c r="N271" i="5"/>
  <c r="P271" i="5"/>
  <c r="T271" i="5"/>
  <c r="H247" i="5"/>
  <c r="O247" i="5" s="1"/>
  <c r="P247" i="5"/>
  <c r="H241" i="5"/>
  <c r="O241" i="5" s="1"/>
  <c r="P241" i="5"/>
  <c r="N314" i="5"/>
  <c r="P314" i="5"/>
  <c r="H264" i="5"/>
  <c r="O264" i="5" s="1"/>
  <c r="N264" i="5"/>
  <c r="N258" i="5"/>
  <c r="P258" i="5"/>
  <c r="N196" i="5"/>
  <c r="P196" i="5"/>
  <c r="T196" i="5"/>
  <c r="H162" i="5"/>
  <c r="N162" i="5"/>
  <c r="T162" i="5"/>
  <c r="H195" i="5"/>
  <c r="N195" i="5"/>
  <c r="H187" i="5"/>
  <c r="N187" i="5"/>
  <c r="H173" i="5"/>
  <c r="P173" i="5"/>
  <c r="N173" i="5"/>
  <c r="N179" i="5"/>
  <c r="P179" i="5"/>
  <c r="H156" i="5"/>
  <c r="N156" i="5"/>
  <c r="N152" i="5"/>
  <c r="P152" i="5"/>
  <c r="H137" i="5"/>
  <c r="N137" i="5"/>
  <c r="P137" i="5"/>
  <c r="H123" i="5"/>
  <c r="N123" i="5"/>
  <c r="H109" i="5"/>
  <c r="P109" i="5"/>
  <c r="H92" i="5"/>
  <c r="N92" i="5"/>
  <c r="H83" i="5"/>
  <c r="N83" i="5"/>
  <c r="H117" i="5"/>
  <c r="N117" i="5"/>
  <c r="H105" i="5"/>
  <c r="N105" i="5"/>
  <c r="H95" i="5"/>
  <c r="N95" i="5"/>
  <c r="N130" i="5"/>
  <c r="P130" i="5"/>
  <c r="T130" i="5"/>
  <c r="H121" i="5"/>
  <c r="H114" i="5"/>
  <c r="N114" i="5"/>
  <c r="H99" i="5"/>
  <c r="N99" i="5"/>
  <c r="P99" i="5" s="1"/>
  <c r="H298" i="5"/>
  <c r="O298" i="5" s="1"/>
  <c r="P298" i="5"/>
  <c r="T274" i="5"/>
  <c r="H315" i="5"/>
  <c r="O315" i="5" s="1"/>
  <c r="H295" i="5"/>
  <c r="O295" i="5" s="1"/>
  <c r="P153" i="5"/>
  <c r="H292" i="5"/>
  <c r="O292" i="5" s="1"/>
  <c r="H256" i="5"/>
  <c r="O256" i="5" s="1"/>
  <c r="H277" i="5"/>
  <c r="O277" i="5" s="1"/>
  <c r="N76" i="5"/>
  <c r="P76" i="5" s="1"/>
  <c r="T76" i="5"/>
  <c r="N279" i="5"/>
  <c r="P279" i="5"/>
  <c r="H273" i="5"/>
  <c r="O273" i="5" s="1"/>
  <c r="N273" i="5"/>
  <c r="P273" i="5"/>
  <c r="H252" i="5"/>
  <c r="O252" i="5" s="1"/>
  <c r="N252" i="5"/>
  <c r="P301" i="5"/>
  <c r="N301" i="5"/>
  <c r="H270" i="5"/>
  <c r="O270" i="5" s="1"/>
  <c r="N270" i="5"/>
  <c r="H246" i="5"/>
  <c r="O246" i="5" s="1"/>
  <c r="N246" i="5"/>
  <c r="H224" i="5"/>
  <c r="O224" i="5" s="1"/>
  <c r="P224" i="5"/>
  <c r="N224" i="5"/>
  <c r="H263" i="5"/>
  <c r="O263" i="5" s="1"/>
  <c r="N263" i="5"/>
  <c r="N229" i="5"/>
  <c r="P229" i="5"/>
  <c r="H278" i="5"/>
  <c r="O278" i="5" s="1"/>
  <c r="N278" i="5"/>
  <c r="H204" i="5"/>
  <c r="P204" i="5"/>
  <c r="H185" i="5"/>
  <c r="N185" i="5"/>
  <c r="H201" i="5"/>
  <c r="N201" i="5"/>
  <c r="N193" i="5"/>
  <c r="P193" i="5"/>
  <c r="H178" i="5"/>
  <c r="N178" i="5"/>
  <c r="H172" i="5"/>
  <c r="N172" i="5"/>
  <c r="H160" i="5"/>
  <c r="N160" i="5"/>
  <c r="H211" i="5"/>
  <c r="N211" i="5"/>
  <c r="P186" i="5"/>
  <c r="N186" i="5"/>
  <c r="H148" i="5"/>
  <c r="N148" i="5"/>
  <c r="H154" i="5"/>
  <c r="N154" i="5"/>
  <c r="H142" i="5"/>
  <c r="N142" i="5"/>
  <c r="N143" i="5"/>
  <c r="P143" i="5"/>
  <c r="N124" i="5"/>
  <c r="P124" i="5"/>
  <c r="N115" i="5"/>
  <c r="P115" i="5"/>
  <c r="N94" i="5"/>
  <c r="P94" i="5" s="1"/>
  <c r="T94" i="5"/>
  <c r="H86" i="5"/>
  <c r="N86" i="5"/>
  <c r="H129" i="5"/>
  <c r="N129" i="5"/>
  <c r="H96" i="5"/>
  <c r="N96" i="5"/>
  <c r="H77" i="5"/>
  <c r="N77" i="5"/>
  <c r="P77" i="5" s="1"/>
  <c r="T235" i="5"/>
  <c r="P237" i="5"/>
  <c r="N220" i="5"/>
  <c r="T141" i="5"/>
  <c r="T220" i="5"/>
  <c r="N307" i="5"/>
  <c r="P307" i="5"/>
  <c r="N238" i="5"/>
  <c r="P238" i="5"/>
  <c r="P287" i="5"/>
  <c r="N287" i="5"/>
  <c r="H249" i="5"/>
  <c r="O249" i="5" s="1"/>
  <c r="N249" i="5"/>
  <c r="H223" i="5"/>
  <c r="O223" i="5" s="1"/>
  <c r="P223" i="5"/>
  <c r="H251" i="5"/>
  <c r="O251" i="5" s="1"/>
  <c r="N251" i="5"/>
  <c r="H215" i="5"/>
  <c r="O215" i="5" s="1"/>
  <c r="N215" i="5"/>
  <c r="N210" i="5"/>
  <c r="P210" i="5"/>
  <c r="T210" i="5"/>
  <c r="N202" i="5"/>
  <c r="P202" i="5"/>
  <c r="H175" i="5"/>
  <c r="N175" i="5"/>
  <c r="N170" i="5"/>
  <c r="P170" i="5"/>
  <c r="H232" i="5"/>
  <c r="O232" i="5" s="1"/>
  <c r="P232" i="5"/>
  <c r="H210" i="5"/>
  <c r="H199" i="5"/>
  <c r="P199" i="5"/>
  <c r="P192" i="5"/>
  <c r="T192" i="5"/>
  <c r="N192" i="5"/>
  <c r="H184" i="5"/>
  <c r="N184" i="5"/>
  <c r="H139" i="5"/>
  <c r="N139" i="5"/>
  <c r="H166" i="5"/>
  <c r="N166" i="5"/>
  <c r="N134" i="5"/>
  <c r="P134" i="5"/>
  <c r="N97" i="5"/>
  <c r="P97" i="5"/>
  <c r="H90" i="5"/>
  <c r="N90" i="5"/>
  <c r="P90" i="5" s="1"/>
  <c r="H102" i="5"/>
  <c r="N102" i="5"/>
  <c r="N85" i="5"/>
  <c r="P85" i="5" s="1"/>
  <c r="T85" i="5"/>
  <c r="H127" i="5"/>
  <c r="P127" i="5"/>
  <c r="H112" i="5"/>
  <c r="P112" i="5"/>
  <c r="T301" i="5"/>
  <c r="T258" i="5"/>
  <c r="N277" i="5"/>
  <c r="P277" i="5"/>
  <c r="H234" i="5"/>
  <c r="O234" i="5" s="1"/>
  <c r="N234" i="5"/>
  <c r="N311" i="5"/>
  <c r="P311" i="5"/>
  <c r="N299" i="5"/>
  <c r="T299" i="5"/>
  <c r="P299" i="5"/>
  <c r="P293" i="5"/>
  <c r="N293" i="5"/>
  <c r="N268" i="5"/>
  <c r="P268" i="5"/>
  <c r="N253" i="5"/>
  <c r="P253" i="5"/>
  <c r="T253" i="5"/>
  <c r="H261" i="5"/>
  <c r="O261" i="5" s="1"/>
  <c r="N261" i="5"/>
  <c r="N222" i="5"/>
  <c r="P222" i="5"/>
  <c r="N262" i="5"/>
  <c r="P262" i="5"/>
  <c r="N250" i="5"/>
  <c r="P250" i="5"/>
  <c r="H200" i="5"/>
  <c r="N200" i="5"/>
  <c r="H191" i="5"/>
  <c r="N191" i="5"/>
  <c r="N183" i="5"/>
  <c r="P183" i="5"/>
  <c r="H157" i="5"/>
  <c r="N157" i="5"/>
  <c r="H198" i="5"/>
  <c r="N198" i="5"/>
  <c r="H155" i="5"/>
  <c r="N155" i="5"/>
  <c r="P155" i="5"/>
  <c r="H227" i="5"/>
  <c r="O227" i="5" s="1"/>
  <c r="N227" i="5"/>
  <c r="H183" i="5"/>
  <c r="P176" i="5"/>
  <c r="N176" i="5"/>
  <c r="N161" i="5"/>
  <c r="P161" i="5"/>
  <c r="H153" i="5"/>
  <c r="N153" i="5"/>
  <c r="H163" i="5"/>
  <c r="N163" i="5"/>
  <c r="H151" i="5"/>
  <c r="N151" i="5"/>
  <c r="H136" i="5"/>
  <c r="N136" i="5"/>
  <c r="H149" i="5"/>
  <c r="N149" i="5"/>
  <c r="P149" i="5"/>
  <c r="H87" i="5"/>
  <c r="N87" i="5"/>
  <c r="P87" i="5" s="1"/>
  <c r="H120" i="5"/>
  <c r="N120" i="5"/>
  <c r="P120" i="5" s="1"/>
  <c r="H100" i="5"/>
  <c r="P100" i="5"/>
  <c r="N79" i="5"/>
  <c r="P79" i="5"/>
  <c r="T79" i="5"/>
  <c r="M71" i="5"/>
  <c r="S63" i="5"/>
  <c r="P220" i="5"/>
  <c r="P254" i="5"/>
  <c r="N286" i="5"/>
  <c r="N316" i="5"/>
  <c r="H97" i="5"/>
  <c r="N113" i="5"/>
  <c r="N141" i="5"/>
  <c r="N150" i="5"/>
  <c r="N159" i="5"/>
  <c r="N168" i="5"/>
  <c r="N177" i="5"/>
  <c r="H143" i="5"/>
  <c r="H170" i="5"/>
  <c r="P191" i="5"/>
  <c r="N254" i="5"/>
  <c r="T202" i="5"/>
  <c r="N239" i="5"/>
  <c r="T292" i="5"/>
  <c r="H311" i="5"/>
  <c r="O311" i="5" s="1"/>
  <c r="P286" i="5"/>
  <c r="T150" i="5"/>
  <c r="T155" i="5"/>
  <c r="T172" i="5"/>
  <c r="T136" i="5"/>
  <c r="T154" i="5"/>
  <c r="T163" i="5"/>
  <c r="T184" i="5"/>
  <c r="T193" i="5"/>
  <c r="T222" i="5"/>
  <c r="T239" i="5"/>
  <c r="T186" i="5"/>
  <c r="T263" i="5"/>
  <c r="T217" i="5"/>
  <c r="T254" i="5"/>
  <c r="T287" i="5"/>
  <c r="N297" i="5"/>
  <c r="P297" i="5"/>
  <c r="H276" i="5"/>
  <c r="O276" i="5" s="1"/>
  <c r="N276" i="5"/>
  <c r="H269" i="5"/>
  <c r="O269" i="5" s="1"/>
  <c r="N269" i="5"/>
  <c r="H255" i="5"/>
  <c r="O255" i="5" s="1"/>
  <c r="N255" i="5"/>
  <c r="H285" i="5"/>
  <c r="O285" i="5" s="1"/>
  <c r="N285" i="5"/>
  <c r="P285" i="5"/>
  <c r="N310" i="5"/>
  <c r="P310" i="5"/>
  <c r="N226" i="5"/>
  <c r="T226" i="5"/>
  <c r="P226" i="5"/>
  <c r="H214" i="5"/>
  <c r="P214" i="5"/>
  <c r="H181" i="5"/>
  <c r="N181" i="5"/>
  <c r="H167" i="5"/>
  <c r="P167" i="5"/>
  <c r="H182" i="5"/>
  <c r="N182" i="5"/>
  <c r="H236" i="5"/>
  <c r="O236" i="5" s="1"/>
  <c r="N236" i="5"/>
  <c r="H226" i="5"/>
  <c r="O226" i="5" s="1"/>
  <c r="H219" i="5"/>
  <c r="O219" i="5" s="1"/>
  <c r="P219" i="5"/>
  <c r="H196" i="5"/>
  <c r="P189" i="5"/>
  <c r="T189" i="5"/>
  <c r="N189" i="5"/>
  <c r="H144" i="5"/>
  <c r="N144" i="5"/>
  <c r="H171" i="5"/>
  <c r="N171" i="5"/>
  <c r="T171" i="5"/>
  <c r="H147" i="5"/>
  <c r="N147" i="5"/>
  <c r="H140" i="5"/>
  <c r="N140" i="5"/>
  <c r="P140" i="5"/>
  <c r="H119" i="5"/>
  <c r="N119" i="5"/>
  <c r="H111" i="5"/>
  <c r="N111" i="5"/>
  <c r="N103" i="5"/>
  <c r="P103" i="5"/>
  <c r="T103" i="5"/>
  <c r="H94" i="5"/>
  <c r="H85" i="5"/>
  <c r="H81" i="5"/>
  <c r="N81" i="5"/>
  <c r="P81" i="5" s="1"/>
  <c r="H116" i="5"/>
  <c r="N116" i="5"/>
  <c r="H101" i="5"/>
  <c r="N101" i="5"/>
  <c r="P101" i="5" s="1"/>
  <c r="H93" i="5"/>
  <c r="N93" i="5"/>
  <c r="H84" i="5"/>
  <c r="N84" i="5"/>
  <c r="P84" i="5" s="1"/>
  <c r="N308" i="5"/>
  <c r="P308" i="5"/>
  <c r="H299" i="5"/>
  <c r="O299" i="5" s="1"/>
  <c r="T291" i="5"/>
  <c r="N75" i="5"/>
  <c r="P75" i="5"/>
  <c r="T75" i="5"/>
  <c r="N74" i="5"/>
  <c r="P74" i="5"/>
  <c r="T74" i="5"/>
  <c r="M9" i="5"/>
  <c r="C9" i="19"/>
  <c r="M65" i="5"/>
  <c r="S69" i="5"/>
  <c r="S71" i="5"/>
  <c r="M66" i="5"/>
  <c r="M67" i="5"/>
  <c r="M69" i="5"/>
  <c r="M70" i="5"/>
  <c r="M72" i="5"/>
  <c r="M61" i="5"/>
  <c r="S66" i="5"/>
  <c r="S65" i="5"/>
  <c r="S72" i="5"/>
  <c r="S61" i="5"/>
  <c r="M53" i="6"/>
  <c r="M44" i="6"/>
  <c r="R8" i="6"/>
  <c r="H69" i="5"/>
  <c r="H72" i="5"/>
  <c r="N62" i="5"/>
  <c r="P62" i="5"/>
  <c r="T62" i="5"/>
  <c r="N61" i="5"/>
  <c r="P61" i="5" s="1"/>
  <c r="T61" i="5"/>
  <c r="T64" i="5"/>
  <c r="N64" i="5"/>
  <c r="P64" i="5" s="1"/>
  <c r="T67" i="5"/>
  <c r="N67" i="5"/>
  <c r="P67" i="5" s="1"/>
  <c r="T70" i="5"/>
  <c r="N70" i="5"/>
  <c r="P70" i="5"/>
  <c r="N73" i="5"/>
  <c r="P73" i="5"/>
  <c r="T73" i="5"/>
  <c r="T65" i="5"/>
  <c r="N65" i="5"/>
  <c r="P65" i="5" s="1"/>
  <c r="P68" i="5"/>
  <c r="T68" i="5"/>
  <c r="N68" i="5"/>
  <c r="P71" i="5"/>
  <c r="T71" i="5"/>
  <c r="N71" i="5"/>
  <c r="N63" i="5"/>
  <c r="P63" i="5" s="1"/>
  <c r="N66" i="5"/>
  <c r="P66" i="5"/>
  <c r="T66" i="5"/>
  <c r="N69" i="5"/>
  <c r="P69" i="5"/>
  <c r="N72" i="5"/>
  <c r="P72" i="5"/>
  <c r="T63" i="5"/>
  <c r="T10" i="5"/>
  <c r="T42" i="5"/>
  <c r="T14" i="5"/>
  <c r="T26" i="5"/>
  <c r="N52" i="6"/>
  <c r="T31" i="5"/>
  <c r="T22" i="5"/>
  <c r="T30" i="5"/>
  <c r="T58" i="5"/>
  <c r="P42" i="5"/>
  <c r="T4" i="5"/>
  <c r="T47" i="5"/>
  <c r="T18" i="5"/>
  <c r="T38" i="5"/>
  <c r="T55" i="5"/>
  <c r="P30" i="5"/>
  <c r="T5" i="5"/>
  <c r="T32" i="5"/>
  <c r="T16" i="5"/>
  <c r="T20" i="5"/>
  <c r="T28" i="5"/>
  <c r="T44" i="5"/>
  <c r="T19" i="5"/>
  <c r="T8" i="5"/>
  <c r="T29" i="5"/>
  <c r="P31" i="5"/>
  <c r="T7" i="5"/>
  <c r="T23" i="5"/>
  <c r="T15" i="5"/>
  <c r="T12" i="5"/>
  <c r="T35" i="5"/>
  <c r="T11" i="5"/>
  <c r="T24" i="5"/>
  <c r="P8" i="5"/>
  <c r="T59" i="5"/>
  <c r="T33" i="5"/>
  <c r="T25" i="5"/>
  <c r="P51" i="5"/>
  <c r="T9" i="5"/>
  <c r="P21" i="5"/>
  <c r="T45" i="5"/>
  <c r="T41" i="5"/>
  <c r="T49" i="5"/>
  <c r="T17" i="5"/>
  <c r="T53" i="5"/>
  <c r="T52" i="5"/>
  <c r="R6" i="6"/>
  <c r="R44" i="6"/>
  <c r="P44" i="5"/>
  <c r="T36" i="5"/>
  <c r="T40" i="5"/>
  <c r="T48" i="5"/>
  <c r="P32" i="5"/>
  <c r="T54" i="5"/>
  <c r="P56" i="5"/>
  <c r="T56" i="5"/>
  <c r="T13" i="5"/>
  <c r="P41" i="5"/>
  <c r="T37" i="5"/>
  <c r="T39" i="5"/>
  <c r="P53" i="5"/>
  <c r="T46" i="5"/>
  <c r="T34" i="5"/>
  <c r="T43" i="5"/>
  <c r="T50" i="5"/>
  <c r="P34" i="5"/>
  <c r="P39" i="5"/>
  <c r="P26" i="5"/>
  <c r="R45" i="6"/>
  <c r="M14" i="6"/>
  <c r="R10" i="6"/>
  <c r="M13" i="6"/>
  <c r="R13" i="6"/>
  <c r="M10" i="6"/>
  <c r="T21" i="5"/>
  <c r="T60" i="5"/>
  <c r="R24" i="6"/>
  <c r="O64" i="6"/>
  <c r="O65" i="6" s="1"/>
  <c r="T6" i="5"/>
  <c r="M6" i="6"/>
  <c r="N6" i="6" s="1"/>
  <c r="Q62" i="6"/>
  <c r="T27" i="5"/>
  <c r="T51" i="5"/>
  <c r="T57" i="5"/>
  <c r="R52" i="6"/>
  <c r="N9" i="5"/>
  <c r="P9" i="5" s="1"/>
  <c r="N24" i="6"/>
  <c r="R53" i="6"/>
  <c r="O59" i="6"/>
  <c r="O60" i="6" s="1"/>
  <c r="R2" i="6"/>
  <c r="J67" i="6"/>
  <c r="J68" i="6"/>
  <c r="J69" i="6" s="1"/>
  <c r="Q2" i="6"/>
  <c r="Q57" i="6"/>
  <c r="S38" i="5"/>
  <c r="S30" i="5"/>
  <c r="S49" i="5"/>
  <c r="S59" i="5"/>
  <c r="S10" i="5"/>
  <c r="S46" i="5"/>
  <c r="S7" i="5"/>
  <c r="S25" i="5"/>
  <c r="S42" i="5"/>
  <c r="S57" i="5"/>
  <c r="S23" i="5"/>
  <c r="S53" i="5"/>
  <c r="S6" i="5"/>
  <c r="S22" i="5"/>
  <c r="S26" i="5"/>
  <c r="S32" i="5"/>
  <c r="S52" i="5"/>
  <c r="S50" i="5"/>
  <c r="S60" i="5"/>
  <c r="S24" i="5"/>
  <c r="S45" i="5"/>
  <c r="S47" i="5"/>
  <c r="S21" i="5"/>
  <c r="S27" i="5"/>
  <c r="S55" i="5"/>
  <c r="S14" i="5"/>
  <c r="S11" i="5"/>
  <c r="S36" i="5"/>
  <c r="S58" i="5"/>
  <c r="S51" i="5"/>
  <c r="S37" i="5"/>
  <c r="S8" i="5"/>
  <c r="S39" i="5"/>
  <c r="S12" i="5"/>
  <c r="S35" i="5"/>
  <c r="S5" i="5"/>
  <c r="S44" i="5"/>
  <c r="S40" i="5"/>
  <c r="S48" i="5"/>
  <c r="S33" i="5"/>
  <c r="S29" i="5"/>
  <c r="S31" i="5"/>
  <c r="S56" i="5"/>
  <c r="S54" i="5"/>
  <c r="S13" i="5"/>
  <c r="S28" i="5"/>
  <c r="S43" i="5"/>
  <c r="S20" i="5"/>
  <c r="S19" i="5"/>
  <c r="S17" i="5"/>
  <c r="S34" i="5"/>
  <c r="S41" i="5"/>
  <c r="S16" i="5"/>
  <c r="S15" i="5"/>
  <c r="M38" i="5"/>
  <c r="M47" i="5"/>
  <c r="M32" i="5"/>
  <c r="M48" i="5"/>
  <c r="M33" i="5"/>
  <c r="M49" i="5"/>
  <c r="M34" i="5"/>
  <c r="M52" i="5"/>
  <c r="M23" i="5"/>
  <c r="M29" i="5"/>
  <c r="M59" i="5"/>
  <c r="M37" i="5"/>
  <c r="M44" i="5"/>
  <c r="M11" i="5"/>
  <c r="M21" i="5"/>
  <c r="M58" i="5"/>
  <c r="M20" i="5"/>
  <c r="M53" i="5"/>
  <c r="M7" i="5"/>
  <c r="M51" i="5"/>
  <c r="M4" i="5"/>
  <c r="M27" i="5"/>
  <c r="M54" i="5"/>
  <c r="M18" i="5"/>
  <c r="M28" i="5"/>
  <c r="M57" i="5"/>
  <c r="M10" i="5"/>
  <c r="M30" i="5"/>
  <c r="M55" i="5"/>
  <c r="M14" i="5"/>
  <c r="M43" i="5"/>
  <c r="M36" i="5"/>
  <c r="M50" i="5"/>
  <c r="M6" i="5"/>
  <c r="M45" i="5"/>
  <c r="M5" i="5"/>
  <c r="M15" i="5"/>
  <c r="M60" i="5"/>
  <c r="M19" i="5"/>
  <c r="M22" i="5"/>
  <c r="M25" i="5"/>
  <c r="M39" i="5"/>
  <c r="M12" i="5"/>
  <c r="M41" i="5"/>
  <c r="M13" i="5"/>
  <c r="M42" i="5"/>
  <c r="M35" i="5"/>
  <c r="M16" i="5"/>
  <c r="M24" i="5"/>
  <c r="M40" i="5"/>
  <c r="M56" i="5"/>
  <c r="M26" i="5"/>
  <c r="M8" i="5"/>
  <c r="M31" i="5"/>
  <c r="M46" i="5"/>
  <c r="M17" i="5"/>
  <c r="N60" i="5"/>
  <c r="P60" i="5" s="1"/>
  <c r="N48" i="5"/>
  <c r="P48" i="5" s="1"/>
  <c r="N41" i="5"/>
  <c r="N42" i="5"/>
  <c r="N29" i="5"/>
  <c r="P29" i="5" s="1"/>
  <c r="N44" i="5"/>
  <c r="N26" i="5"/>
  <c r="N53" i="5"/>
  <c r="N38" i="5"/>
  <c r="P38" i="5" s="1"/>
  <c r="N54" i="5"/>
  <c r="P54" i="5" s="1"/>
  <c r="N49" i="5"/>
  <c r="P49" i="5" s="1"/>
  <c r="N52" i="5"/>
  <c r="P52" i="5" s="1"/>
  <c r="N43" i="5"/>
  <c r="P43" i="5" s="1"/>
  <c r="N50" i="5"/>
  <c r="P50" i="5" s="1"/>
  <c r="N21" i="5"/>
  <c r="N31" i="5"/>
  <c r="N7" i="5"/>
  <c r="P7" i="5" s="1"/>
  <c r="N57" i="5"/>
  <c r="P57" i="5" s="1"/>
  <c r="N55" i="5"/>
  <c r="P55" i="5" s="1"/>
  <c r="N16" i="5"/>
  <c r="P16" i="5" s="1"/>
  <c r="N56" i="5"/>
  <c r="N45" i="5"/>
  <c r="P45" i="5" s="1"/>
  <c r="N19" i="5"/>
  <c r="P19" i="5" s="1"/>
  <c r="N20" i="5"/>
  <c r="P20" i="5" s="1"/>
  <c r="N22" i="5"/>
  <c r="P22" i="5" s="1"/>
  <c r="N59" i="5"/>
  <c r="P59" i="5" s="1"/>
  <c r="N8" i="5"/>
  <c r="N15" i="5"/>
  <c r="P15" i="5" s="1"/>
  <c r="N47" i="5"/>
  <c r="P47" i="5" s="1"/>
  <c r="N25" i="5"/>
  <c r="P25" i="5" s="1"/>
  <c r="N18" i="5"/>
  <c r="P18" i="5" s="1"/>
  <c r="N10" i="5"/>
  <c r="P10" i="5" s="1"/>
  <c r="N24" i="5"/>
  <c r="P24" i="5" s="1"/>
  <c r="N58" i="5"/>
  <c r="P58" i="5" s="1"/>
  <c r="N46" i="5"/>
  <c r="P46" i="5" s="1"/>
  <c r="N51" i="5"/>
  <c r="N32" i="5"/>
  <c r="N12" i="5"/>
  <c r="P12" i="5" s="1"/>
  <c r="N13" i="5"/>
  <c r="P13" i="5" s="1"/>
  <c r="N23" i="5"/>
  <c r="P23" i="5" s="1"/>
  <c r="N37" i="5"/>
  <c r="P37" i="5" s="1"/>
  <c r="N27" i="5"/>
  <c r="P27" i="5" s="1"/>
  <c r="N33" i="5"/>
  <c r="P33" i="5" s="1"/>
  <c r="N34" i="5"/>
  <c r="N14" i="5"/>
  <c r="P14" i="5" s="1"/>
  <c r="N36" i="5"/>
  <c r="P36" i="5" s="1"/>
  <c r="N11" i="5"/>
  <c r="P11" i="5" s="1"/>
  <c r="N39" i="5"/>
  <c r="N28" i="5"/>
  <c r="P28" i="5" s="1"/>
  <c r="N30" i="5"/>
  <c r="N35" i="5"/>
  <c r="P35" i="5" s="1"/>
  <c r="N40" i="5"/>
  <c r="P40" i="5" s="1"/>
  <c r="N6" i="5"/>
  <c r="P6" i="5" s="1"/>
  <c r="N17" i="5"/>
  <c r="P17" i="5" s="1"/>
  <c r="C2" i="4"/>
  <c r="J2" i="4" s="1"/>
  <c r="F34" i="12"/>
  <c r="S16" i="21" l="1"/>
  <c r="S34" i="21"/>
  <c r="S96" i="21"/>
  <c r="S121" i="21"/>
  <c r="S152" i="21"/>
  <c r="S128" i="21"/>
  <c r="S99" i="21"/>
  <c r="S72" i="21"/>
  <c r="S9" i="21"/>
  <c r="S113" i="21"/>
  <c r="S169" i="21"/>
  <c r="S4" i="21"/>
  <c r="S30" i="21"/>
  <c r="S25" i="21"/>
  <c r="S6" i="21"/>
  <c r="S46" i="21"/>
  <c r="S43" i="21"/>
  <c r="S122" i="21"/>
  <c r="S36" i="21"/>
  <c r="S190" i="21"/>
  <c r="S156" i="21"/>
  <c r="S203" i="21"/>
  <c r="S142" i="21"/>
  <c r="S100" i="21"/>
  <c r="S159" i="21"/>
  <c r="S174" i="21"/>
  <c r="S134" i="21"/>
  <c r="S81" i="21"/>
  <c r="S201" i="21"/>
  <c r="S185" i="21"/>
  <c r="S213" i="21"/>
  <c r="S79" i="21"/>
  <c r="S209" i="21"/>
  <c r="S97" i="21"/>
  <c r="S200" i="21"/>
  <c r="S88" i="21"/>
  <c r="S73" i="21"/>
  <c r="S184" i="21"/>
  <c r="S202" i="21"/>
  <c r="S145" i="21"/>
  <c r="S146" i="21"/>
  <c r="S165" i="21"/>
  <c r="S136" i="21"/>
  <c r="S193" i="21"/>
  <c r="S131" i="21"/>
  <c r="S153" i="21"/>
  <c r="S181" i="21"/>
  <c r="S70" i="21"/>
  <c r="S84" i="21"/>
  <c r="S188" i="21"/>
  <c r="S130" i="21"/>
  <c r="S214" i="21"/>
  <c r="S148" i="21"/>
  <c r="S126" i="21"/>
  <c r="S168" i="21"/>
  <c r="S140" i="21"/>
  <c r="S167" i="21"/>
  <c r="S158" i="21"/>
  <c r="S210" i="21"/>
  <c r="S195" i="21"/>
  <c r="S194" i="21"/>
  <c r="S191" i="21"/>
  <c r="S157" i="21"/>
  <c r="S204" i="21"/>
  <c r="S196" i="21"/>
  <c r="S138" i="21"/>
  <c r="S143" i="21"/>
  <c r="S144" i="21"/>
  <c r="S123" i="21"/>
  <c r="S83" i="21"/>
  <c r="S86" i="21"/>
  <c r="S137" i="21"/>
  <c r="S133" i="21"/>
  <c r="S160" i="21"/>
  <c r="S175" i="21"/>
  <c r="S149" i="21"/>
  <c r="S109" i="21"/>
  <c r="S187" i="21"/>
  <c r="S211" i="21"/>
  <c r="S116" i="21"/>
  <c r="S205" i="21"/>
  <c r="S150" i="21"/>
  <c r="S186" i="21"/>
  <c r="S183" i="21"/>
  <c r="S127" i="21"/>
  <c r="S135" i="21"/>
  <c r="S192" i="21"/>
  <c r="S132" i="21"/>
  <c r="S108" i="21"/>
  <c r="S212" i="21"/>
  <c r="O106" i="5"/>
  <c r="Q122" i="21"/>
  <c r="E7" i="19"/>
  <c r="Q17" i="21"/>
  <c r="Q47" i="21"/>
  <c r="Q64" i="21"/>
  <c r="Q21" i="21"/>
  <c r="Q26" i="21"/>
  <c r="Q41" i="21"/>
  <c r="O13" i="5"/>
  <c r="Q15" i="21"/>
  <c r="O6" i="5"/>
  <c r="Q125" i="21"/>
  <c r="O30" i="5"/>
  <c r="Q35" i="21"/>
  <c r="O79" i="5"/>
  <c r="Q96" i="21"/>
  <c r="Q110" i="21"/>
  <c r="O113" i="5"/>
  <c r="Q36" i="21"/>
  <c r="O122" i="5"/>
  <c r="Q31" i="21"/>
  <c r="O89" i="5"/>
  <c r="Q108" i="21"/>
  <c r="O110" i="5"/>
  <c r="Q66" i="21"/>
  <c r="O124" i="5"/>
  <c r="Q71" i="21"/>
  <c r="O134" i="5"/>
  <c r="Q133" i="21"/>
  <c r="O141" i="5"/>
  <c r="Q140" i="21"/>
  <c r="O179" i="5"/>
  <c r="Q178" i="21"/>
  <c r="O159" i="5"/>
  <c r="Q158" i="21"/>
  <c r="O177" i="5"/>
  <c r="Q176" i="21"/>
  <c r="O205" i="5"/>
  <c r="Q204" i="21"/>
  <c r="O36" i="5"/>
  <c r="Q42" i="21"/>
  <c r="O16" i="5"/>
  <c r="Q18" i="21"/>
  <c r="O84" i="5"/>
  <c r="Q102" i="21"/>
  <c r="O101" i="5"/>
  <c r="Q121" i="21"/>
  <c r="O81" i="5"/>
  <c r="Q98" i="21"/>
  <c r="O214" i="5"/>
  <c r="Q213" i="21"/>
  <c r="O143" i="5"/>
  <c r="Q142" i="21"/>
  <c r="O97" i="5"/>
  <c r="Q116" i="21"/>
  <c r="O136" i="5"/>
  <c r="Q135" i="21"/>
  <c r="O155" i="5"/>
  <c r="Q154" i="21"/>
  <c r="O191" i="5"/>
  <c r="Q190" i="21"/>
  <c r="O99" i="5"/>
  <c r="Q118" i="21"/>
  <c r="O137" i="5"/>
  <c r="Q136" i="21"/>
  <c r="O162" i="5"/>
  <c r="Q161" i="21"/>
  <c r="O119" i="5"/>
  <c r="Q25" i="21"/>
  <c r="O171" i="5"/>
  <c r="Q170" i="21"/>
  <c r="O120" i="5"/>
  <c r="Q90" i="21"/>
  <c r="O166" i="5"/>
  <c r="Q165" i="21"/>
  <c r="O175" i="5"/>
  <c r="Q174" i="21"/>
  <c r="O96" i="5"/>
  <c r="Q115" i="21"/>
  <c r="O86" i="5"/>
  <c r="Q105" i="21"/>
  <c r="O160" i="5"/>
  <c r="Q159" i="21"/>
  <c r="O178" i="5"/>
  <c r="Q177" i="21"/>
  <c r="O201" i="5"/>
  <c r="Q200" i="21"/>
  <c r="O204" i="5"/>
  <c r="Q203" i="21"/>
  <c r="O95" i="5"/>
  <c r="Q114" i="21"/>
  <c r="O117" i="5"/>
  <c r="Q63" i="21"/>
  <c r="O92" i="5"/>
  <c r="Q111" i="21"/>
  <c r="O123" i="5"/>
  <c r="Q99" i="21"/>
  <c r="O173" i="5"/>
  <c r="Q172" i="21"/>
  <c r="O195" i="5"/>
  <c r="Q194" i="21"/>
  <c r="O138" i="5"/>
  <c r="Q137" i="21"/>
  <c r="O180" i="5"/>
  <c r="Q179" i="21"/>
  <c r="O115" i="5"/>
  <c r="Q6" i="21"/>
  <c r="O72" i="5"/>
  <c r="Q87" i="21"/>
  <c r="O93" i="5"/>
  <c r="Q112" i="21"/>
  <c r="O116" i="5"/>
  <c r="Q19" i="21"/>
  <c r="O94" i="5"/>
  <c r="Q113" i="21"/>
  <c r="O147" i="5"/>
  <c r="Q146" i="21"/>
  <c r="O182" i="5"/>
  <c r="Q181" i="21"/>
  <c r="O181" i="5"/>
  <c r="Q180" i="21"/>
  <c r="O149" i="5"/>
  <c r="Q148" i="21"/>
  <c r="O151" i="5"/>
  <c r="Q150" i="21"/>
  <c r="O153" i="5"/>
  <c r="Q152" i="21"/>
  <c r="O198" i="5"/>
  <c r="Q197" i="21"/>
  <c r="O200" i="5"/>
  <c r="Q199" i="21"/>
  <c r="O112" i="5"/>
  <c r="Q124" i="21"/>
  <c r="O199" i="5"/>
  <c r="Q198" i="21"/>
  <c r="O114" i="5"/>
  <c r="Q119" i="21"/>
  <c r="O82" i="5"/>
  <c r="Q100" i="21"/>
  <c r="O133" i="5"/>
  <c r="Q132" i="21"/>
  <c r="O158" i="5"/>
  <c r="Q157" i="21"/>
  <c r="O169" i="5"/>
  <c r="Q168" i="21"/>
  <c r="O197" i="5"/>
  <c r="Q196" i="21"/>
  <c r="O125" i="5"/>
  <c r="Q77" i="21"/>
  <c r="O88" i="5"/>
  <c r="Q107" i="21"/>
  <c r="Q38" i="21"/>
  <c r="Q75" i="21"/>
  <c r="Q27" i="21"/>
  <c r="Q78" i="21"/>
  <c r="Q82" i="21"/>
  <c r="Q126" i="21"/>
  <c r="O28" i="5"/>
  <c r="Q33" i="21"/>
  <c r="Q76" i="21"/>
  <c r="O24" i="5"/>
  <c r="Q28" i="21"/>
  <c r="Q80" i="21"/>
  <c r="O40" i="5"/>
  <c r="Q48" i="21"/>
  <c r="Q29" i="21"/>
  <c r="O34" i="5"/>
  <c r="Q40" i="21"/>
  <c r="Q97" i="21"/>
  <c r="O98" i="5"/>
  <c r="Q117" i="21"/>
  <c r="O150" i="5"/>
  <c r="Q149" i="21"/>
  <c r="O161" i="5"/>
  <c r="Q160" i="21"/>
  <c r="O189" i="5"/>
  <c r="Q188" i="21"/>
  <c r="O193" i="5"/>
  <c r="Q192" i="21"/>
  <c r="O203" i="5"/>
  <c r="Q202" i="21"/>
  <c r="O206" i="5"/>
  <c r="Q205" i="21"/>
  <c r="O61" i="5"/>
  <c r="Q74" i="21"/>
  <c r="O31" i="5"/>
  <c r="Q37" i="21"/>
  <c r="O11" i="5"/>
  <c r="Q13" i="21"/>
  <c r="O140" i="5"/>
  <c r="Q139" i="21"/>
  <c r="O167" i="5"/>
  <c r="Q166" i="21"/>
  <c r="O163" i="5"/>
  <c r="Q162" i="21"/>
  <c r="O157" i="5"/>
  <c r="Q156" i="21"/>
  <c r="O127" i="5"/>
  <c r="Q85" i="21"/>
  <c r="O121" i="5"/>
  <c r="Q10" i="21"/>
  <c r="O156" i="5"/>
  <c r="Q155" i="21"/>
  <c r="O146" i="5"/>
  <c r="Q145" i="21"/>
  <c r="O145" i="5"/>
  <c r="Q144" i="21"/>
  <c r="O135" i="5"/>
  <c r="Q134" i="21"/>
  <c r="O164" i="5"/>
  <c r="Q163" i="21"/>
  <c r="O213" i="5"/>
  <c r="Q212" i="21"/>
  <c r="O190" i="5"/>
  <c r="Q189" i="21"/>
  <c r="O85" i="5"/>
  <c r="Q103" i="21"/>
  <c r="O102" i="5"/>
  <c r="Q123" i="21"/>
  <c r="O184" i="5"/>
  <c r="Q183" i="21"/>
  <c r="O154" i="5"/>
  <c r="Q153" i="21"/>
  <c r="O69" i="5"/>
  <c r="Q83" i="21"/>
  <c r="O111" i="5"/>
  <c r="Q4" i="21"/>
  <c r="O144" i="5"/>
  <c r="Q143" i="21"/>
  <c r="O196" i="5"/>
  <c r="Q195" i="21"/>
  <c r="O170" i="5"/>
  <c r="Q169" i="21"/>
  <c r="O100" i="5"/>
  <c r="Q120" i="21"/>
  <c r="O87" i="5"/>
  <c r="Q106" i="21"/>
  <c r="O183" i="5"/>
  <c r="Q182" i="21"/>
  <c r="O90" i="5"/>
  <c r="Q109" i="21"/>
  <c r="O139" i="5"/>
  <c r="Q138" i="21"/>
  <c r="O210" i="5"/>
  <c r="Q209" i="21"/>
  <c r="O77" i="5"/>
  <c r="Q94" i="21"/>
  <c r="O129" i="5"/>
  <c r="Q128" i="21"/>
  <c r="O142" i="5"/>
  <c r="Q141" i="21"/>
  <c r="O148" i="5"/>
  <c r="Q147" i="21"/>
  <c r="O211" i="5"/>
  <c r="Q210" i="21"/>
  <c r="O172" i="5"/>
  <c r="Q171" i="21"/>
  <c r="O185" i="5"/>
  <c r="Q184" i="21"/>
  <c r="O105" i="5"/>
  <c r="Q67" i="21"/>
  <c r="O83" i="5"/>
  <c r="Q101" i="21"/>
  <c r="O109" i="5"/>
  <c r="Q46" i="21"/>
  <c r="O187" i="5"/>
  <c r="Q186" i="21"/>
  <c r="O207" i="5"/>
  <c r="Q206" i="21"/>
  <c r="O176" i="5"/>
  <c r="Q175" i="21"/>
  <c r="O188" i="5"/>
  <c r="Q187" i="21"/>
  <c r="O33" i="5"/>
  <c r="Q39" i="21"/>
  <c r="O50" i="5"/>
  <c r="Q58" i="21"/>
  <c r="O10" i="5"/>
  <c r="Q12" i="21"/>
  <c r="Q95" i="21"/>
  <c r="O104" i="5"/>
  <c r="Q51" i="21"/>
  <c r="O103" i="5"/>
  <c r="Q104" i="21"/>
  <c r="O118" i="5"/>
  <c r="Q91" i="21"/>
  <c r="O128" i="5"/>
  <c r="Q127" i="21"/>
  <c r="O152" i="5"/>
  <c r="Q151" i="21"/>
  <c r="O126" i="5"/>
  <c r="O192" i="5"/>
  <c r="Q191" i="21"/>
  <c r="O208" i="5"/>
  <c r="Q207" i="21"/>
  <c r="O165" i="5"/>
  <c r="Q164" i="21"/>
  <c r="O209" i="5"/>
  <c r="Q208" i="21"/>
  <c r="O202" i="5"/>
  <c r="Q201" i="21"/>
  <c r="O212" i="5"/>
  <c r="Q211" i="21"/>
  <c r="O56" i="5"/>
  <c r="Q65" i="21"/>
  <c r="O26" i="5"/>
  <c r="Q30" i="21"/>
  <c r="O73" i="5"/>
  <c r="Q88" i="21"/>
  <c r="Q69" i="21"/>
  <c r="Q14" i="21"/>
  <c r="Q7" i="21"/>
  <c r="Q52" i="21"/>
  <c r="Q20" i="21"/>
  <c r="Q86" i="21"/>
  <c r="Q57" i="21"/>
  <c r="Q44" i="21"/>
  <c r="O48" i="5"/>
  <c r="Q56" i="21"/>
  <c r="Q32" i="21"/>
  <c r="O60" i="5"/>
  <c r="Q73" i="21"/>
  <c r="Q53" i="21"/>
  <c r="O20" i="5"/>
  <c r="Q23" i="21"/>
  <c r="Q70" i="21"/>
  <c r="O130" i="5"/>
  <c r="Q129" i="21"/>
  <c r="O132" i="5"/>
  <c r="Q131" i="21"/>
  <c r="O186" i="5"/>
  <c r="Q185" i="21"/>
  <c r="O194" i="5"/>
  <c r="Q193" i="21"/>
  <c r="O168" i="5"/>
  <c r="Q167" i="21"/>
  <c r="O174" i="5"/>
  <c r="Q173" i="21"/>
  <c r="O46" i="5"/>
  <c r="Q54" i="21"/>
  <c r="O21" i="5"/>
  <c r="Q24" i="21"/>
  <c r="Q68" i="21"/>
  <c r="Q89" i="21"/>
  <c r="Q93" i="21"/>
  <c r="Q8" i="21"/>
  <c r="Q92" i="21"/>
  <c r="O108" i="5"/>
  <c r="Q43" i="21"/>
  <c r="Q72" i="21"/>
  <c r="B25" i="19"/>
  <c r="C25" i="19" s="1"/>
  <c r="B24" i="19"/>
  <c r="C24" i="19" s="1"/>
  <c r="B22" i="19"/>
  <c r="C22" i="19" s="1"/>
  <c r="B23" i="19"/>
  <c r="E23" i="19" s="1"/>
  <c r="G22" i="19"/>
  <c r="P5" i="5"/>
  <c r="C10" i="19"/>
  <c r="Q64" i="6"/>
  <c r="P4" i="5"/>
  <c r="G34" i="12"/>
  <c r="M34" i="12" s="1"/>
  <c r="Q59" i="6"/>
  <c r="P58" i="6"/>
  <c r="O58" i="6"/>
  <c r="E11" i="19" l="1"/>
  <c r="E25" i="19"/>
  <c r="E22" i="19"/>
  <c r="C23" i="19"/>
  <c r="E24" i="19"/>
  <c r="G25" i="19"/>
  <c r="G24" i="19"/>
  <c r="G23" i="19"/>
  <c r="C11" i="19"/>
  <c r="C12" i="19" l="1"/>
  <c r="C13" i="19" l="1"/>
  <c r="C14" i="19" l="1"/>
  <c r="C15" i="19" l="1"/>
  <c r="C16" i="19" l="1"/>
  <c r="C17" i="19" l="1"/>
  <c r="C18" i="1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tc={B6B26739-B63C-4726-9D23-8D9B2DDE42E0}</author>
  </authors>
  <commentList>
    <comment ref="K3" authorId="0" shapeId="0" xr:uid="{B6B26739-B63C-4726-9D23-8D9B2DDE42E0}">
      <text>
        <t>[Threaded comment]
Your version of Excel allows you to read this threaded comment; however, any edits to it will get removed if the file is opened in a newer version of Excel. Learn more: https://go.microsoft.com/fwlink/?linkid=870924
Comment:
    I assume the number of visits x Avg. attendees per visit / Avg. number of events per member in the last 3 months (assumed to be 2).
This is a cheat way to ballpark # of unique friends.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tc={E79DE493-36EC-9B43-9DCF-330A935160BF}</author>
  </authors>
  <commentList>
    <comment ref="B67" authorId="0" shapeId="0" xr:uid="{E79DE493-36EC-9B43-9DCF-330A935160BF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@Anh Nguyen apparently we didn’t sign anyone in on eventbrite on this last event. Can you confirm if everyone attended the event so I can update the list?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<sst xmlns="http://schemas.openxmlformats.org/spreadsheetml/2006/main" count="6274" uniqueCount="1150">
  <si>
    <t>Data Input</t>
  </si>
  <si>
    <t>Auto Populated</t>
  </si>
  <si>
    <t>Output</t>
  </si>
  <si>
    <t>credits</t>
  </si>
  <si>
    <t>Status</t>
  </si>
  <si>
    <t>Order Date</t>
  </si>
  <si>
    <t>User Name</t>
  </si>
  <si>
    <t>Event ID</t>
  </si>
  <si>
    <t>Notes</t>
  </si>
  <si>
    <t>Event Name</t>
  </si>
  <si>
    <t>Event Date</t>
  </si>
  <si>
    <t>Event Time</t>
  </si>
  <si>
    <t>Price (Credits)</t>
  </si>
  <si>
    <t>Price
(£)</t>
  </si>
  <si>
    <t>Price Paid</t>
  </si>
  <si>
    <t>Method</t>
  </si>
  <si>
    <t>Message for all</t>
  </si>
  <si>
    <t>pounds</t>
  </si>
  <si>
    <t>Daniel Lugg</t>
  </si>
  <si>
    <t>Ioana Brezeanu</t>
  </si>
  <si>
    <t>Aidana Kassymova</t>
  </si>
  <si>
    <t>Eoghan Naughton</t>
  </si>
  <si>
    <t>Robert Chapman</t>
  </si>
  <si>
    <t>Sara Khan</t>
  </si>
  <si>
    <t>Canceled</t>
  </si>
  <si>
    <t>Claire Couchman</t>
  </si>
  <si>
    <t>Lucy Zhou</t>
  </si>
  <si>
    <t>CANCELLED</t>
  </si>
  <si>
    <t>Rohini Tendulkar</t>
  </si>
  <si>
    <t>Serena Or</t>
  </si>
  <si>
    <t>Tanvi Sethi</t>
  </si>
  <si>
    <t>Win Man</t>
  </si>
  <si>
    <t>Daniela Jones</t>
  </si>
  <si>
    <t>Dildeep Singh</t>
  </si>
  <si>
    <t>Elena Dementeva</t>
  </si>
  <si>
    <t>Matthew Watts</t>
  </si>
  <si>
    <t>Shay Steele</t>
  </si>
  <si>
    <t>Angela Kiva</t>
  </si>
  <si>
    <t>Davide Veronese</t>
  </si>
  <si>
    <t>M Manolova</t>
  </si>
  <si>
    <t>Monique Blemur</t>
  </si>
  <si>
    <t>Rowan El Atrache</t>
  </si>
  <si>
    <t>Andrew Ikonnikov</t>
  </si>
  <si>
    <t>Anisha Sood</t>
  </si>
  <si>
    <t>Celia Sattamino</t>
  </si>
  <si>
    <t>Corneliu Civig</t>
  </si>
  <si>
    <t>Tanvi Referral</t>
  </si>
  <si>
    <t>Daniel Dmello</t>
  </si>
  <si>
    <t>Emily White</t>
  </si>
  <si>
    <t>Juan Pablo De La Torre</t>
  </si>
  <si>
    <t>Maggie Manolova</t>
  </si>
  <si>
    <t>Matt Hoza</t>
  </si>
  <si>
    <t>Simon Bourke</t>
  </si>
  <si>
    <t>Wil Akanno</t>
  </si>
  <si>
    <t>Claire referral</t>
  </si>
  <si>
    <t xml:space="preserve">Rescheduled </t>
  </si>
  <si>
    <t>Jinish Gohil</t>
  </si>
  <si>
    <t>Laura Brown</t>
  </si>
  <si>
    <t>Samedzade Samed</t>
  </si>
  <si>
    <t>Yusuke Inoue</t>
  </si>
  <si>
    <t>Mouna Iraqi</t>
  </si>
  <si>
    <t>Katherine Kim</t>
  </si>
  <si>
    <t>Shulli Clinton-Davis</t>
  </si>
  <si>
    <t>Alina Flatscher</t>
  </si>
  <si>
    <t>Ana Vasques</t>
  </si>
  <si>
    <t>canceled</t>
  </si>
  <si>
    <t>Camilla Carrapatoso</t>
  </si>
  <si>
    <t>David  Flatscher</t>
  </si>
  <si>
    <t>Donna Achara</t>
  </si>
  <si>
    <t>Ejike Onuchukwu</t>
  </si>
  <si>
    <t>Gil K</t>
  </si>
  <si>
    <t>Ken Nyar</t>
  </si>
  <si>
    <t>Laure Kroely</t>
  </si>
  <si>
    <t xml:space="preserve">Natali Okolie </t>
  </si>
  <si>
    <t>Richard  Segal</t>
  </si>
  <si>
    <t>Sabina Khaytbaeva</t>
  </si>
  <si>
    <t>Scott Gilbert</t>
  </si>
  <si>
    <t>Cancelled</t>
  </si>
  <si>
    <t>cancelled</t>
  </si>
  <si>
    <t>u</t>
  </si>
  <si>
    <t>Aidana Referral</t>
  </si>
  <si>
    <t>Konstantin Angelov</t>
  </si>
  <si>
    <t xml:space="preserve">Aidana Referral </t>
  </si>
  <si>
    <t>Gaukhar Uskenbayeva</t>
  </si>
  <si>
    <t>Cecilia Lee</t>
  </si>
  <si>
    <t>Zauresh Kezheneva</t>
  </si>
  <si>
    <t>Aidana's referral</t>
  </si>
  <si>
    <t>Liane  Pereira</t>
  </si>
  <si>
    <t xml:space="preserve">Guest - not confirmed yet </t>
  </si>
  <si>
    <t>Input</t>
  </si>
  <si>
    <t>Date</t>
  </si>
  <si>
    <t>Credits
Added/Used</t>
  </si>
  <si>
    <t>Price Paid 
(£)</t>
  </si>
  <si>
    <t>Credit 
Balance</t>
  </si>
  <si>
    <t>Message for balance update</t>
  </si>
  <si>
    <t>Message for new members</t>
  </si>
  <si>
    <t>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t>
  </si>
  <si>
    <t>Buyer Email</t>
  </si>
  <si>
    <t>First Name</t>
  </si>
  <si>
    <t>Last Name</t>
  </si>
  <si>
    <t>Second email</t>
  </si>
  <si>
    <t>Note</t>
  </si>
  <si>
    <t>Profile</t>
  </si>
  <si>
    <t>Last Attended Event</t>
  </si>
  <si>
    <t># Attended Events</t>
  </si>
  <si>
    <t># Attended Event Last 7 Days</t>
  </si>
  <si>
    <t># Attended Event Last 30 Days</t>
  </si>
  <si>
    <t># attended Events previous period</t>
  </si>
  <si>
    <t>New User?</t>
  </si>
  <si>
    <t>Active User?</t>
  </si>
  <si>
    <t>Heavy User</t>
  </si>
  <si>
    <t>Total Spend (Overall)</t>
  </si>
  <si>
    <t>Total Spend (Last 30 days)</t>
  </si>
  <si>
    <t>Average Spend per Event (Overall)</t>
  </si>
  <si>
    <t>Average Spend per Event (Last 30 Days)</t>
  </si>
  <si>
    <t>1 event</t>
  </si>
  <si>
    <t>2 events</t>
  </si>
  <si>
    <t>3 or more</t>
  </si>
  <si>
    <t>lucyzhou2@hotmail.com</t>
  </si>
  <si>
    <t>64ktytw4v7@privaterelay.appleid.com</t>
  </si>
  <si>
    <t>Interview</t>
  </si>
  <si>
    <t>New OG</t>
  </si>
  <si>
    <t>daniel.lugg@yahoo.com</t>
  </si>
  <si>
    <t>tendulkar.rohini@gmail.com</t>
  </si>
  <si>
    <t>khan.saretta@gmail.com</t>
  </si>
  <si>
    <t>aidanakassymova@gmail.com</t>
  </si>
  <si>
    <t>OG</t>
  </si>
  <si>
    <t>alekseypleshkov17@gmail.com</t>
  </si>
  <si>
    <t>roberthchapman@hotmail.com</t>
  </si>
  <si>
    <t>One of the ticket was for a friend visiting from out of town</t>
  </si>
  <si>
    <t>Clairelouisecouchman@hotmail.com</t>
  </si>
  <si>
    <t>katherineyr.kim@gmail.com</t>
  </si>
  <si>
    <t>rtranaita@gmail.com</t>
  </si>
  <si>
    <t>Check-in</t>
  </si>
  <si>
    <t>sam.samedzade@gmail.com</t>
  </si>
  <si>
    <t>shaysteele2017@gmail.com</t>
  </si>
  <si>
    <t>laurabrown148@gmail.com</t>
  </si>
  <si>
    <t>Pre-OG</t>
  </si>
  <si>
    <t>srivaths.s@gmail.com</t>
  </si>
  <si>
    <t>walokunrin@yahoo.com</t>
  </si>
  <si>
    <t>natashapavlovskaya23@gmail.com</t>
  </si>
  <si>
    <t>claudiapaicu@yahoo.com</t>
  </si>
  <si>
    <t>louise.ly.chow@gmail.com</t>
  </si>
  <si>
    <t>louisechow@alumni.stern.nyu.edu</t>
  </si>
  <si>
    <t>thefengshuistory@gmail.com</t>
  </si>
  <si>
    <t>susandjackson01@gmail.com</t>
  </si>
  <si>
    <t>ngg971@gmail.com</t>
  </si>
  <si>
    <t>jones_daniela@yahoo.co.uk</t>
  </si>
  <si>
    <t>eoghannaughton@hotmail.com</t>
  </si>
  <si>
    <t>Only attended 2 instead of 3 (had to cancel the first one)</t>
  </si>
  <si>
    <t>sophia.shemlugu@gmail.com</t>
  </si>
  <si>
    <t>sweetkowi@gmail.com</t>
  </si>
  <si>
    <t>roberthchapman@gmail.com</t>
  </si>
  <si>
    <t>hrational@gmail.com</t>
  </si>
  <si>
    <t>scribu@gmail.com</t>
  </si>
  <si>
    <t>ezgicaakmak@gmail.com</t>
  </si>
  <si>
    <t>simon88e@yahoo.com</t>
  </si>
  <si>
    <t>dmbarden@hotmail.co.uk</t>
  </si>
  <si>
    <t>audreyrebeccahutabarat@gmail.com</t>
  </si>
  <si>
    <t>audreyrh123@gmail.com</t>
  </si>
  <si>
    <t>monique.blemur@gmail.com</t>
  </si>
  <si>
    <t>hanna.niczyporuk@gmail.com</t>
  </si>
  <si>
    <t>anamariaperu@hotmail.co.uk</t>
  </si>
  <si>
    <t>jon.chikly@gmail.com</t>
  </si>
  <si>
    <t>rowan.bashar@gmail.com</t>
  </si>
  <si>
    <t>anayosefi@gmail.com</t>
  </si>
  <si>
    <t>d.v.davideveronese@gmail.com</t>
  </si>
  <si>
    <t>taam.isadora@gmail.com</t>
  </si>
  <si>
    <t>sethi.tanvi@gmail.com</t>
  </si>
  <si>
    <t>zinab.rama@gmail.com</t>
  </si>
  <si>
    <t>win.man@icloud.com</t>
  </si>
  <si>
    <t>elena27kuv@gmail.com</t>
  </si>
  <si>
    <t>yyasemin.mermer@gmail.com</t>
  </si>
  <si>
    <t>galimova.al.al@gmail.com</t>
  </si>
  <si>
    <t>egemensiphone@gmail.com</t>
  </si>
  <si>
    <t>apbhetherington@gmail.com</t>
  </si>
  <si>
    <t>tomhsaville@hotmail.co.uk</t>
  </si>
  <si>
    <t>pragyaptib@gmail.com</t>
  </si>
  <si>
    <t>maestromattheww@yahoo.co.uk</t>
  </si>
  <si>
    <t>jinishgohil@yahoo.co.in</t>
  </si>
  <si>
    <t>jz548282@gmail.com</t>
  </si>
  <si>
    <t>kittyor.or@gmail.com</t>
  </si>
  <si>
    <t>(5 people)</t>
  </si>
  <si>
    <t>(7 people)</t>
  </si>
  <si>
    <t>Reference Date:</t>
  </si>
  <si>
    <t>Guilds</t>
  </si>
  <si>
    <t>Connector Guild</t>
  </si>
  <si>
    <t>Eclecticist Guild</t>
  </si>
  <si>
    <t>Maker</t>
  </si>
  <si>
    <t>Users Active in the past 2 months</t>
  </si>
  <si>
    <t>Guests</t>
  </si>
  <si>
    <t>Posts (M)</t>
  </si>
  <si>
    <t>Exhibitions</t>
  </si>
  <si>
    <t>Creative Workshop</t>
  </si>
  <si>
    <t>Visit before challenge</t>
  </si>
  <si>
    <t>Friends</t>
  </si>
  <si>
    <t>Visits</t>
  </si>
  <si>
    <t>Hours</t>
  </si>
  <si>
    <t>Guilds unlocked</t>
  </si>
  <si>
    <t>?</t>
  </si>
  <si>
    <t>Message to be sent</t>
  </si>
  <si>
    <t>NO</t>
  </si>
  <si>
    <t>YES</t>
  </si>
  <si>
    <t>sent</t>
  </si>
  <si>
    <t>Marketing Audience</t>
  </si>
  <si>
    <t>Spending</t>
  </si>
  <si>
    <t># Attended Events Total</t>
  </si>
  <si>
    <t># Attended  month 1</t>
  </si>
  <si>
    <t># Attended  month 2</t>
  </si>
  <si>
    <t># Attended  month 3</t>
  </si>
  <si>
    <t># Attended  month 4</t>
  </si>
  <si>
    <t>Past Active User</t>
  </si>
  <si>
    <t>Nimi Analytics Dashboard</t>
  </si>
  <si>
    <t>Today:</t>
  </si>
  <si>
    <t>Weekly Tracking</t>
  </si>
  <si>
    <t>Week</t>
  </si>
  <si>
    <t>Begin_Date</t>
  </si>
  <si>
    <t>End_Date</t>
  </si>
  <si>
    <t># Users</t>
  </si>
  <si>
    <t># Active Users</t>
  </si>
  <si>
    <t>Monthly Tracking</t>
  </si>
  <si>
    <t>Month</t>
  </si>
  <si>
    <t># Visits/Active User</t>
  </si>
  <si>
    <t>Revenue</t>
  </si>
  <si>
    <t>Revenue/ Active User</t>
  </si>
  <si>
    <t>#Sessions</t>
  </si>
  <si>
    <t>#Visits /Session</t>
  </si>
  <si>
    <t>#Visits</t>
  </si>
  <si>
    <t>Eventbrite Launch</t>
  </si>
  <si>
    <t>Booking management</t>
  </si>
  <si>
    <t>Membership signup</t>
  </si>
  <si>
    <t>Task</t>
  </si>
  <si>
    <t xml:space="preserve">Task type </t>
  </si>
  <si>
    <t>Comments</t>
  </si>
  <si>
    <t>Create description</t>
  </si>
  <si>
    <t>Standard</t>
  </si>
  <si>
    <t>Create Cover</t>
  </si>
  <si>
    <t>Define agenda</t>
  </si>
  <si>
    <t>Add tickets</t>
  </si>
  <si>
    <t>Add coupon codes</t>
  </si>
  <si>
    <t xml:space="preserve">Add phone number to order phone </t>
  </si>
  <si>
    <t>Time</t>
  </si>
  <si>
    <t>Price (£)</t>
  </si>
  <si>
    <t>Event Type</t>
  </si>
  <si>
    <t>Neighbohood</t>
  </si>
  <si>
    <t>Capacity</t>
  </si>
  <si>
    <t># Exhibitions</t>
  </si>
  <si>
    <t>Attendance</t>
  </si>
  <si>
    <t>Journey 1</t>
  </si>
  <si>
    <t>Journey 2</t>
  </si>
  <si>
    <t>Journey 3</t>
  </si>
  <si>
    <t>Avg attendance</t>
  </si>
  <si>
    <t>Blockbuster</t>
  </si>
  <si>
    <t>Creative Session</t>
  </si>
  <si>
    <t>Hidden Gem</t>
  </si>
  <si>
    <t>2:30pm</t>
  </si>
  <si>
    <t>1:30pm</t>
  </si>
  <si>
    <t>6:30pm</t>
  </si>
  <si>
    <t>Artist Talk</t>
  </si>
  <si>
    <t>2:00pm</t>
  </si>
  <si>
    <t>[Hidden Gem] Gallery Stroll in Central London</t>
  </si>
  <si>
    <t>1:00pm</t>
  </si>
  <si>
    <t>[Blockbuster] Frank Auerbach at Courtauld Gallery</t>
  </si>
  <si>
    <t>[Special] London Gallery Weekend</t>
  </si>
  <si>
    <t>11am</t>
  </si>
  <si>
    <t>Scavenger Hunt</t>
  </si>
  <si>
    <t>[Curator's Tour] Leo Robinson's at London Mithraeum</t>
  </si>
  <si>
    <t>4:30pm</t>
  </si>
  <si>
    <t>Curator's Tour</t>
  </si>
  <si>
    <t>Thomas Cameron  Studio + Shay Dinner</t>
  </si>
  <si>
    <t>Artist Meetup</t>
  </si>
  <si>
    <t>Jazz, Cheese, Art and Wine</t>
  </si>
  <si>
    <t>Social</t>
  </si>
  <si>
    <t>Courtauld Late: Frank Auerbach</t>
  </si>
  <si>
    <t>6:45pm</t>
  </si>
  <si>
    <t>Heloisa Hariadne @ Twani Gallery</t>
  </si>
  <si>
    <t>Special Event</t>
  </si>
  <si>
    <t>Gallery Stroll in Bermondsey</t>
  </si>
  <si>
    <t>Gallery Stroll with Pub Quiz</t>
  </si>
  <si>
    <t>Soane Late</t>
  </si>
  <si>
    <t>William Morris Gallery</t>
  </si>
  <si>
    <t>Victorian Art</t>
  </si>
  <si>
    <t>Social at Tate Late</t>
  </si>
  <si>
    <t>7:00pm</t>
  </si>
  <si>
    <t>Sargent and Fashion</t>
  </si>
  <si>
    <t>Fashion</t>
  </si>
  <si>
    <t>Garden Museum Late (Ioana)</t>
  </si>
  <si>
    <t>Life drawing workshop at Estorick Collection</t>
  </si>
  <si>
    <t xml:space="preserve"> Royal Academy's Summer Exhibition</t>
  </si>
  <si>
    <t>Summer Show</t>
  </si>
  <si>
    <t>Open Garden Evening with Live Jazz at The Charterhouse</t>
  </si>
  <si>
    <t>Eastbourne Day Trip</t>
  </si>
  <si>
    <t>9:00pm</t>
  </si>
  <si>
    <t>Day Trip</t>
  </si>
  <si>
    <t>Friday Lates life drawing at National Gallery</t>
  </si>
  <si>
    <t>5:45pm</t>
  </si>
  <si>
    <t>William Morris Series: Red House visit</t>
  </si>
  <si>
    <t>Scavenger Hunt at Tate Late</t>
  </si>
  <si>
    <t>6:00pm</t>
  </si>
  <si>
    <t xml:space="preserve">Drop In and Draw at the RA </t>
  </si>
  <si>
    <t>Visiting the Fragile Beauty exhibition at V&amp;A</t>
  </si>
  <si>
    <t>Serpentine Gallery &amp; Picinic</t>
  </si>
  <si>
    <t>Garden Evening at Camden Arts Centre</t>
  </si>
  <si>
    <t>Scavenger Hunt at the National Gallery</t>
  </si>
  <si>
    <t xml:space="preserve"> Tavares Strachan Exhibition at the Hayward Gallery</t>
  </si>
  <si>
    <t>Exclusive After-Hours Tour of Sir John Soane's Museum</t>
  </si>
  <si>
    <t>5:15pm</t>
  </si>
  <si>
    <t>Email</t>
  </si>
  <si>
    <t>Phone Number</t>
  </si>
  <si>
    <t>Is_member</t>
  </si>
  <si>
    <t>Aidana</t>
  </si>
  <si>
    <t>Kassymova</t>
  </si>
  <si>
    <t>7557571864</t>
  </si>
  <si>
    <t>Aleksejs</t>
  </si>
  <si>
    <t>Pleskovs</t>
  </si>
  <si>
    <t>Ali</t>
  </si>
  <si>
    <t>Damirzada</t>
  </si>
  <si>
    <t>+447949567643</t>
  </si>
  <si>
    <t>Alina</t>
  </si>
  <si>
    <t>Galimova</t>
  </si>
  <si>
    <t>07548016207</t>
  </si>
  <si>
    <t>alina.flatscher@gmail.com</t>
  </si>
  <si>
    <t>Flatscher</t>
  </si>
  <si>
    <t>+44 7443 108741</t>
  </si>
  <si>
    <t>vasques.anacarolina@gmail.com</t>
  </si>
  <si>
    <t>Ana</t>
  </si>
  <si>
    <t>Vasques</t>
  </si>
  <si>
    <t>+44 7769 343524</t>
  </si>
  <si>
    <t>Anahita</t>
  </si>
  <si>
    <t>Yousefi</t>
  </si>
  <si>
    <t>+4799386437</t>
  </si>
  <si>
    <t>Anaita</t>
  </si>
  <si>
    <t>Agatic</t>
  </si>
  <si>
    <t>Anamaria</t>
  </si>
  <si>
    <t>Parsons</t>
  </si>
  <si>
    <t>07980320717</t>
  </si>
  <si>
    <t>Andrew</t>
  </si>
  <si>
    <t>Hetherington</t>
  </si>
  <si>
    <t>07540949525</t>
  </si>
  <si>
    <t>andrew.restlesspanda@gmail.com</t>
  </si>
  <si>
    <t>Ikonnikov</t>
  </si>
  <si>
    <t>+447536484874</t>
  </si>
  <si>
    <t>angelakiva10@gmail.com</t>
  </si>
  <si>
    <t>Angela</t>
  </si>
  <si>
    <t>Kiva</t>
  </si>
  <si>
    <t>Anishasood26@gmail.com</t>
  </si>
  <si>
    <t>Anisha</t>
  </si>
  <si>
    <t>Sood</t>
  </si>
  <si>
    <t>+44 7873 956356</t>
  </si>
  <si>
    <t>Audrey</t>
  </si>
  <si>
    <t>Hutabarat</t>
  </si>
  <si>
    <t>07714021821</t>
  </si>
  <si>
    <t>beverly.mccrory@gmail.com</t>
  </si>
  <si>
    <t>Bev</t>
  </si>
  <si>
    <t>McCrory</t>
  </si>
  <si>
    <t>+447300421972</t>
  </si>
  <si>
    <t>camilla@sphero.network</t>
  </si>
  <si>
    <t>Camilla</t>
  </si>
  <si>
    <t>Carrapatoso</t>
  </si>
  <si>
    <t>+55 11 99319-8180</t>
  </si>
  <si>
    <t>Cecilia</t>
  </si>
  <si>
    <t>Lee</t>
  </si>
  <si>
    <t>07380407565</t>
  </si>
  <si>
    <t>celia.sattamino@gmail.com</t>
  </si>
  <si>
    <t>Celia</t>
  </si>
  <si>
    <t>Sattamino</t>
  </si>
  <si>
    <t>+44 7939 929263</t>
  </si>
  <si>
    <t>Claire</t>
  </si>
  <si>
    <t>Couchman</t>
  </si>
  <si>
    <t>07739139930</t>
  </si>
  <si>
    <t>Claudia</t>
  </si>
  <si>
    <t>07877845663</t>
  </si>
  <si>
    <t>Corneliu.civig@gmail.com</t>
  </si>
  <si>
    <t>Corneliu</t>
  </si>
  <si>
    <t>Civig</t>
  </si>
  <si>
    <t>Daniel</t>
  </si>
  <si>
    <t>Lugg</t>
  </si>
  <si>
    <t>07476276978</t>
  </si>
  <si>
    <t>dmello.daniel@gmail.com</t>
  </si>
  <si>
    <t>Dmello</t>
  </si>
  <si>
    <t>+447774734706</t>
  </si>
  <si>
    <t>Daniela</t>
  </si>
  <si>
    <t>Jones</t>
  </si>
  <si>
    <t>07979647510</t>
  </si>
  <si>
    <t>David</t>
  </si>
  <si>
    <t>Barden</t>
  </si>
  <si>
    <t>david.flatscher@gmail.com</t>
  </si>
  <si>
    <t xml:space="preserve">David </t>
  </si>
  <si>
    <t>+44 7707665074</t>
  </si>
  <si>
    <t>Davide</t>
  </si>
  <si>
    <t>Veronese</t>
  </si>
  <si>
    <t>07342248068</t>
  </si>
  <si>
    <t>dildeep96@gmail.com</t>
  </si>
  <si>
    <t>Dildeep</t>
  </si>
  <si>
    <t>Singh</t>
  </si>
  <si>
    <t>07506474016</t>
  </si>
  <si>
    <t>imanbudget@yahoo.co.uk</t>
  </si>
  <si>
    <t>Donna</t>
  </si>
  <si>
    <t>Achara</t>
  </si>
  <si>
    <t xml:space="preserve"> 07818313299</t>
  </si>
  <si>
    <t>Egemen</t>
  </si>
  <si>
    <t>U</t>
  </si>
  <si>
    <t>07789350831</t>
  </si>
  <si>
    <t>ejike.onuchukwu@gmail.com</t>
  </si>
  <si>
    <t>Ejike</t>
  </si>
  <si>
    <t>Onuchukwu</t>
  </si>
  <si>
    <t>07875 521439</t>
  </si>
  <si>
    <t>edementyeva@yandex.ru</t>
  </si>
  <si>
    <t>Elena</t>
  </si>
  <si>
    <t>Dementeva</t>
  </si>
  <si>
    <t>+44 7879 043769</t>
  </si>
  <si>
    <t>Kuvshinnikova</t>
  </si>
  <si>
    <t>07890306975</t>
  </si>
  <si>
    <t>C.Emily.white@gmail.com</t>
  </si>
  <si>
    <t>Emily</t>
  </si>
  <si>
    <t>White</t>
  </si>
  <si>
    <t>07545450201</t>
  </si>
  <si>
    <t>Eoghan</t>
  </si>
  <si>
    <t>Naughton</t>
  </si>
  <si>
    <t>07525006790</t>
  </si>
  <si>
    <t>estherchen314@gmail.com</t>
  </si>
  <si>
    <t>Esther</t>
  </si>
  <si>
    <t>Chen</t>
  </si>
  <si>
    <t>alena.german.71@gmail.com</t>
  </si>
  <si>
    <t>Eugenia</t>
  </si>
  <si>
    <t>Herman</t>
  </si>
  <si>
    <t>07553093894</t>
  </si>
  <si>
    <t>Ezgi</t>
  </si>
  <si>
    <t>Çakmak</t>
  </si>
  <si>
    <t>federica.martini@live.it</t>
  </si>
  <si>
    <t>Federica</t>
  </si>
  <si>
    <t>Martini</t>
  </si>
  <si>
    <t>0425103954</t>
  </si>
  <si>
    <t>Francesco</t>
  </si>
  <si>
    <t>Ruggiero</t>
  </si>
  <si>
    <t>+44 7365 408208</t>
  </si>
  <si>
    <t>6.saracchi@gmail.com</t>
  </si>
  <si>
    <t>Giacomo</t>
  </si>
  <si>
    <t>Saracchi</t>
  </si>
  <si>
    <t>+44 7496 933834</t>
  </si>
  <si>
    <t>gilka5@hotmail.com</t>
  </si>
  <si>
    <t>Gil</t>
  </si>
  <si>
    <t>K</t>
  </si>
  <si>
    <t>Hanna</t>
  </si>
  <si>
    <t>Niczyporuk</t>
  </si>
  <si>
    <t>07183086607</t>
  </si>
  <si>
    <t>io.brezeanu@gmail.com</t>
  </si>
  <si>
    <t>Ioana</t>
  </si>
  <si>
    <t>Brezeanu</t>
  </si>
  <si>
    <t>07492693024</t>
  </si>
  <si>
    <t>Isadora</t>
  </si>
  <si>
    <t>de Miranda Mello Taam</t>
  </si>
  <si>
    <t>07923190379</t>
  </si>
  <si>
    <t>Jing</t>
  </si>
  <si>
    <t>Zhang</t>
  </si>
  <si>
    <t>07961779960</t>
  </si>
  <si>
    <t>Jinish</t>
  </si>
  <si>
    <t>Gohil</t>
  </si>
  <si>
    <t>07438951508</t>
  </si>
  <si>
    <t>Jonathan</t>
  </si>
  <si>
    <t>Chikly</t>
  </si>
  <si>
    <t>07557017341</t>
  </si>
  <si>
    <t>juanpablo.dltc@gmail.com</t>
  </si>
  <si>
    <t>Juan Pablo</t>
  </si>
  <si>
    <t>De La Torre</t>
  </si>
  <si>
    <t>+447846069814</t>
  </si>
  <si>
    <t>blattnerj@gmail.com</t>
  </si>
  <si>
    <t>Justin</t>
  </si>
  <si>
    <t>Blattner</t>
  </si>
  <si>
    <t>+44 7597 669407</t>
  </si>
  <si>
    <t>xetta03@hotmail.com</t>
  </si>
  <si>
    <t>Karen</t>
  </si>
  <si>
    <t>Johnstone</t>
  </si>
  <si>
    <t>Katherine</t>
  </si>
  <si>
    <t>Kim</t>
  </si>
  <si>
    <t>07465765122</t>
  </si>
  <si>
    <t xml:space="preserve"> pelconsultingwork@gmail.com</t>
  </si>
  <si>
    <t>Ken</t>
  </si>
  <si>
    <t>Nyar</t>
  </si>
  <si>
    <t>+44 7423 066994</t>
  </si>
  <si>
    <t>Kostas</t>
  </si>
  <si>
    <t>Palierakis</t>
  </si>
  <si>
    <t>Laura</t>
  </si>
  <si>
    <t>Brown</t>
  </si>
  <si>
    <t>07807127381</t>
  </si>
  <si>
    <t>Laure.kroely@gmail.com</t>
  </si>
  <si>
    <t>Laure</t>
  </si>
  <si>
    <t>Kroely</t>
  </si>
  <si>
    <t>00447551038700</t>
  </si>
  <si>
    <t>Louise</t>
  </si>
  <si>
    <t>Chow</t>
  </si>
  <si>
    <t>07775438868</t>
  </si>
  <si>
    <t>Lucy</t>
  </si>
  <si>
    <t>Zhou</t>
  </si>
  <si>
    <t>07999724306</t>
  </si>
  <si>
    <t>mm.manolova@yahoo.com</t>
  </si>
  <si>
    <t>Maggie</t>
  </si>
  <si>
    <t>Manolova</t>
  </si>
  <si>
    <t>+44 7518 906811</t>
  </si>
  <si>
    <t>lonmys@outlook.com</t>
  </si>
  <si>
    <t>Malti</t>
  </si>
  <si>
    <t>.</t>
  </si>
  <si>
    <t>matthew.hoza@gmail.com</t>
  </si>
  <si>
    <t>Matt</t>
  </si>
  <si>
    <t>Hoza</t>
  </si>
  <si>
    <t>+447300421968</t>
  </si>
  <si>
    <t>Matthew</t>
  </si>
  <si>
    <t>Watts</t>
  </si>
  <si>
    <t>07817234925</t>
  </si>
  <si>
    <t>lanidoms@gmail.com</t>
  </si>
  <si>
    <t>Mercelani</t>
  </si>
  <si>
    <t>Dumayday</t>
  </si>
  <si>
    <t>Monique</t>
  </si>
  <si>
    <t>Blemur</t>
  </si>
  <si>
    <t>Mouna</t>
  </si>
  <si>
    <t>Iraqi</t>
  </si>
  <si>
    <t>07867156558</t>
  </si>
  <si>
    <t>Nataliokolie@gmail.com</t>
  </si>
  <si>
    <t>Natali</t>
  </si>
  <si>
    <t xml:space="preserve">Okolie </t>
  </si>
  <si>
    <t xml:space="preserve">07488410909 </t>
  </si>
  <si>
    <t>Natasha</t>
  </si>
  <si>
    <t>Pavlovskaya</t>
  </si>
  <si>
    <t>07931561897</t>
  </si>
  <si>
    <t>Nathanael</t>
  </si>
  <si>
    <t>Geman</t>
  </si>
  <si>
    <t>isisding@gmail.com</t>
  </si>
  <si>
    <t>ND</t>
  </si>
  <si>
    <t>Olawale</t>
  </si>
  <si>
    <t>Okunrinboye</t>
  </si>
  <si>
    <t>07599668191</t>
  </si>
  <si>
    <t>Pragyapti</t>
  </si>
  <si>
    <t>Bhandari</t>
  </si>
  <si>
    <t>07741694836</t>
  </si>
  <si>
    <t>Richard_segal@yahoo.com</t>
  </si>
  <si>
    <t xml:space="preserve">Richard </t>
  </si>
  <si>
    <t>Segal</t>
  </si>
  <si>
    <t>+44 7949 109489</t>
  </si>
  <si>
    <t>Robert</t>
  </si>
  <si>
    <t>Chapman</t>
  </si>
  <si>
    <t>07717205862</t>
  </si>
  <si>
    <t>Rohini</t>
  </si>
  <si>
    <t>Tendulkar</t>
  </si>
  <si>
    <t>07752083835</t>
  </si>
  <si>
    <t>Rowan</t>
  </si>
  <si>
    <t>El Atrache</t>
  </si>
  <si>
    <t>07436593641</t>
  </si>
  <si>
    <t>sabinahaytbaeva@gmail.com</t>
  </si>
  <si>
    <t>Sabina</t>
  </si>
  <si>
    <t>Khaytbaeva</t>
  </si>
  <si>
    <t xml:space="preserve"> 07564569465</t>
  </si>
  <si>
    <t>Samedzade</t>
  </si>
  <si>
    <t>Samed</t>
  </si>
  <si>
    <t>07803757887</t>
  </si>
  <si>
    <t>Sara</t>
  </si>
  <si>
    <t>Khan</t>
  </si>
  <si>
    <t>07871606482</t>
  </si>
  <si>
    <t>scottrgilbert@hotmail.com</t>
  </si>
  <si>
    <t>Scott</t>
  </si>
  <si>
    <t>Gilbert</t>
  </si>
  <si>
    <t>+44 7834 639940</t>
  </si>
  <si>
    <t>Serena</t>
  </si>
  <si>
    <t>Or</t>
  </si>
  <si>
    <t>07366956766</t>
  </si>
  <si>
    <t>Shay</t>
  </si>
  <si>
    <t>Steele</t>
  </si>
  <si>
    <t>07925774705</t>
  </si>
  <si>
    <t>shlimbc2@gmail.com</t>
  </si>
  <si>
    <t>Lim</t>
  </si>
  <si>
    <t>Silviu</t>
  </si>
  <si>
    <t>Burca</t>
  </si>
  <si>
    <t>simon.brk@gmail.com</t>
  </si>
  <si>
    <t>Simon</t>
  </si>
  <si>
    <t>Bourke</t>
  </si>
  <si>
    <t>+44 7301 979131</t>
  </si>
  <si>
    <t>Simona</t>
  </si>
  <si>
    <t>Vicol</t>
  </si>
  <si>
    <t>Sophia</t>
  </si>
  <si>
    <t>Shemlugu</t>
  </si>
  <si>
    <t>07947714775</t>
  </si>
  <si>
    <t>Srivaths</t>
  </si>
  <si>
    <t>Swaminathan</t>
  </si>
  <si>
    <t>07946225673</t>
  </si>
  <si>
    <t>Susan</t>
  </si>
  <si>
    <t>Durkan Jackson</t>
  </si>
  <si>
    <t>tatatamzzz@gmail.com</t>
  </si>
  <si>
    <t>Tamara</t>
  </si>
  <si>
    <t>Muñoz</t>
  </si>
  <si>
    <t>07901584632</t>
  </si>
  <si>
    <t>tamara.dews@lseg.com</t>
  </si>
  <si>
    <t>Dews</t>
  </si>
  <si>
    <t>07776960365/+1 (917) 693-7780</t>
  </si>
  <si>
    <t>Tanvi</t>
  </si>
  <si>
    <t>Sethi</t>
  </si>
  <si>
    <t>07846232630</t>
  </si>
  <si>
    <t>teodor.rd27@gmail.com</t>
  </si>
  <si>
    <t>Teodor</t>
  </si>
  <si>
    <t>Radu</t>
  </si>
  <si>
    <t>yangtianqi2023@163.com</t>
  </si>
  <si>
    <t>Tianqi</t>
  </si>
  <si>
    <t>Yang</t>
  </si>
  <si>
    <t>07756702521</t>
  </si>
  <si>
    <t>Tom</t>
  </si>
  <si>
    <t>Saville</t>
  </si>
  <si>
    <t>07572300777</t>
  </si>
  <si>
    <t>wil_akanno@hotmail.com</t>
  </si>
  <si>
    <t>Wil</t>
  </si>
  <si>
    <t>Akanno</t>
  </si>
  <si>
    <t>07931 309501</t>
  </si>
  <si>
    <t>Win</t>
  </si>
  <si>
    <t>Man</t>
  </si>
  <si>
    <t>07896634620</t>
  </si>
  <si>
    <t>Yasemin</t>
  </si>
  <si>
    <t>Mermer</t>
  </si>
  <si>
    <t>07824492343</t>
  </si>
  <si>
    <t>yskinoue0127@gmail.com</t>
  </si>
  <si>
    <t>Yusuke</t>
  </si>
  <si>
    <t>Inoue</t>
  </si>
  <si>
    <t>+44 7789 411814</t>
  </si>
  <si>
    <t>Zinab</t>
  </si>
  <si>
    <t>Al Ramathany</t>
  </si>
  <si>
    <t>07398634749</t>
  </si>
  <si>
    <t>Shulliclintondavis@gmail.com</t>
  </si>
  <si>
    <t>Shulli</t>
  </si>
  <si>
    <t>Clinton-Davis</t>
  </si>
  <si>
    <t>07884584132</t>
  </si>
  <si>
    <t>u.gaukhar@gmail.com</t>
  </si>
  <si>
    <t>Gaukhar</t>
  </si>
  <si>
    <t>Uskenbayeva</t>
  </si>
  <si>
    <t>07404835441</t>
  </si>
  <si>
    <t>Angelov.Konstantin@gmail.com</t>
  </si>
  <si>
    <t>Konstantin</t>
  </si>
  <si>
    <t>Angelov</t>
  </si>
  <si>
    <t>07772355538</t>
  </si>
  <si>
    <t>kezheneva@gmail.com</t>
  </si>
  <si>
    <t>Zauresh</t>
  </si>
  <si>
    <t>Kezheneva</t>
  </si>
  <si>
    <t>+1 (202) 247-8885</t>
  </si>
  <si>
    <t>liane.pereira123@gmail.com</t>
  </si>
  <si>
    <t>Liane</t>
  </si>
  <si>
    <t xml:space="preserve"> Pereira</t>
  </si>
  <si>
    <t xml:space="preserve"> 07375931281</t>
  </si>
  <si>
    <t>ellangwodo@gmail.com</t>
  </si>
  <si>
    <t>Ella</t>
  </si>
  <si>
    <t>Ngwodo</t>
  </si>
  <si>
    <t>e_squires@hotmail.com</t>
  </si>
  <si>
    <t>Erin</t>
  </si>
  <si>
    <t>Squires</t>
  </si>
  <si>
    <t>pelconsultingwork@gmail.com</t>
  </si>
  <si>
    <t>aaliyahyates1738@gmail.com</t>
  </si>
  <si>
    <t>Aaliyah</t>
  </si>
  <si>
    <t>Yates</t>
  </si>
  <si>
    <t>chiharu.t.i@nifty.com</t>
  </si>
  <si>
    <t>遊介</t>
  </si>
  <si>
    <t>井上</t>
  </si>
  <si>
    <t>dmerrony@btinternet.com</t>
  </si>
  <si>
    <t>Deborah</t>
  </si>
  <si>
    <t>Merrony</t>
  </si>
  <si>
    <t>win_man45@hotmail.com</t>
  </si>
  <si>
    <t>win</t>
  </si>
  <si>
    <t>man</t>
  </si>
  <si>
    <t>akhil1189@gmail.com</t>
  </si>
  <si>
    <t>Akhil</t>
  </si>
  <si>
    <t>Madan</t>
  </si>
  <si>
    <t>annesandesu@yahoo.com</t>
  </si>
  <si>
    <t>Anne</t>
  </si>
  <si>
    <t>Constant</t>
  </si>
  <si>
    <t>karismclarty@hotmail.com</t>
  </si>
  <si>
    <t>Karis</t>
  </si>
  <si>
    <t>Mclarty</t>
  </si>
  <si>
    <t>n87wqqymwb@privaterelay.appleid.com</t>
  </si>
  <si>
    <t>Qinwen</t>
  </si>
  <si>
    <t>Wei</t>
  </si>
  <si>
    <t>haixiangzhu@hotmail.com</t>
  </si>
  <si>
    <t>Chloe</t>
  </si>
  <si>
    <t>Yu</t>
  </si>
  <si>
    <t>priyankagarg2605@gmail.com</t>
  </si>
  <si>
    <t>Priyanka</t>
  </si>
  <si>
    <t>Garg</t>
  </si>
  <si>
    <t>7570152802</t>
  </si>
  <si>
    <t>kaolinokaimana@gmail.com</t>
  </si>
  <si>
    <t>Alison</t>
  </si>
  <si>
    <t>Yasuoka</t>
  </si>
  <si>
    <t>8087987455</t>
  </si>
  <si>
    <t>danieldmello2002@yahoo.com</t>
  </si>
  <si>
    <t>DANIEL</t>
  </si>
  <si>
    <t>DMELLO</t>
  </si>
  <si>
    <t>07774734706</t>
  </si>
  <si>
    <t>visitor-sayan</t>
  </si>
  <si>
    <t>Sayan</t>
  </si>
  <si>
    <t>07570152802</t>
  </si>
  <si>
    <t>visitor-leonie</t>
  </si>
  <si>
    <t>Leonie</t>
  </si>
  <si>
    <t>mcdavze@gmail.com</t>
  </si>
  <si>
    <t>Maria</t>
  </si>
  <si>
    <t>Davila</t>
  </si>
  <si>
    <t>07562289253</t>
  </si>
  <si>
    <t>cuberoaraya@gmail.com</t>
  </si>
  <si>
    <t>Nathalie</t>
  </si>
  <si>
    <t>Cubero</t>
  </si>
  <si>
    <t>07394069188</t>
  </si>
  <si>
    <t>Lesslyt@gmail.com</t>
  </si>
  <si>
    <t>Lessly</t>
  </si>
  <si>
    <t>T</t>
  </si>
  <si>
    <t>chavezliliana@gmail.com</t>
  </si>
  <si>
    <t>Liliana</t>
  </si>
  <si>
    <t>Chavez</t>
  </si>
  <si>
    <t>visitor-jay</t>
  </si>
  <si>
    <t>Jay</t>
  </si>
  <si>
    <t>visitor-jay-sister</t>
  </si>
  <si>
    <t>alisa-no-email</t>
  </si>
  <si>
    <t>Alisa</t>
  </si>
  <si>
    <t>Attendee Status</t>
  </si>
  <si>
    <t>Event Start Date</t>
  </si>
  <si>
    <t>Ticket Quantity</t>
  </si>
  <si>
    <t>Ticket Type</t>
  </si>
  <si>
    <t>Currency</t>
  </si>
  <si>
    <t>Ticket Price</t>
  </si>
  <si>
    <t>Buyer First Name</t>
  </si>
  <si>
    <t>Buyer Last Name</t>
  </si>
  <si>
    <t>Tracking Link</t>
  </si>
  <si>
    <t>Promotion Code</t>
  </si>
  <si>
    <t>Event_ID</t>
  </si>
  <si>
    <t>Event_Name</t>
  </si>
  <si>
    <t>Event_Date</t>
  </si>
  <si>
    <t>Event_Month</t>
  </si>
  <si>
    <t>Source</t>
  </si>
  <si>
    <t>Referral Source</t>
  </si>
  <si>
    <t>3/16/24 7:38 PM</t>
  </si>
  <si>
    <t>Attended</t>
  </si>
  <si>
    <t>Nimi hosts [Art Marathon] Somerset House: Assembly 2024 &amp;amp; Print Fair 23/03</t>
  </si>
  <si>
    <t>3/23/24 3:00 PM</t>
  </si>
  <si>
    <t>Print Fair + Assembly Music at 7pm Combination</t>
  </si>
  <si>
    <t>GBP</t>
  </si>
  <si>
    <t>3/20/24 2:03 PM</t>
  </si>
  <si>
    <t>3/21/24 3:39 PM</t>
  </si>
  <si>
    <t>Dan</t>
  </si>
  <si>
    <t>Print Fair Only</t>
  </si>
  <si>
    <t>3/16/24 2:22 PM</t>
  </si>
  <si>
    <t>3/18/24 4:32 PM</t>
  </si>
  <si>
    <t>3/20/24 2:07 PM</t>
  </si>
  <si>
    <t>3/22/24 3:02 PM</t>
  </si>
  <si>
    <t>3/22/24 9:58 AM</t>
  </si>
  <si>
    <t>olawale</t>
  </si>
  <si>
    <t>okunrinboye</t>
  </si>
  <si>
    <t>3/21/24 8:36 AM</t>
  </si>
  <si>
    <t>3/20/24 1:58 PM</t>
  </si>
  <si>
    <t>3/20/24 2:26 PM</t>
  </si>
  <si>
    <t>3/20/24 7:57 PM</t>
  </si>
  <si>
    <t>Attending</t>
  </si>
  <si>
    <t>Nimi hosts [Creative Session] Life Drawing at Estorick Collection</t>
  </si>
  <si>
    <t>3/25/24 6:30 PM</t>
  </si>
  <si>
    <t>Early Bird</t>
  </si>
  <si>
    <t>3/20/24 5:37 PM</t>
  </si>
  <si>
    <t>3/20/24 5:45 PM</t>
  </si>
  <si>
    <t>3/21/24 2:55 PM</t>
  </si>
  <si>
    <t>Nimi hosts [Hidden Gem] Serpentine Gallery: Refik Anadol</t>
  </si>
  <si>
    <t>3/30/24 4:00 PM</t>
  </si>
  <si>
    <t>3/28/24 12:02 PM</t>
  </si>
  <si>
    <t>General Admission</t>
  </si>
  <si>
    <t>3/29/24 3:53 PM</t>
  </si>
  <si>
    <t>3/29/24 2:12 PM</t>
  </si>
  <si>
    <t>ezgi</t>
  </si>
  <si>
    <t>çakmak</t>
  </si>
  <si>
    <t>çakmak</t>
  </si>
  <si>
    <t>3/29/24 11:00 AM</t>
  </si>
  <si>
    <t>3/28/24 10:19 AM</t>
  </si>
  <si>
    <t>3/28/24 3:03 PM</t>
  </si>
  <si>
    <t>3/28/24 11:04 AM</t>
  </si>
  <si>
    <t>EARLYBIRD</t>
  </si>
  <si>
    <t>3/28/24 1:03 PM</t>
  </si>
  <si>
    <t>3/29/24 2:41 PM</t>
  </si>
  <si>
    <t>3/28/24 7:08 AM</t>
  </si>
  <si>
    <t>3/29/24 12:32 PM</t>
  </si>
  <si>
    <t>3/29/24 3:03 PM</t>
  </si>
  <si>
    <t>3/28/24 3:42 PM</t>
  </si>
  <si>
    <t>Nimi hosts [Hidden Gem] First Thursdays Gallery Stroll in East London</t>
  </si>
  <si>
    <t>4/4/24 6:30 PM</t>
  </si>
  <si>
    <t>OGFTW</t>
  </si>
  <si>
    <t>4/4/24 5:45 AM</t>
  </si>
  <si>
    <t>NIMIFRIENDS</t>
  </si>
  <si>
    <t>3/29/24 9:10 AM</t>
  </si>
  <si>
    <t>Jone</t>
  </si>
  <si>
    <t>4/3/24 4:59 PM</t>
  </si>
  <si>
    <t>eoghan</t>
  </si>
  <si>
    <t>naughton</t>
  </si>
  <si>
    <t>4/2/24 7:19 AM</t>
  </si>
  <si>
    <t>P</t>
  </si>
  <si>
    <t>4/4/24 12:46 PM</t>
  </si>
  <si>
    <t>4/2/24 10:38 AM</t>
  </si>
  <si>
    <t>4/4/24 3:43 AM</t>
  </si>
  <si>
    <t>S</t>
  </si>
  <si>
    <t>4/5/24 2:14 PM</t>
  </si>
  <si>
    <t>Nimi hosts [Hidden Gem] Galleries Stroll in Mayfair</t>
  </si>
  <si>
    <t>4/6/24 2:00 PM</t>
  </si>
  <si>
    <t>ebdsshios</t>
  </si>
  <si>
    <t>3/31/24 8:21 PM</t>
  </si>
  <si>
    <t>oddtdtdirect</t>
  </si>
  <si>
    <t>4/5/24 5:06 AM</t>
  </si>
  <si>
    <t>3/29/24 5:21 PM</t>
  </si>
  <si>
    <t>4/2/24 2:41 PM</t>
  </si>
  <si>
    <t>3/28/24 4:58 AM</t>
  </si>
  <si>
    <t>4/5/24 4:42 AM</t>
  </si>
  <si>
    <t>Joned</t>
  </si>
  <si>
    <t>eand</t>
  </si>
  <si>
    <t>4/5/24 6:37 PM</t>
  </si>
  <si>
    <t>Locals</t>
  </si>
  <si>
    <t>4/4/24 3:15 PM</t>
  </si>
  <si>
    <t>N</t>
  </si>
  <si>
    <t>+17183086607</t>
  </si>
  <si>
    <t>4/5/24 8:35 PM</t>
  </si>
  <si>
    <t>4407923190379</t>
  </si>
  <si>
    <t>4/4/24 8:30 PM</t>
  </si>
  <si>
    <t>4/4/24 10:05 AM</t>
  </si>
  <si>
    <t>odcleoeventsincollection</t>
  </si>
  <si>
    <t>Meetup</t>
  </si>
  <si>
    <t>4/5/24 1:12 PM</t>
  </si>
  <si>
    <t>WhatsApp</t>
  </si>
  <si>
    <t>3/31/24 10:13 AM</t>
  </si>
  <si>
    <t>ebesesdeeplink</t>
  </si>
  <si>
    <t>4/5/24 6:04 AM</t>
  </si>
  <si>
    <t>4/3/24 5:53 PM</t>
  </si>
  <si>
    <t>4/5/24 8:19 AM</t>
  </si>
  <si>
    <t>4/5/24 3:24 PM</t>
  </si>
  <si>
    <t>4/5/24 10:30 AM</t>
  </si>
  <si>
    <t>4/6/24 6:10 AM</t>
  </si>
  <si>
    <t>3/28/24 3:38 PM</t>
  </si>
  <si>
    <t>Nimi hosts [Hidden Gem] Private View at Art Galleries in Central London</t>
  </si>
  <si>
    <t>4/11/24 6:15 PM</t>
  </si>
  <si>
    <t>3/31/24 10:16 AM</t>
  </si>
  <si>
    <t>4/11/24 10:12 AM</t>
  </si>
  <si>
    <t>Blatner</t>
  </si>
  <si>
    <t>4/11/24 10:25 AM</t>
  </si>
  <si>
    <t>4/11/24 5:16 AM</t>
  </si>
  <si>
    <t>oddtdtcreator</t>
  </si>
  <si>
    <t>4/10/24 12:46 PM</t>
  </si>
  <si>
    <t>zinab</t>
  </si>
  <si>
    <t>al ramathany</t>
  </si>
  <si>
    <t>3/28/24 6:42 PM</t>
  </si>
  <si>
    <t>+447557571864</t>
  </si>
  <si>
    <t>Nimi hosts [Hidden Gem] Gallery Stroll in South Kensington</t>
  </si>
  <si>
    <t>4/13/24 1:30 PM</t>
  </si>
  <si>
    <t>4/7/24 8:33 AM</t>
  </si>
  <si>
    <t>4/13/24 5:23 AM</t>
  </si>
  <si>
    <t>4/11/24 7:53 AM</t>
  </si>
  <si>
    <t>7890306975</t>
  </si>
  <si>
    <t>4/12/24 6:08 PM</t>
  </si>
  <si>
    <t>ebesesorganizerprofile</t>
  </si>
  <si>
    <t>4/12/24 3:52 AM</t>
  </si>
  <si>
    <t>4/12/24 2:00 PM</t>
  </si>
  <si>
    <t>4/1/24 3:52 PM</t>
  </si>
  <si>
    <t>7925774705</t>
  </si>
  <si>
    <t>4/13/24 5:38 AM</t>
  </si>
  <si>
    <t>+447824492343</t>
  </si>
  <si>
    <t>4/18/24 6:32 PM</t>
  </si>
  <si>
    <t>4/20/24 1:30PM</t>
  </si>
  <si>
    <t>4/18/24 6:29 PM</t>
  </si>
  <si>
    <t>4/18/24 6:34 PM</t>
  </si>
  <si>
    <t>4/17/24 4:23 PM</t>
  </si>
  <si>
    <t>7183086607</t>
  </si>
  <si>
    <t>4/18/24 12:52 PM</t>
  </si>
  <si>
    <t>4/20/24 4:38 AM</t>
  </si>
  <si>
    <t>ebeseaorganizationprofile</t>
  </si>
  <si>
    <t>4/17/24 12:36 PM</t>
  </si>
  <si>
    <t>4/18/24 8:37 AM</t>
  </si>
  <si>
    <t>4/17/24 7:36 AM</t>
  </si>
  <si>
    <t>4/18/24 6:36 PM</t>
  </si>
  <si>
    <t>4/18/24 6:30 PM</t>
  </si>
  <si>
    <t>3/28/24 3:36 PM</t>
  </si>
  <si>
    <t>Nimi hosts [Blockbuster] Visit Yoko Ono at Tate Modern</t>
  </si>
  <si>
    <t>4/21/24 1:30PM</t>
  </si>
  <si>
    <t>Nimi Fee + Exhibition Ticket</t>
  </si>
  <si>
    <t>4/19/24 6:55 PM</t>
  </si>
  <si>
    <t>4/15/24 8:23 AM</t>
  </si>
  <si>
    <t>ebesessearch</t>
  </si>
  <si>
    <t>THANKYOU</t>
  </si>
  <si>
    <t>4/20/24 10:51 AM</t>
  </si>
  <si>
    <t>Nimi Event Fee</t>
  </si>
  <si>
    <t>4/17/24 9:36 AM</t>
  </si>
  <si>
    <t>T H</t>
  </si>
  <si>
    <t>4/19/24 10:55 AM</t>
  </si>
  <si>
    <t>+447425103954</t>
  </si>
  <si>
    <t>Nimi hosts  [Artist Talk] Unexpected Views at the National Gallery Late</t>
  </si>
  <si>
    <t>4/26/24 6:30 PM</t>
  </si>
  <si>
    <t>4/24/24 7:19 AM</t>
  </si>
  <si>
    <t>Nimi hosts [Hidden Gem] Dreams Have No Titles Exhibition and Tango</t>
  </si>
  <si>
    <t>4/28/24 2:00 PM</t>
  </si>
  <si>
    <t>4/27/24 1:37 PM</t>
  </si>
  <si>
    <t>4/10/24 9:09 AM</t>
  </si>
  <si>
    <t>4/24/24 5:22 AM</t>
  </si>
  <si>
    <t>4/27/24 7:13 PM</t>
  </si>
  <si>
    <t>SHAY</t>
  </si>
  <si>
    <t>4/2/24 2:57 PM</t>
  </si>
  <si>
    <t>ebdssbdestsearch</t>
  </si>
  <si>
    <t>5/1/24 2:53 AM</t>
  </si>
  <si>
    <t>[Hidden Gem] First Thursdays Gallery Stroll in East London</t>
  </si>
  <si>
    <t>5/2/24 6:30 PM</t>
  </si>
  <si>
    <t>5/2/24 12:37 PM</t>
  </si>
  <si>
    <t>5/2/24 11:13 AM</t>
  </si>
  <si>
    <t>5/2/24 6:15 PM</t>
  </si>
  <si>
    <t>5/4/24 7:06 AM</t>
  </si>
  <si>
    <t>00447525006790</t>
  </si>
  <si>
    <t>[Blockbuster] When Forms Come Alive @ Hayward Gallery</t>
  </si>
  <si>
    <t>5/4/24 1:30 PM</t>
  </si>
  <si>
    <t>Whatsapp</t>
  </si>
  <si>
    <t>5/3/24 5:55 PM</t>
  </si>
  <si>
    <t>+447553093894</t>
  </si>
  <si>
    <t>5/3/24 5:36 PM</t>
  </si>
  <si>
    <t>echckt</t>
  </si>
  <si>
    <t>5/2/24 12:53 PM</t>
  </si>
  <si>
    <t>5/3/24 9:38 AM</t>
  </si>
  <si>
    <t>5/4/24 5:49 AM</t>
  </si>
  <si>
    <t>Muñoz</t>
  </si>
  <si>
    <t>7901584632</t>
  </si>
  <si>
    <t>447492693024</t>
  </si>
  <si>
    <t>Hidden Gem Saturday Art Strolls with Nimi</t>
  </si>
  <si>
    <t>05/11/2024  2:00 PM</t>
  </si>
  <si>
    <t>Recurrent Customer</t>
  </si>
  <si>
    <t>Eventbrite</t>
  </si>
  <si>
    <t>+44 7752 083835</t>
  </si>
  <si>
    <t>447366956766</t>
  </si>
  <si>
    <t>447846232630</t>
  </si>
  <si>
    <t>Hidden Gems: Photography Exhibitions Across London</t>
  </si>
  <si>
    <t>05/18/24  2:00 PM</t>
  </si>
  <si>
    <t>05/22/24  6:30 PM</t>
  </si>
  <si>
    <t>Franccesco</t>
  </si>
  <si>
    <t>Locals (Shay)</t>
  </si>
  <si>
    <t>Art, Music and Drinks at Courtauld Late - Featuring Exhibition of Frank Auerbach</t>
  </si>
  <si>
    <t>05/25/24  6:30 PM</t>
  </si>
  <si>
    <t>Referral</t>
  </si>
  <si>
    <t>+44 7476 276978</t>
  </si>
  <si>
    <t>[Hidden Gem] Art Gallery Stroll in Fitzrovia</t>
  </si>
  <si>
    <t>+44 7492 693024</t>
  </si>
  <si>
    <t>M</t>
  </si>
  <si>
    <t>+44 7783 421941</t>
  </si>
  <si>
    <t>07776960365</t>
  </si>
  <si>
    <t>erelexpmlt</t>
  </si>
  <si>
    <t>+44 7846 232630</t>
  </si>
  <si>
    <t>Art Exhibition: Impressionism and Frank Auerbach at Somerset House</t>
  </si>
  <si>
    <t>Art Gallery Preview: Heloisa Hariadne @ Twani</t>
  </si>
  <si>
    <t>Nimi VIP</t>
  </si>
  <si>
    <t>+44 7739 139930</t>
  </si>
  <si>
    <t>+44 7979 647510</t>
  </si>
  <si>
    <t>+44 07707665074</t>
  </si>
  <si>
    <t>+44 7818 313299</t>
  </si>
  <si>
    <t>+44 7875 521439</t>
  </si>
  <si>
    <t>+44 7525 006790</t>
  </si>
  <si>
    <t>+44 7841 262698</t>
  </si>
  <si>
    <t>+44 7817 234925</t>
  </si>
  <si>
    <t>Okolie</t>
  </si>
  <si>
    <t>+44 7488 410909</t>
  </si>
  <si>
    <t>Richard</t>
  </si>
  <si>
    <t>+44 7564 569465</t>
  </si>
  <si>
    <t>+44 7871 606482</t>
  </si>
  <si>
    <t>+44 7925 774705</t>
  </si>
  <si>
    <t>Art Scavenger Hunt in Mayfair @ London Gallery Weekend</t>
  </si>
  <si>
    <t>anishasood26@gmail.com</t>
  </si>
  <si>
    <t>CULTURECOLLECTIVE</t>
  </si>
  <si>
    <t>CC</t>
  </si>
  <si>
    <t>JUAN PABLO</t>
  </si>
  <si>
    <t>DE LA TORRE</t>
  </si>
  <si>
    <t>+44 7717 205862</t>
  </si>
  <si>
    <t>+44 7931 309501</t>
  </si>
  <si>
    <t>Hidden Gems: Art Gallery Stroll in South London (Bermondsey)</t>
  </si>
  <si>
    <t>AV</t>
  </si>
  <si>
    <t>Members’ Night at Tate Britain</t>
  </si>
  <si>
    <t>Nimi Member</t>
  </si>
  <si>
    <t>+44 7557 571864</t>
  </si>
  <si>
    <t>Hidden Gem: Visit William Morris Gallery</t>
  </si>
  <si>
    <t>Hidden Gem: Art, Music and Drinks at Soane Late</t>
  </si>
  <si>
    <t>Museum Ticket + Nimi Fee (£5)</t>
  </si>
  <si>
    <t>+7 919 990-34-82</t>
  </si>
  <si>
    <t>+44 7807 127381</t>
  </si>
  <si>
    <t>Pereira</t>
  </si>
  <si>
    <t>Blockbuster: Sargent &amp;amp; Fashion at Tate Britain - followed by pub drinks</t>
  </si>
  <si>
    <t>Visit the Royal Academy's  Summer Exhibition</t>
  </si>
  <si>
    <t>Exhibition Ticket + Nimi Fee (£5)</t>
  </si>
  <si>
    <t>Sherrin</t>
  </si>
  <si>
    <t>For RA Members (only Nimi Fee)</t>
  </si>
  <si>
    <t>ebdsoporgprofile</t>
  </si>
  <si>
    <t>Budapest</t>
  </si>
  <si>
    <t>BU</t>
  </si>
  <si>
    <t>HU</t>
  </si>
  <si>
    <t>18:30:00</t>
  </si>
  <si>
    <t>Europe/London</t>
  </si>
  <si>
    <t>The Charterhouse</t>
  </si>
  <si>
    <t>1</t>
  </si>
  <si>
    <t/>
  </si>
  <si>
    <t>Ticket + Nimi Fee</t>
  </si>
  <si>
    <t>15.00</t>
  </si>
  <si>
    <t>12150774209</t>
  </si>
  <si>
    <t>12150801939</t>
  </si>
  <si>
    <t>07377163517</t>
  </si>
  <si>
    <t>Islington</t>
  </si>
  <si>
    <t>ISL</t>
  </si>
  <si>
    <t>GB</t>
  </si>
  <si>
    <t>12182982419</t>
  </si>
  <si>
    <t>12241102139</t>
  </si>
  <si>
    <t>12248596759</t>
  </si>
  <si>
    <t>07423246502</t>
  </si>
  <si>
    <t>12249719759</t>
  </si>
  <si>
    <t>Craig</t>
  </si>
  <si>
    <t>nakan</t>
  </si>
  <si>
    <t>mailing1919@protonmail.com</t>
  </si>
  <si>
    <t>Charterhouse</t>
  </si>
  <si>
    <t>Art and Coastal Charm: A Day in Eastbourne with Nimi</t>
  </si>
  <si>
    <t>09:00:00</t>
  </si>
  <si>
    <t>Eastbourne</t>
  </si>
  <si>
    <t>22.00</t>
  </si>
  <si>
    <t>12150766179</t>
  </si>
  <si>
    <t>Fox</t>
  </si>
  <si>
    <t>Hexham</t>
  </si>
  <si>
    <t>NBL</t>
  </si>
  <si>
    <t>12151036549</t>
  </si>
  <si>
    <t>City of Westminster</t>
  </si>
  <si>
    <t>WSM</t>
  </si>
  <si>
    <t>12165730849</t>
  </si>
  <si>
    <t>07548193073</t>
  </si>
  <si>
    <t>Norwich</t>
  </si>
  <si>
    <t>NFK</t>
  </si>
  <si>
    <t>25.00</t>
  </si>
  <si>
    <t>12231790609</t>
  </si>
  <si>
    <t>12261627329</t>
  </si>
  <si>
    <t>Camden</t>
  </si>
  <si>
    <t>CMD</t>
  </si>
  <si>
    <t>17:45:00</t>
  </si>
  <si>
    <t>National Gallery</t>
  </si>
  <si>
    <t>0.00</t>
  </si>
  <si>
    <t>12180716269</t>
  </si>
  <si>
    <t>Cluj-Napoca</t>
  </si>
  <si>
    <t>CJ</t>
  </si>
  <si>
    <t>RO</t>
  </si>
  <si>
    <t>12216382309</t>
  </si>
  <si>
    <t>12216392609</t>
  </si>
  <si>
    <t>12217787309</t>
  </si>
  <si>
    <t>+44 7999 724306</t>
  </si>
  <si>
    <t>12217860439</t>
  </si>
  <si>
    <t>12217881329</t>
  </si>
  <si>
    <t>+44 7884 584132</t>
  </si>
  <si>
    <t>12217903079</t>
  </si>
  <si>
    <t>12218506979</t>
  </si>
  <si>
    <r>
      <t xml:space="preserve">July 11 - </t>
    </r>
    <r>
      <rPr>
        <sz val="11"/>
        <color rgb="FF242424"/>
        <rFont val="Arial"/>
        <family val="2"/>
        <charset val="1"/>
      </rPr>
      <t>Open Garden Evening with Live Jazz at The Charterhouse</t>
    </r>
  </si>
  <si>
    <t>12219408639</t>
  </si>
  <si>
    <t>Honolulu</t>
  </si>
  <si>
    <t>HI</t>
  </si>
  <si>
    <t>US</t>
  </si>
  <si>
    <t>12298233599</t>
  </si>
  <si>
    <t>12298233589</t>
  </si>
  <si>
    <t>12298233579</t>
  </si>
  <si>
    <t>Oxfordshire</t>
  </si>
  <si>
    <t>OXF</t>
  </si>
  <si>
    <t>Nimi Scavenger Hunt at Tate Late</t>
  </si>
  <si>
    <t>18:00:00</t>
  </si>
  <si>
    <t>Tate Modern</t>
  </si>
  <si>
    <t>5.00</t>
  </si>
  <si>
    <t>12358377969</t>
  </si>
  <si>
    <t>12358377959</t>
  </si>
  <si>
    <t>Fulham</t>
  </si>
  <si>
    <t>HMF</t>
  </si>
  <si>
    <t>12358442719</t>
  </si>
  <si>
    <t>Hampstead</t>
  </si>
  <si>
    <t>12358654029</t>
  </si>
  <si>
    <t>12358654049</t>
  </si>
  <si>
    <t>12358654039</t>
  </si>
  <si>
    <t>07301979131</t>
  </si>
  <si>
    <t>Kensington</t>
  </si>
  <si>
    <t>KEC</t>
  </si>
  <si>
    <t>12359576319</t>
  </si>
  <si>
    <t>12359816699</t>
  </si>
  <si>
    <t>Enfield</t>
  </si>
  <si>
    <t>ENF</t>
  </si>
  <si>
    <t>12359735479</t>
  </si>
  <si>
    <t>12359735489</t>
  </si>
  <si>
    <t>Manchester</t>
  </si>
  <si>
    <t>MAN</t>
  </si>
  <si>
    <t>blue121415@yahoo.com</t>
  </si>
  <si>
    <t>12360587699</t>
  </si>
  <si>
    <t>Dartford</t>
  </si>
  <si>
    <t>KEN</t>
  </si>
  <si>
    <t>12363814549</t>
  </si>
  <si>
    <t>12368900609</t>
  </si>
  <si>
    <t>12370308259</t>
  </si>
  <si>
    <t>Northolt</t>
  </si>
  <si>
    <t>EAL</t>
  </si>
  <si>
    <t>12377975339</t>
  </si>
  <si>
    <t>12378350499</t>
  </si>
  <si>
    <t>07984328277</t>
  </si>
  <si>
    <t>London</t>
  </si>
  <si>
    <t>ENG</t>
  </si>
  <si>
    <t>c</t>
  </si>
  <si>
    <t>12391669679</t>
  </si>
  <si>
    <t>Torres</t>
  </si>
  <si>
    <t>Serpentine Gallery &amp; Picnic</t>
  </si>
  <si>
    <t>Jay's Sister</t>
  </si>
  <si>
    <t>Neighborhoods</t>
  </si>
  <si>
    <t>W</t>
  </si>
  <si>
    <t>SE</t>
  </si>
  <si>
    <t>SW</t>
  </si>
  <si>
    <t>NW</t>
  </si>
  <si>
    <t>E</t>
  </si>
  <si>
    <t>Nature</t>
  </si>
  <si>
    <t xml:space="preserve"> </t>
  </si>
  <si>
    <t>No. Visits</t>
  </si>
  <si>
    <t>Guild Member?</t>
  </si>
  <si>
    <t>Current Guilds</t>
  </si>
  <si>
    <t xml:space="preserve">Eligible for new guild </t>
  </si>
  <si>
    <t xml:space="preserve">Event needed for new Guild </t>
  </si>
  <si>
    <t>Sage</t>
  </si>
  <si>
    <t>Guardian</t>
  </si>
  <si>
    <t>No. Recieved</t>
  </si>
  <si>
    <t>Chance for More?</t>
  </si>
  <si>
    <t>How Many</t>
  </si>
  <si>
    <t>Yes</t>
  </si>
  <si>
    <t>Eclecticist, Connector</t>
  </si>
  <si>
    <t>Orchestrator</t>
  </si>
  <si>
    <t>VB, VB</t>
  </si>
  <si>
    <t xml:space="preserve">N, W, W NO, </t>
  </si>
  <si>
    <t>Yes - Sage (VB), Guardian (W)</t>
  </si>
  <si>
    <t xml:space="preserve">One for each </t>
  </si>
  <si>
    <t>No</t>
  </si>
  <si>
    <t>W, NO</t>
  </si>
  <si>
    <t xml:space="preserve">Eclecticist </t>
  </si>
  <si>
    <t>One more neighbourhood for Eclecticist</t>
  </si>
  <si>
    <t>Eclecticist,  Maker</t>
  </si>
  <si>
    <t xml:space="preserve">VB, F, VB, </t>
  </si>
  <si>
    <t>N, N, NO, NO</t>
  </si>
  <si>
    <t>Yes - Sage (VB), Guardian (N) (NO)</t>
  </si>
  <si>
    <t>One for each</t>
  </si>
  <si>
    <t>Eclecticist</t>
  </si>
  <si>
    <t>N, W</t>
  </si>
  <si>
    <t>One more friend for Connector</t>
  </si>
  <si>
    <t>2 more Exhibitions for Eclecticist</t>
  </si>
  <si>
    <t>VB</t>
  </si>
  <si>
    <t>W, NO, NO, N</t>
  </si>
  <si>
    <t>Yes - Guardian (NO)</t>
  </si>
  <si>
    <t>One more Exhibition  or one more neighbourhood needed for Eclecticist</t>
  </si>
  <si>
    <t xml:space="preserve">N, W, </t>
  </si>
  <si>
    <t>N, N, NO,</t>
  </si>
  <si>
    <t xml:space="preserve">Yes - Guardian (N) </t>
  </si>
  <si>
    <t xml:space="preserve">W, NO, N </t>
  </si>
  <si>
    <t xml:space="preserve">NO </t>
  </si>
  <si>
    <t xml:space="preserve">W, NO, </t>
  </si>
  <si>
    <t xml:space="preserve">NO, NO, W </t>
  </si>
  <si>
    <t>W, NO, NO</t>
  </si>
  <si>
    <t>F, VB</t>
  </si>
  <si>
    <t>N, NO</t>
  </si>
  <si>
    <t>N, W, NO NO, N, NO</t>
  </si>
  <si>
    <t>1 Person completed a Journey</t>
  </si>
  <si>
    <t>7 People eligible for a Journey with one more event needed</t>
  </si>
  <si>
    <t>These people need either Sage VB, Guardian N or Guardian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</si>
</sst>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-mm\-dd;@"/>
    <numFmt numFmtId="165" formatCode="0.0"/>
    <numFmt numFmtId="166" formatCode="dd/mm/yy;@"/>
    <numFmt numFmtId="167" formatCode="[$-409]mmmm\ d\,\ yyyy;@"/>
    <numFmt numFmtId="168" formatCode="0.000"/>
  </numFmts>
  <fonts count="26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0" tint="-0.34998626667073579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sz val="12"/>
      <color rgb="FF000000"/>
      <name val="Aptos Narrow"/>
      <family val="2"/>
      <charset val="1"/>
    </font>
    <font>
      <sz val="11"/>
      <color rgb="FF000000"/>
      <name val="Calibri"/>
      <family val="2"/>
    </font>
    <font>
      <sz val="9"/>
      <color rgb="FF000000"/>
      <name val="Aptos Narrow"/>
    </font>
    <font>
      <sz val="12"/>
      <color theme="0" tint="-0.249977111117893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1"/>
      <color rgb="FF000000"/>
      <name val="Calibri"/>
      <family val="2"/>
      <charset val="1"/>
    </font>
    <font>
      <sz val="12"/>
      <color rgb="FF000000"/>
      <name val="Aptos Narrow"/>
    </font>
    <font>
      <b/>
      <sz val="18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2"/>
      <color rgb="FF000000"/>
      <name val="Aptos Narrow"/>
      <scheme val="minor"/>
    </font>
    <font>
      <sz val="12"/>
      <color theme="1"/>
      <name val="Aptos Narrow"/>
    </font>
    <font>
      <sz val="11"/>
      <color rgb="FF242424"/>
      <name val="Arial"/>
      <family val="2"/>
      <charset val="1"/>
    </font>
    <font>
      <sz val="11"/>
      <color rgb="FF000000"/>
      <name val="Arial"/>
      <family val="2"/>
      <charset val="1"/>
    </font>
    <font>
      <b/>
      <sz val="12"/>
      <color rgb="FF000000"/>
      <name val="Aptos Narrow"/>
    </font>
    <font>
      <sz val="12"/>
      <color rgb="FF000000"/>
      <name val="Aptos Narrow"/>
      <family val="2"/>
    </font>
  </fonts>
  <fills count="2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0D1D1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1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" fontId="0" fillId="0" borderId="0" xfId="0" applyNumberFormat="1"/>
    <xf numFmtId="0" fontId="0" fillId="3" borderId="0" xfId="0" applyFill="1"/>
    <xf numFmtId="0" fontId="1" fillId="0" borderId="0" xfId="0" applyFont="1"/>
    <xf numFmtId="1" fontId="1" fillId="0" borderId="0" xfId="0" applyNumberFormat="1" applyFont="1"/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center"/>
    </xf>
    <xf numFmtId="0" fontId="3" fillId="0" borderId="0" xfId="1"/>
    <xf numFmtId="0" fontId="0" fillId="5" borderId="0" xfId="0" applyFill="1"/>
    <xf numFmtId="0" fontId="0" fillId="6" borderId="0" xfId="0" applyFill="1"/>
    <xf numFmtId="0" fontId="0" fillId="7" borderId="0" xfId="0" applyFill="1"/>
    <xf numFmtId="165" fontId="0" fillId="0" borderId="0" xfId="0" applyNumberFormat="1"/>
    <xf numFmtId="0" fontId="0" fillId="0" borderId="0" xfId="0" applyAlignment="1">
      <alignment horizontal="right"/>
    </xf>
    <xf numFmtId="49" fontId="0" fillId="3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0" fillId="8" borderId="1" xfId="0" applyFill="1" applyBorder="1"/>
    <xf numFmtId="0" fontId="4" fillId="2" borderId="1" xfId="0" applyFont="1" applyFill="1" applyBorder="1"/>
    <xf numFmtId="14" fontId="4" fillId="2" borderId="1" xfId="0" applyNumberFormat="1" applyFont="1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6" fillId="8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0" fontId="5" fillId="8" borderId="1" xfId="0" applyFont="1" applyFill="1" applyBorder="1" applyAlignment="1">
      <alignment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 wrapText="1"/>
    </xf>
    <xf numFmtId="0" fontId="0" fillId="8" borderId="0" xfId="0" applyFill="1" applyAlignment="1">
      <alignment horizontal="center"/>
    </xf>
    <xf numFmtId="0" fontId="0" fillId="12" borderId="0" xfId="0" applyFill="1" applyAlignment="1">
      <alignment vertical="center" wrapText="1"/>
    </xf>
    <xf numFmtId="0" fontId="0" fillId="12" borderId="0" xfId="0" applyFill="1"/>
    <xf numFmtId="0" fontId="8" fillId="13" borderId="0" xfId="0" applyFont="1" applyFill="1" applyAlignment="1">
      <alignment horizontal="center" vertical="center"/>
    </xf>
    <xf numFmtId="0" fontId="5" fillId="8" borderId="4" xfId="0" applyFont="1" applyFill="1" applyBorder="1" applyAlignment="1">
      <alignment vertical="center" wrapText="1"/>
    </xf>
    <xf numFmtId="0" fontId="0" fillId="8" borderId="4" xfId="0" applyFill="1" applyBorder="1"/>
    <xf numFmtId="14" fontId="0" fillId="8" borderId="1" xfId="0" applyNumberFormat="1" applyFill="1" applyBorder="1"/>
    <xf numFmtId="0" fontId="4" fillId="14" borderId="1" xfId="0" applyFon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8" fillId="10" borderId="4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5" fillId="8" borderId="1" xfId="0" applyFont="1" applyFill="1" applyBorder="1"/>
    <xf numFmtId="14" fontId="5" fillId="8" borderId="1" xfId="0" applyNumberFormat="1" applyFont="1" applyFill="1" applyBorder="1"/>
    <xf numFmtId="0" fontId="5" fillId="8" borderId="1" xfId="0" applyFont="1" applyFill="1" applyBorder="1" applyAlignment="1">
      <alignment horizontal="center" wrapText="1"/>
    </xf>
    <xf numFmtId="0" fontId="5" fillId="14" borderId="1" xfId="0" applyFont="1" applyFill="1" applyBorder="1" applyAlignment="1">
      <alignment horizontal="center" wrapText="1"/>
    </xf>
    <xf numFmtId="166" fontId="5" fillId="0" borderId="0" xfId="0" applyNumberFormat="1" applyFont="1"/>
    <xf numFmtId="166" fontId="0" fillId="0" borderId="0" xfId="0" applyNumberFormat="1"/>
    <xf numFmtId="0" fontId="0" fillId="8" borderId="1" xfId="0" applyFill="1" applyBorder="1" applyAlignment="1">
      <alignment wrapText="1"/>
    </xf>
    <xf numFmtId="0" fontId="0" fillId="8" borderId="0" xfId="0" applyFill="1" applyAlignment="1">
      <alignment horizontal="center" wrapText="1"/>
    </xf>
    <xf numFmtId="0" fontId="5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6" fillId="8" borderId="1" xfId="0" applyFont="1" applyFill="1" applyBorder="1" applyAlignment="1">
      <alignment horizontal="center" wrapText="1"/>
    </xf>
    <xf numFmtId="0" fontId="0" fillId="15" borderId="0" xfId="0" applyFill="1" applyAlignment="1">
      <alignment vertical="center" wrapText="1"/>
    </xf>
    <xf numFmtId="0" fontId="0" fillId="15" borderId="0" xfId="0" applyFill="1" applyAlignment="1">
      <alignment horizontal="left"/>
    </xf>
    <xf numFmtId="0" fontId="0" fillId="15" borderId="0" xfId="0" applyFill="1"/>
    <xf numFmtId="0" fontId="8" fillId="16" borderId="0" xfId="0" applyFont="1" applyFill="1" applyAlignment="1">
      <alignment horizontal="center" vertical="center"/>
    </xf>
    <xf numFmtId="49" fontId="0" fillId="0" borderId="0" xfId="0" applyNumberFormat="1"/>
    <xf numFmtId="0" fontId="8" fillId="10" borderId="2" xfId="0" applyFont="1" applyFill="1" applyBorder="1" applyAlignment="1">
      <alignment horizontal="center" vertical="center"/>
    </xf>
    <xf numFmtId="1" fontId="12" fillId="0" borderId="0" xfId="0" applyNumberFormat="1" applyFont="1"/>
    <xf numFmtId="0" fontId="12" fillId="0" borderId="0" xfId="0" applyFont="1"/>
    <xf numFmtId="166" fontId="12" fillId="0" borderId="0" xfId="0" applyNumberFormat="1" applyFont="1"/>
    <xf numFmtId="14" fontId="12" fillId="0" borderId="0" xfId="0" applyNumberFormat="1" applyFont="1" applyAlignment="1">
      <alignment horizontal="center"/>
    </xf>
    <xf numFmtId="0" fontId="13" fillId="0" borderId="0" xfId="0" applyFont="1"/>
    <xf numFmtId="164" fontId="0" fillId="0" borderId="0" xfId="0" applyNumberFormat="1" applyAlignment="1">
      <alignment horizontal="left"/>
    </xf>
    <xf numFmtId="0" fontId="5" fillId="8" borderId="0" xfId="0" applyFont="1" applyFill="1"/>
    <xf numFmtId="164" fontId="0" fillId="8" borderId="0" xfId="0" applyNumberFormat="1" applyFill="1"/>
    <xf numFmtId="0" fontId="14" fillId="3" borderId="6" xfId="0" applyFont="1" applyFill="1" applyBorder="1"/>
    <xf numFmtId="0" fontId="15" fillId="3" borderId="6" xfId="0" applyFont="1" applyFill="1" applyBorder="1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left" vertical="center"/>
    </xf>
    <xf numFmtId="0" fontId="12" fillId="0" borderId="0" xfId="0" applyFont="1" applyAlignment="1">
      <alignment horizontal="center"/>
    </xf>
    <xf numFmtId="0" fontId="16" fillId="8" borderId="0" xfId="0" applyFont="1" applyFill="1" applyAlignment="1">
      <alignment wrapText="1"/>
    </xf>
    <xf numFmtId="1" fontId="6" fillId="0" borderId="0" xfId="0" applyNumberFormat="1" applyFont="1"/>
    <xf numFmtId="0" fontId="6" fillId="0" borderId="0" xfId="0" applyFont="1"/>
    <xf numFmtId="166" fontId="6" fillId="0" borderId="0" xfId="0" applyNumberFormat="1" applyFont="1"/>
    <xf numFmtId="14" fontId="6" fillId="0" borderId="0" xfId="0" applyNumberFormat="1" applyFont="1" applyAlignment="1">
      <alignment horizontal="center" wrapText="1"/>
    </xf>
    <xf numFmtId="0" fontId="0" fillId="0" borderId="1" xfId="0" applyBorder="1"/>
    <xf numFmtId="0" fontId="0" fillId="8" borderId="0" xfId="0" applyFill="1"/>
    <xf numFmtId="0" fontId="8" fillId="10" borderId="3" xfId="0" applyFont="1" applyFill="1" applyBorder="1" applyAlignment="1">
      <alignment horizontal="center" vertical="center"/>
    </xf>
    <xf numFmtId="0" fontId="6" fillId="8" borderId="0" xfId="0" applyFont="1" applyFill="1" applyAlignment="1">
      <alignment wrapText="1"/>
    </xf>
    <xf numFmtId="168" fontId="0" fillId="0" borderId="0" xfId="0" applyNumberFormat="1"/>
    <xf numFmtId="0" fontId="17" fillId="0" borderId="0" xfId="0" applyFont="1" applyAlignment="1">
      <alignment horizontal="left"/>
    </xf>
    <xf numFmtId="0" fontId="0" fillId="0" borderId="7" xfId="0" applyBorder="1"/>
    <xf numFmtId="0" fontId="18" fillId="17" borderId="0" xfId="0" applyFont="1" applyFill="1"/>
    <xf numFmtId="0" fontId="18" fillId="17" borderId="7" xfId="0" applyFont="1" applyFill="1" applyBorder="1"/>
    <xf numFmtId="0" fontId="5" fillId="8" borderId="7" xfId="0" applyFont="1" applyFill="1" applyBorder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8" xfId="0" applyBorder="1" applyAlignment="1">
      <alignment horizontal="center"/>
    </xf>
    <xf numFmtId="0" fontId="5" fillId="0" borderId="8" xfId="0" applyFont="1" applyBorder="1" applyAlignment="1">
      <alignment horizontal="center" wrapText="1"/>
    </xf>
    <xf numFmtId="0" fontId="0" fillId="0" borderId="9" xfId="0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5" fillId="0" borderId="10" xfId="0" applyFont="1" applyBorder="1" applyAlignment="1">
      <alignment horizontal="center" wrapText="1"/>
    </xf>
    <xf numFmtId="0" fontId="5" fillId="2" borderId="10" xfId="0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4" fontId="5" fillId="0" borderId="0" xfId="0" applyNumberFormat="1" applyFont="1" applyAlignment="1">
      <alignment horizontal="center" wrapText="1"/>
    </xf>
    <xf numFmtId="0" fontId="0" fillId="18" borderId="0" xfId="0" applyFill="1"/>
    <xf numFmtId="0" fontId="0" fillId="19" borderId="0" xfId="0" applyFill="1"/>
    <xf numFmtId="0" fontId="20" fillId="0" borderId="0" xfId="0" applyFont="1"/>
    <xf numFmtId="0" fontId="21" fillId="0" borderId="12" xfId="0" applyFont="1" applyBorder="1" applyAlignment="1">
      <alignment readingOrder="1"/>
    </xf>
    <xf numFmtId="0" fontId="21" fillId="0" borderId="13" xfId="0" applyFont="1" applyBorder="1" applyAlignment="1">
      <alignment readingOrder="1"/>
    </xf>
    <xf numFmtId="0" fontId="21" fillId="0" borderId="11" xfId="0" applyFont="1" applyBorder="1" applyAlignment="1">
      <alignment readingOrder="1"/>
    </xf>
    <xf numFmtId="0" fontId="21" fillId="0" borderId="0" xfId="0" applyFont="1" applyAlignment="1">
      <alignment readingOrder="1"/>
    </xf>
    <xf numFmtId="0" fontId="24" fillId="0" borderId="0" xfId="0" applyFont="1" applyAlignment="1">
      <alignment readingOrder="1"/>
    </xf>
    <xf numFmtId="0" fontId="25" fillId="0" borderId="0" xfId="0" applyFont="1"/>
    <xf numFmtId="0" fontId="15" fillId="3" borderId="6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3" borderId="0" xfId="0" applyFill="1" applyAlignment="1">
      <alignment vertical="center"/>
    </xf>
    <xf numFmtId="0" fontId="0" fillId="8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8" borderId="5" xfId="0" applyFill="1" applyBorder="1"/>
    <xf numFmtId="167" fontId="0" fillId="8" borderId="5" xfId="0" applyNumberFormat="1" applyFill="1" applyBorder="1"/>
    <xf numFmtId="49" fontId="0" fillId="0" borderId="0" xfId="0" applyNumberFormat="1" applyAlignment="1">
      <alignment vertical="center"/>
    </xf>
    <xf numFmtId="1" fontId="0" fillId="8" borderId="5" xfId="0" applyNumberFormat="1" applyFill="1" applyBorder="1"/>
    <xf numFmtId="0" fontId="9" fillId="0" borderId="0" xfId="0" applyFont="1"/>
    <xf numFmtId="0" fontId="3" fillId="8" borderId="0" xfId="1" applyFill="1" applyAlignment="1"/>
    <xf numFmtId="0" fontId="3" fillId="0" borderId="0" xfId="1" applyAlignment="1"/>
    <xf numFmtId="22" fontId="10" fillId="0" borderId="0" xfId="0" applyNumberFormat="1" applyFont="1"/>
    <xf numFmtId="0" fontId="10" fillId="0" borderId="0" xfId="0" applyFont="1"/>
    <xf numFmtId="0" fontId="10" fillId="8" borderId="0" xfId="0" applyFont="1" applyFill="1"/>
    <xf numFmtId="49" fontId="10" fillId="0" borderId="0" xfId="0" quotePrefix="1" applyNumberFormat="1" applyFont="1"/>
    <xf numFmtId="49" fontId="11" fillId="0" borderId="0" xfId="0" applyNumberFormat="1" applyFont="1"/>
    <xf numFmtId="49" fontId="10" fillId="0" borderId="0" xfId="0" applyNumberFormat="1" applyFont="1"/>
    <xf numFmtId="0" fontId="6" fillId="0" borderId="0" xfId="0" applyFont="1" applyAlignment="1">
      <alignment wrapText="1"/>
    </xf>
    <xf numFmtId="22" fontId="9" fillId="0" borderId="0" xfId="0" applyNumberFormat="1" applyFont="1"/>
    <xf numFmtId="0" fontId="9" fillId="8" borderId="0" xfId="0" applyFont="1" applyFill="1"/>
    <xf numFmtId="11" fontId="9" fillId="0" borderId="0" xfId="0" applyNumberFormat="1" applyFont="1"/>
    <xf numFmtId="0" fontId="9" fillId="0" borderId="0" xfId="0" quotePrefix="1" applyFont="1"/>
    <xf numFmtId="22" fontId="16" fillId="0" borderId="0" xfId="0" applyNumberFormat="1" applyFont="1"/>
    <xf numFmtId="0" fontId="16" fillId="0" borderId="0" xfId="0" applyFont="1"/>
    <xf numFmtId="0" fontId="16" fillId="8" borderId="0" xfId="0" applyFont="1" applyFill="1"/>
    <xf numFmtId="0" fontId="16" fillId="0" borderId="0" xfId="0" quotePrefix="1" applyFont="1"/>
    <xf numFmtId="0" fontId="10" fillId="0" borderId="0" xfId="0" quotePrefix="1" applyFont="1"/>
    <xf numFmtId="11" fontId="10" fillId="0" borderId="0" xfId="0" applyNumberFormat="1" applyFont="1"/>
    <xf numFmtId="0" fontId="3" fillId="8" borderId="0" xfId="1" applyFill="1" applyAlignment="1">
      <alignment vertical="center"/>
    </xf>
    <xf numFmtId="0" fontId="3" fillId="0" borderId="0" xfId="1" applyAlignment="1">
      <alignment vertical="center"/>
    </xf>
    <xf numFmtId="0" fontId="0" fillId="0" borderId="5" xfId="0" applyBorder="1"/>
    <xf numFmtId="0" fontId="23" fillId="0" borderId="5" xfId="0" applyFont="1" applyBorder="1"/>
    <xf numFmtId="0" fontId="6" fillId="8" borderId="0" xfId="0" applyFont="1" applyFill="1" applyAlignment="1">
      <alignment horizontal="center"/>
    </xf>
    <xf numFmtId="14" fontId="0" fillId="0" borderId="0" xfId="0" applyNumberFormat="1" applyAlignment="1">
      <alignment vertical="center"/>
    </xf>
    <xf numFmtId="0" fontId="17" fillId="0" borderId="0" xfId="0" applyFont="1"/>
    <xf numFmtId="0" fontId="8" fillId="11" borderId="2" xfId="0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center"/>
    </xf>
    <xf numFmtId="0" fontId="8" fillId="11" borderId="4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horizontal="center" vertical="center"/>
    </xf>
    <xf numFmtId="0" fontId="8" fillId="10" borderId="4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/>
    </xf>
    <xf numFmtId="0" fontId="8" fillId="10" borderId="3" xfId="0" applyFont="1" applyFill="1" applyBorder="1" applyAlignment="1">
      <alignment horizontal="center"/>
    </xf>
    <xf numFmtId="0" fontId="8" fillId="10" borderId="4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19" fillId="3" borderId="8" xfId="0" applyFont="1" applyFill="1" applyBorder="1" applyAlignment="1">
      <alignment horizontal="center"/>
    </xf>
    <xf numFmtId="0" fontId="19" fillId="3" borderId="0" xfId="0" applyFont="1" applyFill="1" applyAlignment="1">
      <alignment horizontal="center"/>
    </xf>
    <xf numFmtId="0" fontId="19" fillId="3" borderId="9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3">
    <dxf>
      <font>
        <color theme="1"/>
      </font>
      <fill>
        <patternFill patternType="solid">
          <bgColor theme="5" tint="0.79998168889431442"/>
        </patternFill>
      </fill>
    </dxf>
    <dxf>
      <font>
        <color theme="1"/>
      </font>
      <fill>
        <patternFill patternType="solid">
          <bgColor theme="9" tint="0.79998168889431442"/>
        </patternFill>
      </fill>
    </dxf>
    <dxf>
      <font>
        <color theme="1"/>
      </font>
      <fill>
        <patternFill patternType="solid">
          <bgColor theme="5" tint="0.79998168889431442"/>
        </patternFill>
      </fill>
    </dxf>
  </dxfs>
  <tableStyles count="0" defaultTableStyle="TableStyleMedium2" defaultPivotStyle="PivotStyleLight16"/>
  <colors>
    <mruColors>
      <color rgb="FFF0D1D1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06/relationships/rdRichValue" Target="richData/rdrichvalu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dRichValueTypes" Target="richData/rdRichValueTypes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Structure" Target="richData/rdrichvaluestructure.xml"/></Relationships>
</file>

<file path=xl/documenttasks/documenttask1.xml><?xml version="1.0" encoding="utf-8"?>
<Tasks xmlns="http://schemas.microsoft.com/office/tasks/2019/documenttasks">
  <Task id="{74CC0C4D-1A55-1F44-8BFA-7F76A6A4CE4D}">
    <Anchor>
      <Comment id="{E79DE493-36EC-9B43-9DCF-330A935160BF}"/>
    </Anchor>
    <History>
      <Event time="2024-04-15T12:25:02.24" id="{558CF7E8-2B49-8C43-ABAA-E1B373DC732A}">
        <Attribution userId="S::ana@nimi.live::b0d0c2cd-b15d-403c-bc4f-a877ffcaa6ca" userName="Ana Vasques" userProvider="AD"/>
        <Anchor>
          <Comment id="{E79DE493-36EC-9B43-9DCF-330A935160BF}"/>
        </Anchor>
        <Create/>
      </Event>
      <Event time="2024-04-15T12:25:02.24" id="{E876B314-3046-5748-87F5-35D527A0C94A}">
        <Attribution userId="S::ana@nimi.live::b0d0c2cd-b15d-403c-bc4f-a877ffcaa6ca" userName="Ana Vasques" userProvider="AD"/>
        <Anchor>
          <Comment id="{E79DE493-36EC-9B43-9DCF-330A935160BF}"/>
        </Anchor>
        <Assign userId="S::anh@nimi.live::02fdda22-93f4-4fc9-98f1-3f4d490a7646" userName="Anh Nguyen" userProvider="AD"/>
      </Event>
      <Event time="2024-04-15T12:25:02.24" id="{CC062CC6-1FDD-5B45-96D8-32E9227FF783}">
        <Attribution userId="S::ana@nimi.live::b0d0c2cd-b15d-403c-bc4f-a877ffcaa6ca" userName="Ana Vasques" userProvider="AD"/>
        <Anchor>
          <Comment id="{E79DE493-36EC-9B43-9DCF-330A935160BF}"/>
        </Anchor>
        <SetTitle title="@Anh Nguyen apparently we didn’t sign anyone in on eventbrite on this last event. Can you confirm if everyone attended the event so I can update the list?"/>
      </Event>
      <Event time="2024-04-15T12:25:07.13" id="{2C21015F-3A54-0545-A996-F8FCB0848079}">
        <Attribution userId="S::ana@nimi.live::b0d0c2cd-b15d-403c-bc4f-a877ffcaa6ca" userName="Ana Vasques" userProvider="AD"/>
        <Progress percentComplete="100"/>
      </Event>
      <Event time="2024-04-15T12:25:11.14" id="{CA678A2E-E52C-6547-B90F-F6C0AF885A65}">
        <Attribution userId="S::ana@nimi.live::b0d0c2cd-b15d-403c-bc4f-a877ffcaa6ca" userName="Ana Vasques" userProvider="AD"/>
        <Progress percentComplete="0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Anh Nguyen" id="{33147329-19C4-114A-87E9-686858BCF773}" userId="anh@nimi.live" providerId="PeoplePicker"/>
  <person displayName="Ana Vasques" id="{D055E2D8-6AEA-EA4B-B3FC-C1F46DA06075}" userId="S::ana@nimi.live::b0d0c2cd-b15d-403c-bc4f-a877ffcaa6ca" providerId="AD"/>
  <person displayName="Guest User" id="{A0515248-B460-416F-9EA5-10881E08FE50}" userId="S::urn:spo:anon#c8c4c5ef9790b81b6e5aa6ff7c387c30ec296c189762f40cc1e24220ecd77e33::" providerId="AD"/>
</personList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3" dT="2024-06-21T21:28:12.47" personId="{A0515248-B460-416F-9EA5-10881E08FE50}" id="{B6B26739-B63C-4726-9D23-8D9B2DDE42E0}">
    <text>I assume the number of visits x Avg. attendees per visit / Avg. number of events per member in the last 3 months (assumed to be 2).
This is a cheat way to ballpark # of unique friends.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67" dT="2024-04-15T12:25:02.33" personId="{D055E2D8-6AEA-EA4B-B3FC-C1F46DA06075}" id="{E79DE493-36EC-9B43-9DCF-330A935160BF}">
    <text>@Anh Nguyen apparently we didn’t sign anyone in on eventbrite on this last event. Can you confirm if everyone attended the event so I can update the list?</text>
    <mentions>
      <mention mentionpersonId="{33147329-19C4-114A-87E9-686858BCF773}" mentionId="{4B8F6767-222F-A646-AE44-5AD8E1F1C56B}" startIndex="0" length="11"/>
    </mentions>
  </threadedComment>
</ThreadedComment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oberthchapman@hot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sabinahaytbaeva@gmail.com" TargetMode="External"/><Relationship Id="rId13" Type="http://schemas.openxmlformats.org/officeDocument/2006/relationships/hyperlink" Target="mailto:Richard_segal@yahoo.com" TargetMode="External"/><Relationship Id="rId18" Type="http://schemas.openxmlformats.org/officeDocument/2006/relationships/hyperlink" Target="mailto:kezheneva@gmail.com" TargetMode="External"/><Relationship Id="rId3" Type="http://schemas.openxmlformats.org/officeDocument/2006/relationships/hyperlink" Target="mailto:Anishasood26@gmail.com" TargetMode="External"/><Relationship Id="rId21" Type="http://schemas.openxmlformats.org/officeDocument/2006/relationships/hyperlink" Target="mailto:e_squires@hotmail.com" TargetMode="External"/><Relationship Id="rId7" Type="http://schemas.openxmlformats.org/officeDocument/2006/relationships/hyperlink" Target="mailto:ejike.onuchukwu@gmail.com" TargetMode="External"/><Relationship Id="rId12" Type="http://schemas.openxmlformats.org/officeDocument/2006/relationships/hyperlink" Target="mailto:imanbudget@yahoo.co.uk" TargetMode="External"/><Relationship Id="rId17" Type="http://schemas.openxmlformats.org/officeDocument/2006/relationships/hyperlink" Target="mailto:Angelov.Konstantin@gmail.com" TargetMode="External"/><Relationship Id="rId2" Type="http://schemas.openxmlformats.org/officeDocument/2006/relationships/hyperlink" Target="mailto:scottrgilbert@hotmail.com" TargetMode="External"/><Relationship Id="rId16" Type="http://schemas.openxmlformats.org/officeDocument/2006/relationships/hyperlink" Target="mailto:u.gaukhar@gmail.com" TargetMode="External"/><Relationship Id="rId20" Type="http://schemas.openxmlformats.org/officeDocument/2006/relationships/hyperlink" Target="mailto:ellangwodo@gmail.com" TargetMode="External"/><Relationship Id="rId1" Type="http://schemas.openxmlformats.org/officeDocument/2006/relationships/hyperlink" Target="mailto:mm.manolova@yahoo.com" TargetMode="External"/><Relationship Id="rId6" Type="http://schemas.openxmlformats.org/officeDocument/2006/relationships/hyperlink" Target="mailto:Nataliokolie@gmail.com" TargetMode="External"/><Relationship Id="rId11" Type="http://schemas.openxmlformats.org/officeDocument/2006/relationships/hyperlink" Target="mailto:camilla@sphero.network" TargetMode="External"/><Relationship Id="rId24" Type="http://schemas.openxmlformats.org/officeDocument/2006/relationships/hyperlink" Target="mailto:susandjackson01@gmail.com" TargetMode="External"/><Relationship Id="rId5" Type="http://schemas.openxmlformats.org/officeDocument/2006/relationships/hyperlink" Target="mailto:wil_akanno@hotmail.com" TargetMode="External"/><Relationship Id="rId15" Type="http://schemas.openxmlformats.org/officeDocument/2006/relationships/hyperlink" Target="mailto:Shulliclintondavis@gmail.com" TargetMode="External"/><Relationship Id="rId23" Type="http://schemas.openxmlformats.org/officeDocument/2006/relationships/hyperlink" Target="mailto:pelconsultingwork@gmail.com" TargetMode="External"/><Relationship Id="rId10" Type="http://schemas.openxmlformats.org/officeDocument/2006/relationships/hyperlink" Target="mailto:alina.flatscher@gmail.com" TargetMode="External"/><Relationship Id="rId19" Type="http://schemas.openxmlformats.org/officeDocument/2006/relationships/hyperlink" Target="mailto:liane.pereira123@gmail.com" TargetMode="External"/><Relationship Id="rId4" Type="http://schemas.openxmlformats.org/officeDocument/2006/relationships/hyperlink" Target="mailto:C.Emily.white@gmail.com" TargetMode="External"/><Relationship Id="rId9" Type="http://schemas.openxmlformats.org/officeDocument/2006/relationships/hyperlink" Target="mailto:david.flatscher@gmail.com" TargetMode="External"/><Relationship Id="rId14" Type="http://schemas.openxmlformats.org/officeDocument/2006/relationships/hyperlink" Target="mailto:Corneliu.civig@gmail.com" TargetMode="External"/><Relationship Id="rId22" Type="http://schemas.openxmlformats.org/officeDocument/2006/relationships/hyperlink" Target="mailto:aaliyahyates1738@gmail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chavezliliana@gmail.com" TargetMode="External"/><Relationship Id="rId13" Type="http://schemas.openxmlformats.org/officeDocument/2006/relationships/hyperlink" Target="mailto:susandjackson01@gmail.com" TargetMode="External"/><Relationship Id="rId18" Type="http://schemas.microsoft.com/office/2019/04/relationships/documenttask" Target="../documenttasks/documenttask1.xml"/><Relationship Id="rId3" Type="http://schemas.openxmlformats.org/officeDocument/2006/relationships/hyperlink" Target="mailto:blattnerj@gmail.com" TargetMode="External"/><Relationship Id="rId7" Type="http://schemas.openxmlformats.org/officeDocument/2006/relationships/hyperlink" Target="mailto:Lesslyt@gmail.com" TargetMode="External"/><Relationship Id="rId12" Type="http://schemas.openxmlformats.org/officeDocument/2006/relationships/hyperlink" Target="mailto:yskinoue0127@gmail.com" TargetMode="External"/><Relationship Id="rId17" Type="http://schemas.microsoft.com/office/2017/10/relationships/threadedComment" Target="../threadedComments/threadedComment2.xml"/><Relationship Id="rId2" Type="http://schemas.openxmlformats.org/officeDocument/2006/relationships/hyperlink" Target="mailto:teodor.rd27@gmail.com" TargetMode="External"/><Relationship Id="rId16" Type="http://schemas.openxmlformats.org/officeDocument/2006/relationships/comments" Target="../comments2.xml"/><Relationship Id="rId1" Type="http://schemas.openxmlformats.org/officeDocument/2006/relationships/hyperlink" Target="mailto:blattnerj@gmail.com" TargetMode="External"/><Relationship Id="rId6" Type="http://schemas.openxmlformats.org/officeDocument/2006/relationships/hyperlink" Target="mailto:celia.sattamino@gmail.com" TargetMode="External"/><Relationship Id="rId11" Type="http://schemas.openxmlformats.org/officeDocument/2006/relationships/hyperlink" Target="mailto:tamara.dews@lseg.com" TargetMode="External"/><Relationship Id="rId5" Type="http://schemas.openxmlformats.org/officeDocument/2006/relationships/hyperlink" Target="mailto:isisding@gmail.com" TargetMode="External"/><Relationship Id="rId15" Type="http://schemas.openxmlformats.org/officeDocument/2006/relationships/vmlDrawing" Target="../drawings/vmlDrawing2.vml"/><Relationship Id="rId10" Type="http://schemas.openxmlformats.org/officeDocument/2006/relationships/hyperlink" Target="mailto:Corneliu.civig@gmail.com" TargetMode="External"/><Relationship Id="rId4" Type="http://schemas.openxmlformats.org/officeDocument/2006/relationships/hyperlink" Target="mailto:isisding@gmail.com" TargetMode="External"/><Relationship Id="rId9" Type="http://schemas.openxmlformats.org/officeDocument/2006/relationships/hyperlink" Target="mailto:matthew.hoza@gmail.com" TargetMode="External"/><Relationship Id="rId14" Type="http://schemas.openxmlformats.org/officeDocument/2006/relationships/hyperlink" Target="mailto:priyankagarg26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15104-4637-4AB2-B322-08E532C0F905}">
  <sheetPr>
    <tabColor rgb="FF0070C0"/>
  </sheetPr>
  <dimension ref="A1"/>
  <sheetViews>
    <sheetView workbookViewId="0"/>
  </sheetViews>
  <sheetFormatPr defaultColWidth="8.875" defaultRowHeight="15.9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BFCA4-785E-41BF-8453-0B163F8FB249}">
  <sheetPr>
    <tabColor rgb="FF0070C0"/>
  </sheetPr>
  <dimension ref="A1:O266"/>
  <sheetViews>
    <sheetView topLeftCell="C161" workbookViewId="0">
      <selection activeCell="M173" sqref="M173"/>
    </sheetView>
  </sheetViews>
  <sheetFormatPr defaultColWidth="8.875" defaultRowHeight="15.75" customHeight="1"/>
  <cols>
    <col min="1" max="1" width="10.875" customWidth="1"/>
    <col min="2" max="2" width="14.375" style="25" customWidth="1"/>
    <col min="3" max="3" width="27.375" style="45" customWidth="1"/>
    <col min="4" max="4" width="8.375" style="30" customWidth="1"/>
    <col min="5" max="5" width="15.625" style="30" customWidth="1"/>
    <col min="6" max="6" width="43.625" style="28" customWidth="1"/>
    <col min="7" max="7" width="14.875" style="29" customWidth="1"/>
    <col min="8" max="8" width="12.125" style="28" customWidth="1"/>
    <col min="9" max="10" width="10.125" style="38" customWidth="1"/>
    <col min="11" max="12" width="9" style="40"/>
    <col min="13" max="13" width="24.875" style="42" customWidth="1"/>
    <col min="15" max="15" width="0" hidden="1" customWidth="1"/>
  </cols>
  <sheetData>
    <row r="1" spans="1:15" s="31" customFormat="1" ht="43.5" customHeight="1">
      <c r="A1" s="67"/>
      <c r="B1" s="158" t="s">
        <v>0</v>
      </c>
      <c r="C1" s="159"/>
      <c r="D1" s="160"/>
      <c r="E1" s="89"/>
      <c r="F1" s="154" t="s">
        <v>1</v>
      </c>
      <c r="G1" s="155"/>
      <c r="H1" s="155"/>
      <c r="I1" s="155"/>
      <c r="J1" s="156"/>
      <c r="K1" s="157" t="s">
        <v>0</v>
      </c>
      <c r="L1" s="157"/>
      <c r="M1" s="43" t="s">
        <v>2</v>
      </c>
      <c r="O1" s="31" t="s">
        <v>3</v>
      </c>
    </row>
    <row r="2" spans="1:15" s="36" customFormat="1" ht="33.950000000000003">
      <c r="A2" s="32" t="s">
        <v>4</v>
      </c>
      <c r="B2" s="32" t="s">
        <v>5</v>
      </c>
      <c r="C2" s="44" t="s">
        <v>6</v>
      </c>
      <c r="D2" s="33" t="s">
        <v>7</v>
      </c>
      <c r="E2" s="33" t="s">
        <v>8</v>
      </c>
      <c r="F2" s="34" t="s">
        <v>9</v>
      </c>
      <c r="G2" s="35" t="s">
        <v>10</v>
      </c>
      <c r="H2" s="34" t="s">
        <v>11</v>
      </c>
      <c r="I2" s="37" t="s">
        <v>12</v>
      </c>
      <c r="J2" s="37" t="s">
        <v>13</v>
      </c>
      <c r="K2" s="39" t="s">
        <v>14</v>
      </c>
      <c r="L2" s="39" t="s">
        <v>15</v>
      </c>
      <c r="M2" s="41" t="s">
        <v>16</v>
      </c>
      <c r="O2" s="36" t="s">
        <v>17</v>
      </c>
    </row>
    <row r="3" spans="1:15" ht="18.75" customHeight="1">
      <c r="A3" s="87"/>
      <c r="F3" s="26" t="str">
        <f>IFERROR(VLOOKUP(D3,Sessions!A:G,2,FALSE),"")</f>
        <v/>
      </c>
      <c r="G3" s="27" t="str">
        <f>IFERROR(VLOOKUP(D3,Sessions!A:G,3,FALSE),"")</f>
        <v/>
      </c>
      <c r="H3" s="26" t="str">
        <f>IFERROR(VLOOKUP(D3,Sessions!A:G,4,FALSE),"")</f>
        <v/>
      </c>
      <c r="I3" s="38" t="str">
        <f>IFERROR(VLOOKUP(D3,Sessions!A:G,5,FALSE),"")</f>
        <v/>
      </c>
      <c r="J3" s="38" t="str">
        <f>IFERROR(VLOOKUP(D3,Sessions!A:G,6,FALSE),"")</f>
        <v/>
      </c>
      <c r="M3" s="42" t="str">
        <f t="shared" ref="M3:M28" si="0">"It's all set! 🎉 Here is a summary of your order:
*Number of Tickets*: 1
*Experience*: "&amp;F3&amp;"
*Date*: "&amp;TEXT(G3,"dd/mm/yy")&amp;"
*Time*: "&amp;H3&amp;"
*Price*: "&amp;K3&amp;" "&amp;L3&amp;"
We will issue your tickets on Eventbrite soon.
*Cancellation Policy*: 100% refund for cancellations 24h prior to event."</f>
        <v>It's all set! 🎉 Here is a summary of your order:
*Number of Tickets*: 1
*Experience*: 
*Date*: 
*Time*: 
*Price*:  
We will issue your tickets on Eventbrite soon.
*Cancellation Policy*: 100% refund for cancellations 24h prior to event.</v>
      </c>
    </row>
    <row r="4" spans="1:15" ht="15.95">
      <c r="A4" s="87"/>
      <c r="F4" s="26" t="str">
        <f>IFERROR(VLOOKUP(D4,Sessions!A:G,2,FALSE),"")</f>
        <v/>
      </c>
      <c r="G4" s="27" t="str">
        <f>IFERROR(VLOOKUP(D4,Sessions!A:G,3,FALSE),"")</f>
        <v/>
      </c>
      <c r="H4" s="26" t="str">
        <f>IFERROR(VLOOKUP(D4,Sessions!A:G,4,FALSE),"")</f>
        <v/>
      </c>
      <c r="I4" s="38" t="str">
        <f>IFERROR(VLOOKUP(D4,Sessions!A:G,5,FALSE),"")</f>
        <v/>
      </c>
      <c r="J4" s="38" t="str">
        <f>IFERROR(VLOOKUP(D4,Sessions!A:G,6,FALSE),"")</f>
        <v/>
      </c>
      <c r="M4" s="42" t="str">
        <f t="shared" si="0"/>
        <v>It's all set! 🎉 Here is a summary of your order:
*Number of Tickets*: 1
*Experience*: 
*Date*: 
*Time*: 
*Price*:  
We will issue your tickets on Eventbrite soon.
*Cancellation Policy*: 100% refund for cancellations 24h prior to event.</v>
      </c>
    </row>
    <row r="5" spans="1:15" ht="15.95">
      <c r="A5" s="87"/>
      <c r="F5" s="26" t="str">
        <f>IFERROR(VLOOKUP(D5,Sessions!A:G,2,FALSE),"")</f>
        <v/>
      </c>
      <c r="G5" s="27" t="str">
        <f>IFERROR(VLOOKUP(D5,Sessions!A:G,3,FALSE),"")</f>
        <v/>
      </c>
      <c r="H5" s="26" t="str">
        <f>IFERROR(VLOOKUP(D5,Sessions!A:G,4,FALSE),"")</f>
        <v/>
      </c>
      <c r="I5" s="38" t="str">
        <f>IFERROR(VLOOKUP(D5,Sessions!A:G,5,FALSE),"")</f>
        <v/>
      </c>
      <c r="J5" s="38" t="str">
        <f>IFERROR(VLOOKUP(D5,Sessions!A:G,6,FALSE),"")</f>
        <v/>
      </c>
      <c r="M5" s="42" t="str">
        <f t="shared" si="0"/>
        <v>It's all set! 🎉 Here is a summary of your order:
*Number of Tickets*: 1
*Experience*: 
*Date*: 
*Time*: 
*Price*:  
We will issue your tickets on Eventbrite soon.
*Cancellation Policy*: 100% refund for cancellations 24h prior to event.</v>
      </c>
    </row>
    <row r="6" spans="1:15" ht="15.95">
      <c r="A6" s="87"/>
      <c r="F6" s="26" t="str">
        <f>IFERROR(VLOOKUP(D6,Sessions!A:G,2,FALSE),"")</f>
        <v/>
      </c>
      <c r="G6" s="27" t="str">
        <f>IFERROR(VLOOKUP(D6,Sessions!A:G,3,FALSE),"")</f>
        <v/>
      </c>
      <c r="H6" s="26" t="str">
        <f>IFERROR(VLOOKUP(D6,Sessions!A:G,4,FALSE),"")</f>
        <v/>
      </c>
      <c r="I6" s="38" t="str">
        <f>IFERROR(VLOOKUP(D6,Sessions!A:G,5,FALSE),"")</f>
        <v/>
      </c>
      <c r="J6" s="38" t="str">
        <f>IFERROR(VLOOKUP(D6,Sessions!A:G,6,FALSE),"")</f>
        <v/>
      </c>
      <c r="M6" s="42" t="str">
        <f t="shared" si="0"/>
        <v>It's all set! 🎉 Here is a summary of your order:
*Number of Tickets*: 1
*Experience*: 
*Date*: 
*Time*: 
*Price*:  
We will issue your tickets on Eventbrite soon.
*Cancellation Policy*: 100% refund for cancellations 24h prior to event.</v>
      </c>
    </row>
    <row r="7" spans="1:15" ht="15.95">
      <c r="A7" s="87"/>
      <c r="F7" s="26" t="str">
        <f>IFERROR(VLOOKUP(D7,Sessions!A:G,2,FALSE),"")</f>
        <v/>
      </c>
      <c r="G7" s="27" t="str">
        <f>IFERROR(VLOOKUP(D7,Sessions!A:G,3,FALSE),"")</f>
        <v/>
      </c>
      <c r="H7" s="26" t="str">
        <f>IFERROR(VLOOKUP(D7,Sessions!A:G,4,FALSE),"")</f>
        <v/>
      </c>
      <c r="I7" s="38" t="str">
        <f>IFERROR(VLOOKUP(D7,Sessions!A:G,5,FALSE),"")</f>
        <v/>
      </c>
      <c r="J7" s="38" t="str">
        <f>IFERROR(VLOOKUP(D7,Sessions!A:G,6,FALSE),"")</f>
        <v/>
      </c>
      <c r="M7" s="42" t="str">
        <f t="shared" si="0"/>
        <v>It's all set! 🎉 Here is a summary of your order:
*Number of Tickets*: 1
*Experience*: 
*Date*: 
*Time*: 
*Price*:  
We will issue your tickets on Eventbrite soon.
*Cancellation Policy*: 100% refund for cancellations 24h prior to event.</v>
      </c>
    </row>
    <row r="8" spans="1:15" ht="15.95">
      <c r="A8" s="87"/>
      <c r="F8" s="26" t="str">
        <f>IFERROR(VLOOKUP(D8,Sessions!A:G,2,FALSE),"")</f>
        <v/>
      </c>
      <c r="G8" s="27" t="str">
        <f>IFERROR(VLOOKUP(D8,Sessions!A:G,3,FALSE),"")</f>
        <v/>
      </c>
      <c r="H8" s="26" t="str">
        <f>IFERROR(VLOOKUP(D8,Sessions!A:G,4,FALSE),"")</f>
        <v/>
      </c>
      <c r="I8" s="38" t="str">
        <f>IFERROR(VLOOKUP(D8,Sessions!A:G,5,FALSE),"")</f>
        <v/>
      </c>
      <c r="J8" s="38" t="str">
        <f>IFERROR(VLOOKUP(D8,Sessions!A:G,6,FALSE),"")</f>
        <v/>
      </c>
      <c r="M8" s="42" t="str">
        <f t="shared" si="0"/>
        <v>It's all set! 🎉 Here is a summary of your order:
*Number of Tickets*: 1
*Experience*: 
*Date*: 
*Time*: 
*Price*:  
We will issue your tickets on Eventbrite soon.
*Cancellation Policy*: 100% refund for cancellations 24h prior to event.</v>
      </c>
    </row>
    <row r="9" spans="1:15" ht="15.95">
      <c r="A9" s="87"/>
      <c r="F9" s="26" t="str">
        <f>IFERROR(VLOOKUP(D9,Sessions!A:G,2,FALSE),"")</f>
        <v/>
      </c>
      <c r="G9" s="27" t="str">
        <f>IFERROR(VLOOKUP(D9,Sessions!A:G,3,FALSE),"")</f>
        <v/>
      </c>
      <c r="H9" s="26" t="str">
        <f>IFERROR(VLOOKUP(D9,Sessions!A:G,4,FALSE),"")</f>
        <v/>
      </c>
      <c r="I9" s="38" t="str">
        <f>IFERROR(VLOOKUP(D9,Sessions!A:G,5,FALSE),"")</f>
        <v/>
      </c>
      <c r="J9" s="38" t="str">
        <f>IFERROR(VLOOKUP(D9,Sessions!A:G,6,FALSE),"")</f>
        <v/>
      </c>
      <c r="M9" s="42" t="str">
        <f t="shared" si="0"/>
        <v>It's all set! 🎉 Here is a summary of your order:
*Number of Tickets*: 1
*Experience*: 
*Date*: 
*Time*: 
*Price*:  
We will issue your tickets on Eventbrite soon.
*Cancellation Policy*: 100% refund for cancellations 24h prior to event.</v>
      </c>
    </row>
    <row r="10" spans="1:15" ht="15.95">
      <c r="A10" s="87"/>
      <c r="F10" s="26" t="str">
        <f>IFERROR(VLOOKUP(D10,Sessions!A:G,2,FALSE),"")</f>
        <v/>
      </c>
      <c r="G10" s="27" t="str">
        <f>IFERROR(VLOOKUP(D10,Sessions!A:G,3,FALSE),"")</f>
        <v/>
      </c>
      <c r="H10" s="26" t="str">
        <f>IFERROR(VLOOKUP(D10,Sessions!A:G,4,FALSE),"")</f>
        <v/>
      </c>
      <c r="I10" s="38" t="str">
        <f>IFERROR(VLOOKUP(D10,Sessions!A:G,5,FALSE),"")</f>
        <v/>
      </c>
      <c r="J10" s="38" t="str">
        <f>IFERROR(VLOOKUP(D10,Sessions!A:G,6,FALSE),"")</f>
        <v/>
      </c>
      <c r="M10" s="42" t="str">
        <f t="shared" si="0"/>
        <v>It's all set! 🎉 Here is a summary of your order:
*Number of Tickets*: 1
*Experience*: 
*Date*: 
*Time*: 
*Price*:  
We will issue your tickets on Eventbrite soon.
*Cancellation Policy*: 100% refund for cancellations 24h prior to event.</v>
      </c>
    </row>
    <row r="11" spans="1:15" ht="15.95">
      <c r="A11" s="87"/>
      <c r="F11" s="26" t="str">
        <f>IFERROR(VLOOKUP(D11,Sessions!A:G,2,FALSE),"")</f>
        <v/>
      </c>
      <c r="G11" s="27" t="str">
        <f>IFERROR(VLOOKUP(D11,Sessions!A:G,3,FALSE),"")</f>
        <v/>
      </c>
      <c r="H11" s="26" t="str">
        <f>IFERROR(VLOOKUP(D11,Sessions!A:G,4,FALSE),"")</f>
        <v/>
      </c>
      <c r="I11" s="38" t="str">
        <f>IFERROR(VLOOKUP(D11,Sessions!A:G,5,FALSE),"")</f>
        <v/>
      </c>
      <c r="J11" s="38" t="str">
        <f>IFERROR(VLOOKUP(D11,Sessions!A:G,6,FALSE),"")</f>
        <v/>
      </c>
      <c r="M11" s="42" t="str">
        <f t="shared" si="0"/>
        <v>It's all set! 🎉 Here is a summary of your order:
*Number of Tickets*: 1
*Experience*: 
*Date*: 
*Time*: 
*Price*:  
We will issue your tickets on Eventbrite soon.
*Cancellation Policy*: 100% refund for cancellations 24h prior to event.</v>
      </c>
    </row>
    <row r="12" spans="1:15" ht="15.95">
      <c r="A12" s="87"/>
      <c r="F12" s="26" t="str">
        <f>IFERROR(VLOOKUP(D12,Sessions!A:G,2,FALSE),"")</f>
        <v/>
      </c>
      <c r="G12" s="27" t="str">
        <f>IFERROR(VLOOKUP(D12,Sessions!A:G,3,FALSE),"")</f>
        <v/>
      </c>
      <c r="H12" s="26" t="str">
        <f>IFERROR(VLOOKUP(D12,Sessions!A:G,4,FALSE),"")</f>
        <v/>
      </c>
      <c r="I12" s="38" t="str">
        <f>IFERROR(VLOOKUP(D12,Sessions!A:G,5,FALSE),"")</f>
        <v/>
      </c>
      <c r="J12" s="38" t="str">
        <f>IFERROR(VLOOKUP(D12,Sessions!A:G,6,FALSE),"")</f>
        <v/>
      </c>
      <c r="M12" s="42" t="str">
        <f t="shared" si="0"/>
        <v>It's all set! 🎉 Here is a summary of your order:
*Number of Tickets*: 1
*Experience*: 
*Date*: 
*Time*: 
*Price*:  
We will issue your tickets on Eventbrite soon.
*Cancellation Policy*: 100% refund for cancellations 24h prior to event.</v>
      </c>
    </row>
    <row r="13" spans="1:15" ht="15.95">
      <c r="A13" s="87"/>
      <c r="F13" s="26" t="str">
        <f>IFERROR(VLOOKUP(D13,Sessions!A:G,2,FALSE),"")</f>
        <v/>
      </c>
      <c r="G13" s="27" t="str">
        <f>IFERROR(VLOOKUP(D13,Sessions!A:G,3,FALSE),"")</f>
        <v/>
      </c>
      <c r="H13" s="26" t="str">
        <f>IFERROR(VLOOKUP(D13,Sessions!A:G,4,FALSE),"")</f>
        <v/>
      </c>
      <c r="I13" s="38" t="str">
        <f>IFERROR(VLOOKUP(D13,Sessions!A:G,5,FALSE),"")</f>
        <v/>
      </c>
      <c r="J13" s="38" t="str">
        <f>IFERROR(VLOOKUP(D13,Sessions!A:G,6,FALSE),"")</f>
        <v/>
      </c>
      <c r="M13" s="42" t="str">
        <f t="shared" si="0"/>
        <v>It's all set! 🎉 Here is a summary of your order:
*Number of Tickets*: 1
*Experience*: 
*Date*: 
*Time*: 
*Price*:  
We will issue your tickets on Eventbrite soon.
*Cancellation Policy*: 100% refund for cancellations 24h prior to event.</v>
      </c>
    </row>
    <row r="14" spans="1:15" ht="15.95">
      <c r="A14" s="87"/>
      <c r="F14" s="26" t="str">
        <f>IFERROR(VLOOKUP(D14,Sessions!A:G,2,FALSE),"")</f>
        <v/>
      </c>
      <c r="G14" s="27" t="str">
        <f>IFERROR(VLOOKUP(D14,Sessions!A:G,3,FALSE),"")</f>
        <v/>
      </c>
      <c r="H14" s="26" t="str">
        <f>IFERROR(VLOOKUP(D14,Sessions!A:G,4,FALSE),"")</f>
        <v/>
      </c>
      <c r="I14" s="38" t="str">
        <f>IFERROR(VLOOKUP(D14,Sessions!A:G,5,FALSE),"")</f>
        <v/>
      </c>
      <c r="J14" s="38" t="str">
        <f>IFERROR(VLOOKUP(D14,Sessions!A:G,6,FALSE),"")</f>
        <v/>
      </c>
      <c r="M14" s="42" t="str">
        <f t="shared" si="0"/>
        <v>It's all set! 🎉 Here is a summary of your order:
*Number of Tickets*: 1
*Experience*: 
*Date*: 
*Time*: 
*Price*:  
We will issue your tickets on Eventbrite soon.
*Cancellation Policy*: 100% refund for cancellations 24h prior to event.</v>
      </c>
    </row>
    <row r="15" spans="1:15" ht="16.5" customHeight="1">
      <c r="A15" s="87"/>
      <c r="F15" s="26" t="str">
        <f>IFERROR(VLOOKUP(D15,Sessions!A:G,2,FALSE),"")</f>
        <v/>
      </c>
      <c r="G15" s="27" t="str">
        <f>IFERROR(VLOOKUP(D15,Sessions!A:G,3,FALSE),"")</f>
        <v/>
      </c>
      <c r="H15" s="26" t="str">
        <f>IFERROR(VLOOKUP(D15,Sessions!A:G,4,FALSE),"")</f>
        <v/>
      </c>
      <c r="I15" s="38" t="str">
        <f>IFERROR(VLOOKUP(D15,Sessions!A:G,5,FALSE),"")</f>
        <v/>
      </c>
      <c r="J15" s="38" t="str">
        <f>IFERROR(VLOOKUP(D15,Sessions!A:G,6,FALSE),"")</f>
        <v/>
      </c>
      <c r="M15" s="42" t="str">
        <f t="shared" si="0"/>
        <v>It's all set! 🎉 Here is a summary of your order:
*Number of Tickets*: 1
*Experience*: 
*Date*: 
*Time*: 
*Price*:  
We will issue your tickets on Eventbrite soon.
*Cancellation Policy*: 100% refund for cancellations 24h prior to event.</v>
      </c>
    </row>
    <row r="16" spans="1:15" ht="15.95">
      <c r="A16" s="87"/>
      <c r="F16" s="26" t="str">
        <f>IFERROR(VLOOKUP(D16,Sessions!A:G,2,FALSE),"")</f>
        <v/>
      </c>
      <c r="G16" s="27" t="str">
        <f>IFERROR(VLOOKUP(D16,Sessions!A:G,3,FALSE),"")</f>
        <v/>
      </c>
      <c r="H16" s="26" t="str">
        <f>IFERROR(VLOOKUP(D16,Sessions!A:G,4,FALSE),"")</f>
        <v/>
      </c>
      <c r="I16" s="38" t="str">
        <f>IFERROR(VLOOKUP(D16,Sessions!A:G,5,FALSE),"")</f>
        <v/>
      </c>
      <c r="J16" s="38" t="str">
        <f>IFERROR(VLOOKUP(D16,Sessions!A:G,6,FALSE),"")</f>
        <v/>
      </c>
      <c r="M16" s="42" t="str">
        <f t="shared" si="0"/>
        <v>It's all set! 🎉 Here is a summary of your order:
*Number of Tickets*: 1
*Experience*: 
*Date*: 
*Time*: 
*Price*:  
We will issue your tickets on Eventbrite soon.
*Cancellation Policy*: 100% refund for cancellations 24h prior to event.</v>
      </c>
    </row>
    <row r="17" spans="1:13" ht="15.95">
      <c r="A17" s="87"/>
      <c r="F17" s="26" t="str">
        <f>IFERROR(VLOOKUP(D17,Sessions!A:G,2,FALSE),"")</f>
        <v/>
      </c>
      <c r="G17" s="27" t="str">
        <f>IFERROR(VLOOKUP(D17,Sessions!A:G,3,FALSE),"")</f>
        <v/>
      </c>
      <c r="H17" s="26" t="str">
        <f>IFERROR(VLOOKUP(D17,Sessions!A:G,4,FALSE),"")</f>
        <v/>
      </c>
      <c r="I17" s="38" t="str">
        <f>IFERROR(VLOOKUP(D17,Sessions!A:G,5,FALSE),"")</f>
        <v/>
      </c>
      <c r="J17" s="38" t="str">
        <f>IFERROR(VLOOKUP(D17,Sessions!A:G,6,FALSE),"")</f>
        <v/>
      </c>
      <c r="M17" s="42" t="str">
        <f t="shared" si="0"/>
        <v>It's all set! 🎉 Here is a summary of your order:
*Number of Tickets*: 1
*Experience*: 
*Date*: 
*Time*: 
*Price*:  
We will issue your tickets on Eventbrite soon.
*Cancellation Policy*: 100% refund for cancellations 24h prior to event.</v>
      </c>
    </row>
    <row r="18" spans="1:13" ht="15.95">
      <c r="A18" s="87"/>
      <c r="F18" s="26" t="str">
        <f>IFERROR(VLOOKUP(D18,Sessions!A:G,2,FALSE),"")</f>
        <v/>
      </c>
      <c r="G18" s="27" t="str">
        <f>IFERROR(VLOOKUP(D18,Sessions!A:G,3,FALSE),"")</f>
        <v/>
      </c>
      <c r="H18" s="26" t="str">
        <f>IFERROR(VLOOKUP(D18,Sessions!A:G,4,FALSE),"")</f>
        <v/>
      </c>
      <c r="I18" s="38" t="str">
        <f>IFERROR(VLOOKUP(D18,Sessions!A:G,5,FALSE),"")</f>
        <v/>
      </c>
      <c r="J18" s="38" t="str">
        <f>IFERROR(VLOOKUP(D18,Sessions!A:G,6,FALSE),"")</f>
        <v/>
      </c>
      <c r="M18" s="42" t="str">
        <f t="shared" si="0"/>
        <v>It's all set! 🎉 Here is a summary of your order:
*Number of Tickets*: 1
*Experience*: 
*Date*: 
*Time*: 
*Price*:  
We will issue your tickets on Eventbrite soon.
*Cancellation Policy*: 100% refund for cancellations 24h prior to event.</v>
      </c>
    </row>
    <row r="19" spans="1:13" ht="15.95">
      <c r="A19" s="87"/>
      <c r="F19" s="26" t="str">
        <f>IFERROR(VLOOKUP(D19,Sessions!A:G,2,FALSE),"")</f>
        <v/>
      </c>
      <c r="G19" s="27" t="str">
        <f>IFERROR(VLOOKUP(D19,Sessions!A:G,3,FALSE),"")</f>
        <v/>
      </c>
      <c r="H19" s="26" t="str">
        <f>IFERROR(VLOOKUP(D19,Sessions!A:G,4,FALSE),"")</f>
        <v/>
      </c>
      <c r="I19" s="38" t="str">
        <f>IFERROR(VLOOKUP(D19,Sessions!A:G,5,FALSE),"")</f>
        <v/>
      </c>
      <c r="J19" s="38" t="str">
        <f>IFERROR(VLOOKUP(D19,Sessions!A:G,6,FALSE),"")</f>
        <v/>
      </c>
      <c r="M19" s="42" t="str">
        <f t="shared" si="0"/>
        <v>It's all set! 🎉 Here is a summary of your order:
*Number of Tickets*: 1
*Experience*: 
*Date*: 
*Time*: 
*Price*:  
We will issue your tickets on Eventbrite soon.
*Cancellation Policy*: 100% refund for cancellations 24h prior to event.</v>
      </c>
    </row>
    <row r="20" spans="1:13" ht="15.95">
      <c r="A20" s="87"/>
      <c r="F20" s="26" t="str">
        <f>IFERROR(VLOOKUP(D20,Sessions!A:G,2,FALSE),"")</f>
        <v/>
      </c>
      <c r="G20" s="27" t="str">
        <f>IFERROR(VLOOKUP(D20,Sessions!A:G,3,FALSE),"")</f>
        <v/>
      </c>
      <c r="H20" s="26" t="str">
        <f>IFERROR(VLOOKUP(D20,Sessions!A:G,4,FALSE),"")</f>
        <v/>
      </c>
      <c r="I20" s="38" t="str">
        <f>IFERROR(VLOOKUP(D20,Sessions!A:G,5,FALSE),"")</f>
        <v/>
      </c>
      <c r="J20" s="38" t="str">
        <f>IFERROR(VLOOKUP(D20,Sessions!A:G,6,FALSE),"")</f>
        <v/>
      </c>
      <c r="M20" s="42" t="str">
        <f t="shared" si="0"/>
        <v>It's all set! 🎉 Here is a summary of your order:
*Number of Tickets*: 1
*Experience*: 
*Date*: 
*Time*: 
*Price*:  
We will issue your tickets on Eventbrite soon.
*Cancellation Policy*: 100% refund for cancellations 24h prior to event.</v>
      </c>
    </row>
    <row r="21" spans="1:13" ht="15.95">
      <c r="A21" s="87"/>
      <c r="F21" s="26" t="str">
        <f>IFERROR(VLOOKUP(D21,Sessions!A:G,2,FALSE),"")</f>
        <v/>
      </c>
      <c r="G21" s="27" t="str">
        <f>IFERROR(VLOOKUP(D21,Sessions!A:G,3,FALSE),"")</f>
        <v/>
      </c>
      <c r="H21" s="26" t="str">
        <f>IFERROR(VLOOKUP(D21,Sessions!A:G,4,FALSE),"")</f>
        <v/>
      </c>
      <c r="I21" s="38" t="str">
        <f>IFERROR(VLOOKUP(D21,Sessions!A:G,5,FALSE),"")</f>
        <v/>
      </c>
      <c r="J21" s="38" t="str">
        <f>IFERROR(VLOOKUP(D21,Sessions!A:G,6,FALSE),"")</f>
        <v/>
      </c>
      <c r="M21" s="42" t="str">
        <f t="shared" si="0"/>
        <v>It's all set! 🎉 Here is a summary of your order:
*Number of Tickets*: 1
*Experience*: 
*Date*: 
*Time*: 
*Price*:  
We will issue your tickets on Eventbrite soon.
*Cancellation Policy*: 100% refund for cancellations 24h prior to event.</v>
      </c>
    </row>
    <row r="22" spans="1:13" ht="15.95">
      <c r="A22" s="87"/>
      <c r="F22" s="26" t="str">
        <f>IFERROR(VLOOKUP(D22,Sessions!A:G,2,FALSE),"")</f>
        <v/>
      </c>
      <c r="G22" s="27" t="str">
        <f>IFERROR(VLOOKUP(D22,Sessions!A:G,3,FALSE),"")</f>
        <v/>
      </c>
      <c r="H22" s="26" t="str">
        <f>IFERROR(VLOOKUP(D22,Sessions!A:G,4,FALSE),"")</f>
        <v/>
      </c>
      <c r="I22" s="38" t="str">
        <f>IFERROR(VLOOKUP(D22,Sessions!A:G,5,FALSE),"")</f>
        <v/>
      </c>
      <c r="J22" s="38" t="str">
        <f>IFERROR(VLOOKUP(D22,Sessions!A:G,6,FALSE),"")</f>
        <v/>
      </c>
      <c r="M22" s="42" t="str">
        <f t="shared" si="0"/>
        <v>It's all set! 🎉 Here is a summary of your order:
*Number of Tickets*: 1
*Experience*: 
*Date*: 
*Time*: 
*Price*:  
We will issue your tickets on Eventbrite soon.
*Cancellation Policy*: 100% refund for cancellations 24h prior to event.</v>
      </c>
    </row>
    <row r="23" spans="1:13" ht="15.95">
      <c r="A23" s="87"/>
      <c r="B23" s="46">
        <v>45471</v>
      </c>
      <c r="C23" s="45" t="s">
        <v>18</v>
      </c>
      <c r="D23" s="30">
        <v>32</v>
      </c>
      <c r="F23" s="26" t="str">
        <f>IFERROR(VLOOKUP(D23,Sessions!A:G,2,FALSE),"")</f>
        <v xml:space="preserve"> Royal Academy's Summer Exhibition</v>
      </c>
      <c r="G23" s="27">
        <f>IFERROR(VLOOKUP(D23,Sessions!A:G,3,FALSE),"")</f>
        <v>45480</v>
      </c>
      <c r="H23" s="26" t="str">
        <f>IFERROR(VLOOKUP(D23,Sessions!A:G,4,FALSE),"")</f>
        <v>2:00pm</v>
      </c>
      <c r="I23" s="38">
        <f>IFERROR(VLOOKUP(D23,Sessions!A:G,5,FALSE),"")</f>
        <v>10</v>
      </c>
      <c r="J23" s="38">
        <f>IFERROR(VLOOKUP(D23,Sessions!A:G,6,FALSE),"")</f>
        <v>25</v>
      </c>
      <c r="K23" s="40">
        <v>10</v>
      </c>
      <c r="L23" s="40" t="s">
        <v>3</v>
      </c>
      <c r="M23" s="42" t="str">
        <f t="shared" si="0"/>
        <v>It's all set! 🎉 Here is a summary of your order:
*Number of Tickets*: 1
*Experience*:  Royal Academy's Summer Exhibition
*Date*: 07/07/24
*Time*: 2:00pm
*Price*: 10 credits
We will issue your tickets on Eventbrite soon.
*Cancellation Policy*: 100% refund for cancellations 24h prior to event.</v>
      </c>
    </row>
    <row r="24" spans="1:13" ht="15.95">
      <c r="A24" s="87"/>
      <c r="B24" s="46">
        <v>45474</v>
      </c>
      <c r="C24" s="45" t="s">
        <v>19</v>
      </c>
      <c r="D24" s="30">
        <v>32</v>
      </c>
      <c r="F24" s="26" t="str">
        <f>IFERROR(VLOOKUP(D24,Sessions!A:G,2,FALSE),"")</f>
        <v xml:space="preserve"> Royal Academy's Summer Exhibition</v>
      </c>
      <c r="G24" s="27">
        <f>IFERROR(VLOOKUP(D24,Sessions!A:G,3,FALSE),"")</f>
        <v>45480</v>
      </c>
      <c r="H24" s="26" t="str">
        <f>IFERROR(VLOOKUP(D24,Sessions!A:G,4,FALSE),"")</f>
        <v>2:00pm</v>
      </c>
      <c r="I24" s="38">
        <f>IFERROR(VLOOKUP(D24,Sessions!A:G,5,FALSE),"")</f>
        <v>10</v>
      </c>
      <c r="J24" s="38">
        <f>IFERROR(VLOOKUP(D24,Sessions!A:G,6,FALSE),"")</f>
        <v>25</v>
      </c>
      <c r="K24" s="40">
        <v>10</v>
      </c>
      <c r="L24" s="40" t="s">
        <v>3</v>
      </c>
      <c r="M24" s="42" t="str">
        <f t="shared" si="0"/>
        <v>It's all set! 🎉 Here is a summary of your order:
*Number of Tickets*: 1
*Experience*:  Royal Academy's Summer Exhibition
*Date*: 07/07/24
*Time*: 2:00pm
*Price*: 10 credits
We will issue your tickets on Eventbrite soon.
*Cancellation Policy*: 100% refund for cancellations 24h prior to event.</v>
      </c>
    </row>
    <row r="25" spans="1:13" ht="15.95">
      <c r="A25" s="87"/>
      <c r="B25" s="46">
        <v>45474</v>
      </c>
      <c r="C25" s="45" t="s">
        <v>20</v>
      </c>
      <c r="D25" s="30">
        <v>32</v>
      </c>
      <c r="F25" s="26" t="str">
        <f>IFERROR(VLOOKUP(D25,Sessions!A:G,2,FALSE),"")</f>
        <v xml:space="preserve"> Royal Academy's Summer Exhibition</v>
      </c>
      <c r="G25" s="27">
        <f>IFERROR(VLOOKUP(D25,Sessions!A:G,3,FALSE),"")</f>
        <v>45480</v>
      </c>
      <c r="H25" s="26" t="str">
        <f>IFERROR(VLOOKUP(D25,Sessions!A:G,4,FALSE),"")</f>
        <v>2:00pm</v>
      </c>
      <c r="I25" s="38">
        <f>IFERROR(VLOOKUP(D25,Sessions!A:G,5,FALSE),"")</f>
        <v>10</v>
      </c>
      <c r="J25" s="38">
        <f>IFERROR(VLOOKUP(D25,Sessions!A:G,6,FALSE),"")</f>
        <v>25</v>
      </c>
      <c r="K25" s="40">
        <v>10</v>
      </c>
      <c r="L25" s="40" t="s">
        <v>3</v>
      </c>
      <c r="M25" s="42" t="str">
        <f t="shared" si="0"/>
        <v>It's all set! 🎉 Here is a summary of your order:
*Number of Tickets*: 1
*Experience*:  Royal Academy's Summer Exhibition
*Date*: 07/07/24
*Time*: 2:00pm
*Price*: 10 credits
We will issue your tickets on Eventbrite soon.
*Cancellation Policy*: 100% refund for cancellations 24h prior to event.</v>
      </c>
    </row>
    <row r="26" spans="1:13" ht="15.95">
      <c r="A26" s="87"/>
      <c r="B26" s="46">
        <v>45478</v>
      </c>
      <c r="C26" s="45" t="s">
        <v>21</v>
      </c>
      <c r="D26" s="30">
        <v>32</v>
      </c>
      <c r="F26" s="26" t="str">
        <f>IFERROR(VLOOKUP(D26,Sessions!A:G,2,FALSE),"")</f>
        <v xml:space="preserve"> Royal Academy's Summer Exhibition</v>
      </c>
      <c r="G26" s="27">
        <f>IFERROR(VLOOKUP(D26,Sessions!A:G,3,FALSE),"")</f>
        <v>45480</v>
      </c>
      <c r="H26" s="26" t="str">
        <f>IFERROR(VLOOKUP(D26,Sessions!A:G,4,FALSE),"")</f>
        <v>2:00pm</v>
      </c>
      <c r="I26" s="38">
        <f>IFERROR(VLOOKUP(D26,Sessions!A:G,5,FALSE),"")</f>
        <v>10</v>
      </c>
      <c r="J26" s="38">
        <f>IFERROR(VLOOKUP(D26,Sessions!A:G,6,FALSE),"")</f>
        <v>25</v>
      </c>
      <c r="K26" s="40">
        <v>10</v>
      </c>
      <c r="L26" s="40" t="s">
        <v>3</v>
      </c>
      <c r="M26" s="42" t="str">
        <f t="shared" si="0"/>
        <v>It's all set! 🎉 Here is a summary of your order:
*Number of Tickets*: 1
*Experience*:  Royal Academy's Summer Exhibition
*Date*: 07/07/24
*Time*: 2:00pm
*Price*: 10 credits
We will issue your tickets on Eventbrite soon.
*Cancellation Policy*: 100% refund for cancellations 24h prior to event.</v>
      </c>
    </row>
    <row r="27" spans="1:13" ht="15.95">
      <c r="A27" s="87"/>
      <c r="B27" s="46">
        <v>45478</v>
      </c>
      <c r="C27" s="45" t="s">
        <v>22</v>
      </c>
      <c r="D27" s="30">
        <v>32</v>
      </c>
      <c r="F27" s="26" t="str">
        <f>IFERROR(VLOOKUP(D27,Sessions!A:G,2,FALSE),"")</f>
        <v xml:space="preserve"> Royal Academy's Summer Exhibition</v>
      </c>
      <c r="G27" s="27">
        <f>IFERROR(VLOOKUP(D27,Sessions!A:G,3,FALSE),"")</f>
        <v>45480</v>
      </c>
      <c r="H27" s="26" t="str">
        <f>IFERROR(VLOOKUP(D27,Sessions!A:G,4,FALSE),"")</f>
        <v>2:00pm</v>
      </c>
      <c r="I27" s="38">
        <f>IFERROR(VLOOKUP(D27,Sessions!A:G,5,FALSE),"")</f>
        <v>10</v>
      </c>
      <c r="J27" s="38">
        <f>IFERROR(VLOOKUP(D27,Sessions!A:G,6,FALSE),"")</f>
        <v>25</v>
      </c>
      <c r="K27" s="40">
        <v>10</v>
      </c>
      <c r="L27" s="40" t="s">
        <v>3</v>
      </c>
      <c r="M27" s="42" t="str">
        <f t="shared" si="0"/>
        <v>It's all set! 🎉 Here is a summary of your order:
*Number of Tickets*: 1
*Experience*:  Royal Academy's Summer Exhibition
*Date*: 07/07/24
*Time*: 2:00pm
*Price*: 10 credits
We will issue your tickets on Eventbrite soon.
*Cancellation Policy*: 100% refund for cancellations 24h prior to event.</v>
      </c>
    </row>
    <row r="28" spans="1:13" ht="15.95">
      <c r="A28" s="87"/>
      <c r="B28" s="46">
        <v>45478</v>
      </c>
      <c r="C28" s="45" t="s">
        <v>23</v>
      </c>
      <c r="D28" s="30">
        <v>32</v>
      </c>
      <c r="F28" s="26" t="str">
        <f>IFERROR(VLOOKUP(D28,Sessions!A:G,2,FALSE),"")</f>
        <v xml:space="preserve"> Royal Academy's Summer Exhibition</v>
      </c>
      <c r="G28" s="27">
        <f>IFERROR(VLOOKUP(D28,Sessions!A:G,3,FALSE),"")</f>
        <v>45480</v>
      </c>
      <c r="H28" s="26" t="str">
        <f>IFERROR(VLOOKUP(D28,Sessions!A:G,4,FALSE),"")</f>
        <v>2:00pm</v>
      </c>
      <c r="I28" s="38">
        <f>IFERROR(VLOOKUP(D28,Sessions!A:G,5,FALSE),"")</f>
        <v>10</v>
      </c>
      <c r="J28" s="38">
        <f>IFERROR(VLOOKUP(D28,Sessions!A:G,6,FALSE),"")</f>
        <v>25</v>
      </c>
      <c r="K28" s="40">
        <v>10</v>
      </c>
      <c r="L28" s="40" t="s">
        <v>3</v>
      </c>
      <c r="M28" s="42" t="str">
        <f t="shared" si="0"/>
        <v>It's all set! 🎉 Here is a summary of your order:
*Number of Tickets*: 1
*Experience*:  Royal Academy's Summer Exhibition
*Date*: 07/07/24
*Time*: 2:00pm
*Price*: 10 credits
We will issue your tickets on Eventbrite soon.
*Cancellation Policy*: 100% refund for cancellations 24h prior to event.</v>
      </c>
    </row>
    <row r="29" spans="1:13" ht="15.95">
      <c r="A29" s="46" t="s">
        <v>24</v>
      </c>
      <c r="B29" s="46">
        <v>45421</v>
      </c>
      <c r="C29" s="45" t="s">
        <v>25</v>
      </c>
      <c r="D29" s="30">
        <v>17</v>
      </c>
      <c r="F29" s="26" t="str">
        <f>IFERROR(VLOOKUP(D29,Sessions!A:G,2,FALSE),"")</f>
        <v>[Blockbuster] Frank Auerbach at Courtauld Gallery</v>
      </c>
      <c r="G29" s="27">
        <f>IFERROR(VLOOKUP(D29,Sessions!A:G,3,FALSE),"")</f>
        <v>45438</v>
      </c>
      <c r="H29" s="26" t="str">
        <f>IFERROR(VLOOKUP(D29,Sessions!A:G,4,FALSE),"")</f>
        <v>2:00pm</v>
      </c>
      <c r="I29" s="38">
        <f>IFERROR(VLOOKUP(D29,Sessions!A:G,5,FALSE),"")</f>
        <v>6</v>
      </c>
      <c r="J29" s="38">
        <f>IFERROR(VLOOKUP(D29,Sessions!A:G,6,FALSE),"")</f>
        <v>19</v>
      </c>
      <c r="K29" s="40">
        <v>15</v>
      </c>
      <c r="L29" s="40" t="s">
        <v>17</v>
      </c>
      <c r="M29" s="42" t="str">
        <f t="shared" ref="M29:M76" si="1">"It's all set! 🎉 Here is a summary of your order:
*Number of Tickets*: 1
*Experience*: "&amp;F29&amp;"
*Date*: "&amp;TEXT(G29,"dd/mm/yy")&amp;"
*Time*: "&amp;H29&amp;"
*Price*: "&amp;K29&amp;" "&amp;L29&amp;"
We will issue your tickets on Evenbrite soon.
*Cancelation Policy*: 100% refund for cancelations 24h prior to event."</f>
        <v>It's all set! 🎉 Here is a summary of your order:
*Number of Tickets*: 1
*Experience*: [Blockbuster] Frank Auerbach at Courtauld Gallery
*Date*: 26/05/24
*Time*: 2:00pm
*Price*: 15 pounds
We will issue your tickets on Evenbrite soon.
*Cancelation Policy*: 100% refund for cancelations 24h prior to event.</v>
      </c>
    </row>
    <row r="30" spans="1:13" ht="15.95">
      <c r="A30" s="46"/>
      <c r="B30" s="46">
        <v>45420</v>
      </c>
      <c r="C30" s="45" t="s">
        <v>18</v>
      </c>
      <c r="D30" s="30">
        <v>17</v>
      </c>
      <c r="F30" s="26" t="str">
        <f>IFERROR(VLOOKUP(D30,Sessions!A:G,2,FALSE),"")</f>
        <v>[Blockbuster] Frank Auerbach at Courtauld Gallery</v>
      </c>
      <c r="G30" s="27">
        <f>IFERROR(VLOOKUP(D30,Sessions!A:G,3,FALSE),"")</f>
        <v>45438</v>
      </c>
      <c r="H30" s="26" t="str">
        <f>IFERROR(VLOOKUP(D30,Sessions!A:G,4,FALSE),"")</f>
        <v>2:00pm</v>
      </c>
      <c r="I30" s="38">
        <f>IFERROR(VLOOKUP(D30,Sessions!A:G,5,FALSE),"")</f>
        <v>6</v>
      </c>
      <c r="J30" s="38">
        <f>IFERROR(VLOOKUP(D30,Sessions!A:G,6,FALSE),"")</f>
        <v>19</v>
      </c>
      <c r="K30" s="40">
        <v>6</v>
      </c>
      <c r="L30" s="40" t="s">
        <v>3</v>
      </c>
      <c r="M30" s="42" t="str">
        <f t="shared" si="1"/>
        <v>It's all set! 🎉 Here is a summary of your order:
*Number of Tickets*: 1
*Experience*: [Blockbuster] Frank Auerbach at Courtauld Gallery
*Date*: 26/05/24
*Time*: 2:00pm
*Price*: 6 credits
We will issue your tickets on Evenbrite soon.
*Cancelation Policy*: 100% refund for cancelations 24h prior to event.</v>
      </c>
    </row>
    <row r="31" spans="1:13" ht="15.95">
      <c r="A31" s="46"/>
      <c r="B31" s="46">
        <v>45425</v>
      </c>
      <c r="C31" s="45" t="s">
        <v>26</v>
      </c>
      <c r="D31" s="30">
        <v>19</v>
      </c>
      <c r="F31" s="26" t="str">
        <f>IFERROR(VLOOKUP(D31,Sessions!A:G,2,FALSE),"")</f>
        <v>[Curator's Tour] Leo Robinson's at London Mithraeum</v>
      </c>
      <c r="G31" s="27">
        <f>IFERROR(VLOOKUP(D31,Sessions!A:G,3,FALSE),"")</f>
        <v>45463</v>
      </c>
      <c r="H31" s="26" t="str">
        <f>IFERROR(VLOOKUP(D31,Sessions!A:G,4,FALSE),"")</f>
        <v>4:30pm</v>
      </c>
      <c r="I31" s="38">
        <f>IFERROR(VLOOKUP(D31,Sessions!A:G,5,FALSE),"")</f>
        <v>6</v>
      </c>
      <c r="J31" s="38">
        <f>IFERROR(VLOOKUP(D31,Sessions!A:G,6,FALSE),"")</f>
        <v>15</v>
      </c>
      <c r="K31" s="40">
        <v>15</v>
      </c>
      <c r="L31" s="40" t="s">
        <v>17</v>
      </c>
      <c r="M31" s="42" t="str">
        <f t="shared" si="1"/>
        <v>It's all set! 🎉 Here is a summary of your order:
*Number of Tickets*: 1
*Experience*: [Curator's Tour] Leo Robinson's at London Mithraeum
*Date*: 20/06/24
*Time*: 4:30pm
*Price*: 15 pounds
We will issue your tickets on Evenbrite soon.
*Cancelation Policy*: 100% refund for cancelations 24h prior to event.</v>
      </c>
    </row>
    <row r="32" spans="1:13" ht="15.95">
      <c r="A32" s="87" t="s">
        <v>27</v>
      </c>
      <c r="B32" s="46">
        <v>45447</v>
      </c>
      <c r="C32" s="45" t="s">
        <v>18</v>
      </c>
      <c r="D32" s="30">
        <v>19</v>
      </c>
      <c r="F32" s="26" t="str">
        <f>IFERROR(VLOOKUP(D32,Sessions!A:G,2,FALSE),"")</f>
        <v>[Curator's Tour] Leo Robinson's at London Mithraeum</v>
      </c>
      <c r="G32" s="27">
        <f>IFERROR(VLOOKUP(D32,Sessions!A:G,3,FALSE),"")</f>
        <v>45463</v>
      </c>
      <c r="H32" s="26" t="str">
        <f>IFERROR(VLOOKUP(D32,Sessions!A:G,4,FALSE),"")</f>
        <v>4:30pm</v>
      </c>
      <c r="I32" s="38">
        <f>IFERROR(VLOOKUP(D32,Sessions!A:G,5,FALSE),"")</f>
        <v>6</v>
      </c>
      <c r="J32" s="38">
        <f>IFERROR(VLOOKUP(D32,Sessions!A:G,6,FALSE),"")</f>
        <v>15</v>
      </c>
      <c r="K32" s="40">
        <v>6</v>
      </c>
      <c r="L32" s="40" t="s">
        <v>3</v>
      </c>
      <c r="M32" s="42" t="str">
        <f t="shared" si="1"/>
        <v>It's all set! 🎉 Here is a summary of your order:
*Number of Tickets*: 1
*Experience*: [Curator's Tour] Leo Robinson's at London Mithraeum
*Date*: 20/06/24
*Time*: 4:30pm
*Price*: 6 credits
We will issue your tickets on Evenbrite soon.
*Cancelation Policy*: 100% refund for cancelations 24h prior to event.</v>
      </c>
    </row>
    <row r="33" spans="1:13" ht="15.95">
      <c r="A33" s="46"/>
      <c r="B33" s="46">
        <v>45509</v>
      </c>
      <c r="C33" s="45" t="s">
        <v>19</v>
      </c>
      <c r="D33" s="30">
        <v>14</v>
      </c>
      <c r="F33" s="26" t="str">
        <f>IFERROR(VLOOKUP(D33,Sessions!A:G,2,FALSE),"")</f>
        <v>[Hidden Gem] Gallery Stroll in Central London</v>
      </c>
      <c r="G33" s="27">
        <f>IFERROR(VLOOKUP(D33,Sessions!A:G,3,FALSE),"")</f>
        <v>45423</v>
      </c>
      <c r="H33" s="26" t="str">
        <f>IFERROR(VLOOKUP(D33,Sessions!A:G,4,FALSE),"")</f>
        <v>2:00pm</v>
      </c>
      <c r="I33" s="38">
        <f>IFERROR(VLOOKUP(D33,Sessions!A:G,5,FALSE),"")</f>
        <v>6</v>
      </c>
      <c r="J33" s="38">
        <f>IFERROR(VLOOKUP(D33,Sessions!A:G,6,FALSE),"")</f>
        <v>15</v>
      </c>
      <c r="K33" s="40">
        <v>15</v>
      </c>
      <c r="L33" s="40" t="s">
        <v>17</v>
      </c>
      <c r="M33" s="42" t="str">
        <f t="shared" si="1"/>
        <v>It's all set! 🎉 Here is a summary of your order:
*Number of Tickets*: 1
*Experience*: [Hidden Gem] Gallery Stroll in Central London
*Date*: 11/05/24
*Time*: 2:00pm
*Price*: 15 pounds
We will issue your tickets on Evenbrite soon.
*Cancelation Policy*: 100% refund for cancelations 24h prior to event.</v>
      </c>
    </row>
    <row r="34" spans="1:13" ht="15.95">
      <c r="A34" s="46"/>
      <c r="B34" s="46">
        <v>45509</v>
      </c>
      <c r="C34" s="45" t="s">
        <v>28</v>
      </c>
      <c r="D34" s="30">
        <v>14</v>
      </c>
      <c r="F34" s="26" t="str">
        <f>IFERROR(VLOOKUP(D34,Sessions!A:G,2,FALSE),"")</f>
        <v>[Hidden Gem] Gallery Stroll in Central London</v>
      </c>
      <c r="G34" s="27">
        <f>IFERROR(VLOOKUP(D34,Sessions!A:G,3,FALSE),"")</f>
        <v>45423</v>
      </c>
      <c r="H34" s="26" t="str">
        <f>IFERROR(VLOOKUP(D34,Sessions!A:G,4,FALSE),"")</f>
        <v>2:00pm</v>
      </c>
      <c r="I34" s="38">
        <f>IFERROR(VLOOKUP(D34,Sessions!A:G,5,FALSE),"")</f>
        <v>6</v>
      </c>
      <c r="J34" s="38">
        <f>IFERROR(VLOOKUP(D34,Sessions!A:G,6,FALSE),"")</f>
        <v>15</v>
      </c>
      <c r="K34" s="40">
        <v>10</v>
      </c>
      <c r="L34" s="40" t="s">
        <v>17</v>
      </c>
      <c r="M34" s="42" t="str">
        <f t="shared" si="1"/>
        <v>It's all set! 🎉 Here is a summary of your order:
*Number of Tickets*: 1
*Experience*: [Hidden Gem] Gallery Stroll in Central London
*Date*: 11/05/24
*Time*: 2:00pm
*Price*: 10 pounds
We will issue your tickets on Evenbrite soon.
*Cancelation Policy*: 100% refund for cancelations 24h prior to event.</v>
      </c>
    </row>
    <row r="35" spans="1:13" ht="15.95">
      <c r="A35" s="46"/>
      <c r="B35" s="46">
        <v>45420</v>
      </c>
      <c r="C35" s="45" t="s">
        <v>23</v>
      </c>
      <c r="D35" s="61">
        <v>14</v>
      </c>
      <c r="E35" s="61"/>
      <c r="F35" s="26" t="str">
        <f>IFERROR(VLOOKUP(D35,Sessions!A:G,2,FALSE),"")</f>
        <v>[Hidden Gem] Gallery Stroll in Central London</v>
      </c>
      <c r="G35" s="27">
        <f>IFERROR(VLOOKUP(D35,Sessions!A:G,3,FALSE),"")</f>
        <v>45423</v>
      </c>
      <c r="H35" s="26" t="str">
        <f>IFERROR(VLOOKUP(D35,Sessions!A:G,4,FALSE),"")</f>
        <v>2:00pm</v>
      </c>
      <c r="I35" s="38">
        <f>IFERROR(VLOOKUP(D35,Sessions!A:G,5,FALSE),"")</f>
        <v>6</v>
      </c>
      <c r="J35" s="38">
        <f>IFERROR(VLOOKUP(D35,Sessions!A:G,6,FALSE),"")</f>
        <v>15</v>
      </c>
      <c r="K35" s="40">
        <v>15</v>
      </c>
      <c r="L35" s="40" t="s">
        <v>17</v>
      </c>
      <c r="M35" s="42" t="str">
        <f t="shared" si="1"/>
        <v>It's all set! 🎉 Here is a summary of your order:
*Number of Tickets*: 1
*Experience*: [Hidden Gem] Gallery Stroll in Central London
*Date*: 11/05/24
*Time*: 2:00pm
*Price*: 15 pounds
We will issue your tickets on Evenbrite soon.
*Cancelation Policy*: 100% refund for cancelations 24h prior to event.</v>
      </c>
    </row>
    <row r="36" spans="1:13" ht="15.95">
      <c r="A36" s="46"/>
      <c r="B36" s="46">
        <v>45509</v>
      </c>
      <c r="C36" s="45" t="s">
        <v>29</v>
      </c>
      <c r="D36" s="30">
        <v>14</v>
      </c>
      <c r="F36" s="26" t="str">
        <f>IFERROR(VLOOKUP(D36,Sessions!A:G,2,FALSE),"")</f>
        <v>[Hidden Gem] Gallery Stroll in Central London</v>
      </c>
      <c r="G36" s="27">
        <f>IFERROR(VLOOKUP(D36,Sessions!A:G,3,FALSE),"")</f>
        <v>45423</v>
      </c>
      <c r="H36" s="26" t="str">
        <f>IFERROR(VLOOKUP(D36,Sessions!A:G,4,FALSE),"")</f>
        <v>2:00pm</v>
      </c>
      <c r="I36" s="38">
        <f>IFERROR(VLOOKUP(D36,Sessions!A:G,5,FALSE),"")</f>
        <v>6</v>
      </c>
      <c r="J36" s="38">
        <f>IFERROR(VLOOKUP(D36,Sessions!A:G,6,FALSE),"")</f>
        <v>15</v>
      </c>
      <c r="K36" s="40">
        <v>10</v>
      </c>
      <c r="L36" s="40" t="s">
        <v>17</v>
      </c>
      <c r="M36" s="42" t="str">
        <f t="shared" si="1"/>
        <v>It's all set! 🎉 Here is a summary of your order:
*Number of Tickets*: 1
*Experience*: [Hidden Gem] Gallery Stroll in Central London
*Date*: 11/05/24
*Time*: 2:00pm
*Price*: 10 pounds
We will issue your tickets on Evenbrite soon.
*Cancelation Policy*: 100% refund for cancelations 24h prior to event.</v>
      </c>
    </row>
    <row r="37" spans="1:13" ht="15.95">
      <c r="A37" s="46"/>
      <c r="B37" s="46">
        <v>45509</v>
      </c>
      <c r="C37" s="45" t="s">
        <v>30</v>
      </c>
      <c r="D37" s="30">
        <v>14</v>
      </c>
      <c r="F37" s="26" t="str">
        <f>IFERROR(VLOOKUP(D37,Sessions!A:G,2,FALSE),"")</f>
        <v>[Hidden Gem] Gallery Stroll in Central London</v>
      </c>
      <c r="G37" s="27">
        <f>IFERROR(VLOOKUP(D37,Sessions!A:G,3,FALSE),"")</f>
        <v>45423</v>
      </c>
      <c r="H37" s="26" t="str">
        <f>IFERROR(VLOOKUP(D37,Sessions!A:G,4,FALSE),"")</f>
        <v>2:00pm</v>
      </c>
      <c r="I37" s="38">
        <f>IFERROR(VLOOKUP(D37,Sessions!A:G,5,FALSE),"")</f>
        <v>6</v>
      </c>
      <c r="J37" s="38">
        <f>IFERROR(VLOOKUP(D37,Sessions!A:G,6,FALSE),"")</f>
        <v>15</v>
      </c>
      <c r="K37" s="40">
        <v>10</v>
      </c>
      <c r="L37" s="40" t="s">
        <v>17</v>
      </c>
      <c r="M37" s="42" t="str">
        <f t="shared" si="1"/>
        <v>It's all set! 🎉 Here is a summary of your order:
*Number of Tickets*: 1
*Experience*: [Hidden Gem] Gallery Stroll in Central London
*Date*: 11/05/24
*Time*: 2:00pm
*Price*: 10 pounds
We will issue your tickets on Evenbrite soon.
*Cancelation Policy*: 100% refund for cancelations 24h prior to event.</v>
      </c>
    </row>
    <row r="38" spans="1:13" ht="15.95">
      <c r="A38" s="46"/>
      <c r="B38" s="46">
        <v>45422</v>
      </c>
      <c r="C38" s="45" t="s">
        <v>31</v>
      </c>
      <c r="D38" s="30">
        <v>14</v>
      </c>
      <c r="F38" s="26" t="str">
        <f>IFERROR(VLOOKUP(D38,Sessions!A:G,2,FALSE),"")</f>
        <v>[Hidden Gem] Gallery Stroll in Central London</v>
      </c>
      <c r="G38" s="27">
        <f>IFERROR(VLOOKUP(D38,Sessions!A:G,3,FALSE),"")</f>
        <v>45423</v>
      </c>
      <c r="H38" s="26" t="str">
        <f>IFERROR(VLOOKUP(D38,Sessions!A:G,4,FALSE),"")</f>
        <v>2:00pm</v>
      </c>
      <c r="I38" s="38">
        <f>IFERROR(VLOOKUP(D38,Sessions!A:G,5,FALSE),"")</f>
        <v>6</v>
      </c>
      <c r="J38" s="38">
        <f>IFERROR(VLOOKUP(D38,Sessions!A:G,6,FALSE),"")</f>
        <v>15</v>
      </c>
      <c r="K38" s="40">
        <v>15</v>
      </c>
      <c r="L38" s="40" t="s">
        <v>17</v>
      </c>
      <c r="M38" s="42" t="str">
        <f t="shared" si="1"/>
        <v>It's all set! 🎉 Here is a summary of your order:
*Number of Tickets*: 1
*Experience*: [Hidden Gem] Gallery Stroll in Central London
*Date*: 11/05/24
*Time*: 2:00pm
*Price*: 15 pounds
We will issue your tickets on Evenbrite soon.
*Cancelation Policy*: 100% refund for cancelations 24h prior to event.</v>
      </c>
    </row>
    <row r="39" spans="1:13" ht="15.95">
      <c r="A39" s="46"/>
      <c r="B39" s="46">
        <v>45426</v>
      </c>
      <c r="C39" s="45" t="s">
        <v>20</v>
      </c>
      <c r="D39" s="30">
        <v>15</v>
      </c>
      <c r="F39" s="26" t="str">
        <f>IFERROR(VLOOKUP(D39,Sessions!A:G,2,FALSE),"")</f>
        <v>[Hidden Gem] Gallery Stroll in Central London</v>
      </c>
      <c r="G39" s="27">
        <f>IFERROR(VLOOKUP(D39,Sessions!A:G,3,FALSE),"")</f>
        <v>45430</v>
      </c>
      <c r="H39" s="26" t="str">
        <f>IFERROR(VLOOKUP(D39,Sessions!A:G,4,FALSE),"")</f>
        <v>1:00pm</v>
      </c>
      <c r="I39" s="38">
        <f>IFERROR(VLOOKUP(D39,Sessions!A:G,5,FALSE),"")</f>
        <v>6</v>
      </c>
      <c r="J39" s="38">
        <f>IFERROR(VLOOKUP(D39,Sessions!A:G,6,FALSE),"")</f>
        <v>15</v>
      </c>
      <c r="K39" s="40">
        <v>6</v>
      </c>
      <c r="L39" s="40" t="s">
        <v>3</v>
      </c>
      <c r="M39" s="42" t="str">
        <f t="shared" si="1"/>
        <v>It's all set! 🎉 Here is a summary of your order:
*Number of Tickets*: 1
*Experience*: [Hidden Gem] Gallery Stroll in Central London
*Date*: 18/05/24
*Time*: 1:00pm
*Price*: 6 credits
We will issue your tickets on Evenbrite soon.
*Cancelation Policy*: 100% refund for cancelations 24h prior to event.</v>
      </c>
    </row>
    <row r="40" spans="1:13" ht="15.95">
      <c r="A40" s="46"/>
      <c r="B40" s="46">
        <v>45428</v>
      </c>
      <c r="C40" s="45" t="s">
        <v>32</v>
      </c>
      <c r="D40" s="30">
        <v>15</v>
      </c>
      <c r="F40" s="26" t="str">
        <f>IFERROR(VLOOKUP(D40,Sessions!A:G,2,FALSE),"")</f>
        <v>[Hidden Gem] Gallery Stroll in Central London</v>
      </c>
      <c r="G40" s="27">
        <f>IFERROR(VLOOKUP(D40,Sessions!A:G,3,FALSE),"")</f>
        <v>45430</v>
      </c>
      <c r="H40" s="26" t="str">
        <f>IFERROR(VLOOKUP(D40,Sessions!A:G,4,FALSE),"")</f>
        <v>1:00pm</v>
      </c>
      <c r="I40" s="38">
        <f>IFERROR(VLOOKUP(D40,Sessions!A:G,5,FALSE),"")</f>
        <v>6</v>
      </c>
      <c r="J40" s="38">
        <f>IFERROR(VLOOKUP(D40,Sessions!A:G,6,FALSE),"")</f>
        <v>15</v>
      </c>
      <c r="K40" s="40">
        <v>15</v>
      </c>
      <c r="L40" s="40" t="s">
        <v>17</v>
      </c>
      <c r="M40" s="42" t="str">
        <f t="shared" si="1"/>
        <v>It's all set! 🎉 Here is a summary of your order:
*Number of Tickets*: 1
*Experience*: [Hidden Gem] Gallery Stroll in Central London
*Date*: 18/05/24
*Time*: 1:00pm
*Price*: 15 pounds
We will issue your tickets on Evenbrite soon.
*Cancelation Policy*: 100% refund for cancelations 24h prior to event.</v>
      </c>
    </row>
    <row r="41" spans="1:13" ht="15.95">
      <c r="A41" s="46"/>
      <c r="B41" s="46">
        <v>45428</v>
      </c>
      <c r="C41" s="45" t="s">
        <v>33</v>
      </c>
      <c r="D41" s="30">
        <v>15</v>
      </c>
      <c r="F41" s="26" t="str">
        <f>IFERROR(VLOOKUP(D41,Sessions!A:G,2,FALSE),"")</f>
        <v>[Hidden Gem] Gallery Stroll in Central London</v>
      </c>
      <c r="G41" s="27">
        <f>IFERROR(VLOOKUP(D41,Sessions!A:G,3,FALSE),"")</f>
        <v>45430</v>
      </c>
      <c r="H41" s="26" t="str">
        <f>IFERROR(VLOOKUP(D41,Sessions!A:G,4,FALSE),"")</f>
        <v>1:00pm</v>
      </c>
      <c r="I41" s="38">
        <f>IFERROR(VLOOKUP(D41,Sessions!A:G,5,FALSE),"")</f>
        <v>6</v>
      </c>
      <c r="J41" s="38">
        <f>IFERROR(VLOOKUP(D41,Sessions!A:G,6,FALSE),"")</f>
        <v>15</v>
      </c>
      <c r="K41" s="40">
        <v>6</v>
      </c>
      <c r="L41" s="40" t="s">
        <v>3</v>
      </c>
      <c r="M41" s="42" t="str">
        <f t="shared" si="1"/>
        <v>It's all set! 🎉 Here is a summary of your order:
*Number of Tickets*: 1
*Experience*: [Hidden Gem] Gallery Stroll in Central London
*Date*: 18/05/24
*Time*: 1:00pm
*Price*: 6 credits
We will issue your tickets on Evenbrite soon.
*Cancelation Policy*: 100% refund for cancelations 24h prior to event.</v>
      </c>
    </row>
    <row r="42" spans="1:13" ht="15.95">
      <c r="A42" s="46"/>
      <c r="B42" s="46">
        <v>45430</v>
      </c>
      <c r="C42" s="45" t="s">
        <v>34</v>
      </c>
      <c r="D42" s="30">
        <v>15</v>
      </c>
      <c r="F42" s="26" t="str">
        <f>IFERROR(VLOOKUP(D42,Sessions!A:G,2,FALSE),"")</f>
        <v>[Hidden Gem] Gallery Stroll in Central London</v>
      </c>
      <c r="G42" s="27">
        <f>IFERROR(VLOOKUP(D42,Sessions!A:G,3,FALSE),"")</f>
        <v>45430</v>
      </c>
      <c r="H42" s="26" t="str">
        <f>IFERROR(VLOOKUP(D42,Sessions!A:G,4,FALSE),"")</f>
        <v>1:00pm</v>
      </c>
      <c r="I42" s="38">
        <f>IFERROR(VLOOKUP(D42,Sessions!A:G,5,FALSE),"")</f>
        <v>6</v>
      </c>
      <c r="J42" s="38">
        <f>IFERROR(VLOOKUP(D42,Sessions!A:G,6,FALSE),"")</f>
        <v>15</v>
      </c>
      <c r="K42" s="40">
        <v>15</v>
      </c>
      <c r="L42" s="40" t="s">
        <v>17</v>
      </c>
      <c r="M42" s="42" t="str">
        <f t="shared" si="1"/>
        <v>It's all set! 🎉 Here is a summary of your order:
*Number of Tickets*: 1
*Experience*: [Hidden Gem] Gallery Stroll in Central London
*Date*: 18/05/24
*Time*: 1:00pm
*Price*: 15 pounds
We will issue your tickets on Evenbrite soon.
*Cancelation Policy*: 100% refund for cancelations 24h prior to event.</v>
      </c>
    </row>
    <row r="43" spans="1:13" ht="15.95">
      <c r="A43" s="46"/>
      <c r="B43" s="46">
        <v>45427</v>
      </c>
      <c r="C43" s="45" t="s">
        <v>35</v>
      </c>
      <c r="D43" s="61">
        <v>15</v>
      </c>
      <c r="E43" s="61"/>
      <c r="F43" s="26" t="str">
        <f>IFERROR(VLOOKUP(D43,Sessions!A:G,2,FALSE),"")</f>
        <v>[Hidden Gem] Gallery Stroll in Central London</v>
      </c>
      <c r="G43" s="27">
        <f>IFERROR(VLOOKUP(D43,Sessions!A:G,3,FALSE),"")</f>
        <v>45430</v>
      </c>
      <c r="H43" s="26" t="str">
        <f>IFERROR(VLOOKUP(D43,Sessions!A:G,4,FALSE),"")</f>
        <v>1:00pm</v>
      </c>
      <c r="I43" s="38">
        <f>IFERROR(VLOOKUP(D43,Sessions!A:G,5,FALSE),"")</f>
        <v>6</v>
      </c>
      <c r="J43" s="38">
        <f>IFERROR(VLOOKUP(D43,Sessions!A:G,6,FALSE),"")</f>
        <v>15</v>
      </c>
      <c r="K43" s="40">
        <v>0</v>
      </c>
      <c r="L43" s="40" t="s">
        <v>17</v>
      </c>
      <c r="M43" s="42" t="str">
        <f t="shared" si="1"/>
        <v>It's all set! 🎉 Here is a summary of your order:
*Number of Tickets*: 1
*Experience*: [Hidden Gem] Gallery Stroll in Central London
*Date*: 18/05/24
*Time*: 1:00pm
*Price*: 0 pounds
We will issue your tickets on Evenbrite soon.
*Cancelation Policy*: 100% refund for cancelations 24h prior to event.</v>
      </c>
    </row>
    <row r="44" spans="1:13" ht="15.95">
      <c r="A44" s="46"/>
      <c r="B44" s="46">
        <v>45426</v>
      </c>
      <c r="C44" s="45" t="s">
        <v>36</v>
      </c>
      <c r="D44" s="30">
        <v>15</v>
      </c>
      <c r="F44" s="26" t="str">
        <f>IFERROR(VLOOKUP(D44,Sessions!A:G,2,FALSE),"")</f>
        <v>[Hidden Gem] Gallery Stroll in Central London</v>
      </c>
      <c r="G44" s="27">
        <f>IFERROR(VLOOKUP(D44,Sessions!A:G,3,FALSE),"")</f>
        <v>45430</v>
      </c>
      <c r="H44" s="26" t="str">
        <f>IFERROR(VLOOKUP(D44,Sessions!A:G,4,FALSE),"")</f>
        <v>1:00pm</v>
      </c>
      <c r="I44" s="38">
        <f>IFERROR(VLOOKUP(D44,Sessions!A:G,5,FALSE),"")</f>
        <v>6</v>
      </c>
      <c r="J44" s="38">
        <f>IFERROR(VLOOKUP(D44,Sessions!A:G,6,FALSE),"")</f>
        <v>15</v>
      </c>
      <c r="K44" s="40">
        <v>15</v>
      </c>
      <c r="L44" s="40" t="s">
        <v>17</v>
      </c>
      <c r="M44" s="42" t="str">
        <f t="shared" si="1"/>
        <v>It's all set! 🎉 Here is a summary of your order:
*Number of Tickets*: 1
*Experience*: [Hidden Gem] Gallery Stroll in Central London
*Date*: 18/05/24
*Time*: 1:00pm
*Price*: 15 pounds
We will issue your tickets on Evenbrite soon.
*Cancelation Policy*: 100% refund for cancelations 24h prior to event.</v>
      </c>
    </row>
    <row r="45" spans="1:13" ht="15.95">
      <c r="A45" s="25"/>
      <c r="B45" s="46">
        <v>45437</v>
      </c>
      <c r="C45" s="45" t="s">
        <v>37</v>
      </c>
      <c r="D45" s="30">
        <v>16</v>
      </c>
      <c r="F45" s="26" t="str">
        <f>IFERROR(VLOOKUP(D45,Sessions!A:G,2,FALSE),"")</f>
        <v>[Hidden Gem] Gallery Stroll in Central London</v>
      </c>
      <c r="G45" s="27">
        <f>IFERROR(VLOOKUP(D45,Sessions!A:G,3,FALSE),"")</f>
        <v>45437</v>
      </c>
      <c r="H45" s="26" t="str">
        <f>IFERROR(VLOOKUP(D45,Sessions!A:G,4,FALSE),"")</f>
        <v>2:00pm</v>
      </c>
      <c r="I45" s="38">
        <f>IFERROR(VLOOKUP(D45,Sessions!A:G,5,FALSE),"")</f>
        <v>6</v>
      </c>
      <c r="J45" s="38">
        <f>IFERROR(VLOOKUP(D45,Sessions!A:G,6,FALSE),"")</f>
        <v>15</v>
      </c>
      <c r="K45" s="40">
        <v>15</v>
      </c>
      <c r="L45" s="40" t="s">
        <v>17</v>
      </c>
      <c r="M45" s="42" t="str">
        <f t="shared" si="1"/>
        <v>It's all set! 🎉 Here is a summary of your order:
*Number of Tickets*: 1
*Experience*: [Hidden Gem] Gallery Stroll in Central London
*Date*: 25/05/24
*Time*: 2:00pm
*Price*: 15 pounds
We will issue your tickets on Evenbrite soon.
*Cancelation Policy*: 100% refund for cancelations 24h prior to event.</v>
      </c>
    </row>
    <row r="46" spans="1:13" ht="15.95">
      <c r="A46" s="46"/>
      <c r="B46" s="46">
        <v>45509</v>
      </c>
      <c r="C46" s="45" t="s">
        <v>18</v>
      </c>
      <c r="D46" s="30">
        <v>16</v>
      </c>
      <c r="F46" s="26" t="str">
        <f>IFERROR(VLOOKUP(D46,Sessions!A:G,2,FALSE),"")</f>
        <v>[Hidden Gem] Gallery Stroll in Central London</v>
      </c>
      <c r="G46" s="27">
        <f>IFERROR(VLOOKUP(D46,Sessions!A:G,3,FALSE),"")</f>
        <v>45437</v>
      </c>
      <c r="H46" s="26" t="str">
        <f>IFERROR(VLOOKUP(D46,Sessions!A:G,4,FALSE),"")</f>
        <v>2:00pm</v>
      </c>
      <c r="I46" s="38">
        <f>IFERROR(VLOOKUP(D46,Sessions!A:G,5,FALSE),"")</f>
        <v>6</v>
      </c>
      <c r="J46" s="38">
        <f>IFERROR(VLOOKUP(D46,Sessions!A:G,6,FALSE),"")</f>
        <v>15</v>
      </c>
      <c r="K46" s="40">
        <v>15</v>
      </c>
      <c r="L46" s="40" t="s">
        <v>17</v>
      </c>
      <c r="M46" s="42" t="str">
        <f t="shared" si="1"/>
        <v>It's all set! 🎉 Here is a summary of your order:
*Number of Tickets*: 1
*Experience*: [Hidden Gem] Gallery Stroll in Central London
*Date*: 25/05/24
*Time*: 2:00pm
*Price*: 15 pounds
We will issue your tickets on Evenbrite soon.
*Cancelation Policy*: 100% refund for cancelations 24h prior to event.</v>
      </c>
    </row>
    <row r="47" spans="1:13" ht="15.95">
      <c r="A47" s="25"/>
      <c r="B47" s="46">
        <v>45437</v>
      </c>
      <c r="C47" s="45" t="s">
        <v>38</v>
      </c>
      <c r="D47" s="30">
        <v>16</v>
      </c>
      <c r="F47" s="26" t="str">
        <f>IFERROR(VLOOKUP(D47,Sessions!A:G,2,FALSE),"")</f>
        <v>[Hidden Gem] Gallery Stroll in Central London</v>
      </c>
      <c r="G47" s="27">
        <f>IFERROR(VLOOKUP(D47,Sessions!A:G,3,FALSE),"")</f>
        <v>45437</v>
      </c>
      <c r="H47" s="26" t="str">
        <f>IFERROR(VLOOKUP(D47,Sessions!A:G,4,FALSE),"")</f>
        <v>2:00pm</v>
      </c>
      <c r="I47" s="38">
        <f>IFERROR(VLOOKUP(D47,Sessions!A:G,5,FALSE),"")</f>
        <v>6</v>
      </c>
      <c r="J47" s="38">
        <f>IFERROR(VLOOKUP(D47,Sessions!A:G,6,FALSE),"")</f>
        <v>15</v>
      </c>
      <c r="K47" s="40">
        <v>15</v>
      </c>
      <c r="L47" s="40" t="s">
        <v>17</v>
      </c>
      <c r="M47" s="42" t="str">
        <f t="shared" si="1"/>
        <v>It's all set! 🎉 Here is a summary of your order:
*Number of Tickets*: 1
*Experience*: [Hidden Gem] Gallery Stroll in Central London
*Date*: 25/05/24
*Time*: 2:00pm
*Price*: 15 pounds
We will issue your tickets on Evenbrite soon.
*Cancelation Policy*: 100% refund for cancelations 24h prior to event.</v>
      </c>
    </row>
    <row r="48" spans="1:13" ht="15.95">
      <c r="A48" s="25"/>
      <c r="B48" s="46">
        <v>45437</v>
      </c>
      <c r="C48" s="45" t="s">
        <v>39</v>
      </c>
      <c r="D48" s="30">
        <v>16</v>
      </c>
      <c r="F48" s="26" t="str">
        <f>IFERROR(VLOOKUP(D48,Sessions!A:G,2,FALSE),"")</f>
        <v>[Hidden Gem] Gallery Stroll in Central London</v>
      </c>
      <c r="G48" s="27">
        <f>IFERROR(VLOOKUP(D48,Sessions!A:G,3,FALSE),"")</f>
        <v>45437</v>
      </c>
      <c r="H48" s="26" t="str">
        <f>IFERROR(VLOOKUP(D48,Sessions!A:G,4,FALSE),"")</f>
        <v>2:00pm</v>
      </c>
      <c r="I48" s="38">
        <f>IFERROR(VLOOKUP(D48,Sessions!A:G,5,FALSE),"")</f>
        <v>6</v>
      </c>
      <c r="J48" s="38">
        <f>IFERROR(VLOOKUP(D48,Sessions!A:G,6,FALSE),"")</f>
        <v>15</v>
      </c>
      <c r="K48" s="40">
        <v>15</v>
      </c>
      <c r="L48" s="40" t="s">
        <v>17</v>
      </c>
      <c r="M48" s="42" t="str">
        <f t="shared" si="1"/>
        <v>It's all set! 🎉 Here is a summary of your order:
*Number of Tickets*: 1
*Experience*: [Hidden Gem] Gallery Stroll in Central London
*Date*: 25/05/24
*Time*: 2:00pm
*Price*: 15 pounds
We will issue your tickets on Evenbrite soon.
*Cancelation Policy*: 100% refund for cancelations 24h prior to event.</v>
      </c>
    </row>
    <row r="49" spans="1:13" ht="15.95">
      <c r="A49" s="46"/>
      <c r="B49" s="46">
        <v>45420</v>
      </c>
      <c r="C49" s="45" t="s">
        <v>40</v>
      </c>
      <c r="D49" s="30">
        <v>16</v>
      </c>
      <c r="F49" s="26" t="str">
        <f>IFERROR(VLOOKUP(D49,Sessions!A:G,2,FALSE),"")</f>
        <v>[Hidden Gem] Gallery Stroll in Central London</v>
      </c>
      <c r="G49" s="27">
        <f>IFERROR(VLOOKUP(D49,Sessions!A:G,3,FALSE),"")</f>
        <v>45437</v>
      </c>
      <c r="H49" s="26" t="str">
        <f>IFERROR(VLOOKUP(D49,Sessions!A:G,4,FALSE),"")</f>
        <v>2:00pm</v>
      </c>
      <c r="I49" s="38">
        <f>IFERROR(VLOOKUP(D49,Sessions!A:G,5,FALSE),"")</f>
        <v>6</v>
      </c>
      <c r="J49" s="38">
        <f>IFERROR(VLOOKUP(D49,Sessions!A:G,6,FALSE),"")</f>
        <v>15</v>
      </c>
      <c r="K49" s="58">
        <v>10</v>
      </c>
      <c r="L49" s="40" t="s">
        <v>17</v>
      </c>
      <c r="M49" s="42" t="str">
        <f t="shared" si="1"/>
        <v>It's all set! 🎉 Here is a summary of your order:
*Number of Tickets*: 1
*Experience*: [Hidden Gem] Gallery Stroll in Central London
*Date*: 25/05/24
*Time*: 2:00pm
*Price*: 10 pounds
We will issue your tickets on Evenbrite soon.
*Cancelation Policy*: 100% refund for cancelations 24h prior to event.</v>
      </c>
    </row>
    <row r="50" spans="1:13" ht="15.95">
      <c r="A50" s="25"/>
      <c r="B50" s="46">
        <v>45436</v>
      </c>
      <c r="C50" s="45" t="s">
        <v>41</v>
      </c>
      <c r="D50" s="61">
        <v>16</v>
      </c>
      <c r="E50" s="61"/>
      <c r="F50" s="26" t="str">
        <f>IFERROR(VLOOKUP(D50,Sessions!A:G,2,FALSE),"")</f>
        <v>[Hidden Gem] Gallery Stroll in Central London</v>
      </c>
      <c r="G50" s="27">
        <f>IFERROR(VLOOKUP(D50,Sessions!A:G,3,FALSE),"")</f>
        <v>45437</v>
      </c>
      <c r="H50" s="26" t="str">
        <f>IFERROR(VLOOKUP(D50,Sessions!A:G,4,FALSE),"")</f>
        <v>2:00pm</v>
      </c>
      <c r="I50" s="38">
        <f>IFERROR(VLOOKUP(D50,Sessions!A:G,5,FALSE),"")</f>
        <v>6</v>
      </c>
      <c r="J50" s="38">
        <f>IFERROR(VLOOKUP(D50,Sessions!A:G,6,FALSE),"")</f>
        <v>15</v>
      </c>
      <c r="K50" s="40">
        <v>15</v>
      </c>
      <c r="L50" s="40" t="s">
        <v>17</v>
      </c>
      <c r="M50" s="42" t="str">
        <f t="shared" si="1"/>
        <v>It's all set! 🎉 Here is a summary of your order:
*Number of Tickets*: 1
*Experience*: [Hidden Gem] Gallery Stroll in Central London
*Date*: 25/05/24
*Time*: 2:00pm
*Price*: 15 pounds
We will issue your tickets on Evenbrite soon.
*Cancelation Policy*: 100% refund for cancelations 24h prior to event.</v>
      </c>
    </row>
    <row r="51" spans="1:13" ht="15.95">
      <c r="A51" s="25"/>
      <c r="B51" s="46">
        <v>45432</v>
      </c>
      <c r="C51" s="45" t="s">
        <v>30</v>
      </c>
      <c r="D51" s="30">
        <v>16</v>
      </c>
      <c r="F51" s="26" t="str">
        <f>IFERROR(VLOOKUP(D51,Sessions!A:G,2,FALSE),"")</f>
        <v>[Hidden Gem] Gallery Stroll in Central London</v>
      </c>
      <c r="G51" s="27">
        <f>IFERROR(VLOOKUP(D51,Sessions!A:G,3,FALSE),"")</f>
        <v>45437</v>
      </c>
      <c r="H51" s="26" t="str">
        <f>IFERROR(VLOOKUP(D51,Sessions!A:G,4,FALSE),"")</f>
        <v>2:00pm</v>
      </c>
      <c r="I51" s="38">
        <f>IFERROR(VLOOKUP(D51,Sessions!A:G,5,FALSE),"")</f>
        <v>6</v>
      </c>
      <c r="J51" s="38">
        <f>IFERROR(VLOOKUP(D51,Sessions!A:G,6,FALSE),"")</f>
        <v>15</v>
      </c>
      <c r="K51" s="40">
        <v>6</v>
      </c>
      <c r="L51" s="40" t="s">
        <v>3</v>
      </c>
      <c r="M51" s="42" t="str">
        <f t="shared" si="1"/>
        <v>It's all set! 🎉 Here is a summary of your order:
*Number of Tickets*: 1
*Experience*: [Hidden Gem] Gallery Stroll in Central London
*Date*: 25/05/24
*Time*: 2:00pm
*Price*: 6 credits
We will issue your tickets on Evenbrite soon.
*Cancelation Policy*: 100% refund for cancelations 24h prior to event.</v>
      </c>
    </row>
    <row r="52" spans="1:13" ht="15.95">
      <c r="A52" s="25"/>
      <c r="B52" s="46">
        <v>45442</v>
      </c>
      <c r="C52" s="45" t="s">
        <v>42</v>
      </c>
      <c r="D52" s="30">
        <v>18</v>
      </c>
      <c r="F52" s="26" t="str">
        <f>IFERROR(VLOOKUP(D52,Sessions!A:G,2,FALSE),"")</f>
        <v>[Special] London Gallery Weekend</v>
      </c>
      <c r="G52" s="27">
        <f>IFERROR(VLOOKUP(D52,Sessions!A:G,3,FALSE),"")</f>
        <v>45445</v>
      </c>
      <c r="H52" s="26" t="str">
        <f>IFERROR(VLOOKUP(D52,Sessions!A:G,4,FALSE),"")</f>
        <v>11am</v>
      </c>
      <c r="I52" s="38">
        <f>IFERROR(VLOOKUP(D52,Sessions!A:G,5,FALSE),"")</f>
        <v>6</v>
      </c>
      <c r="J52" s="38">
        <f>IFERROR(VLOOKUP(D52,Sessions!A:G,6,FALSE),"")</f>
        <v>15</v>
      </c>
      <c r="M52" s="42" t="str">
        <f t="shared" si="1"/>
        <v>It's all set! 🎉 Here is a summary of your order:
*Number of Tickets*: 1
*Experience*: [Special] London Gallery Weekend
*Date*: 02/06/24
*Time*: 11am
*Price*:  
We will issue your tickets on Evenbrite soon.
*Cancelation Policy*: 100% refund for cancelations 24h prior to event.</v>
      </c>
    </row>
    <row r="53" spans="1:13" ht="15.95">
      <c r="A53" s="25"/>
      <c r="B53" s="46">
        <v>45442</v>
      </c>
      <c r="C53" s="45" t="s">
        <v>43</v>
      </c>
      <c r="D53" s="30">
        <v>18</v>
      </c>
      <c r="F53" s="26" t="str">
        <f>IFERROR(VLOOKUP(D53,Sessions!A:G,2,FALSE),"")</f>
        <v>[Special] London Gallery Weekend</v>
      </c>
      <c r="G53" s="27">
        <f>IFERROR(VLOOKUP(D53,Sessions!A:G,3,FALSE),"")</f>
        <v>45445</v>
      </c>
      <c r="H53" s="26" t="str">
        <f>IFERROR(VLOOKUP(D53,Sessions!A:G,4,FALSE),"")</f>
        <v>11am</v>
      </c>
      <c r="I53" s="38">
        <f>IFERROR(VLOOKUP(D53,Sessions!A:G,5,FALSE),"")</f>
        <v>6</v>
      </c>
      <c r="J53" s="38">
        <f>IFERROR(VLOOKUP(D53,Sessions!A:G,6,FALSE),"")</f>
        <v>15</v>
      </c>
      <c r="M53" s="42" t="str">
        <f t="shared" si="1"/>
        <v>It's all set! 🎉 Here is a summary of your order:
*Number of Tickets*: 1
*Experience*: [Special] London Gallery Weekend
*Date*: 02/06/24
*Time*: 11am
*Price*:  
We will issue your tickets on Evenbrite soon.
*Cancelation Policy*: 100% refund for cancelations 24h prior to event.</v>
      </c>
    </row>
    <row r="54" spans="1:13" ht="15.95">
      <c r="A54" s="25"/>
      <c r="B54" s="46">
        <v>45442</v>
      </c>
      <c r="C54" s="45" t="s">
        <v>44</v>
      </c>
      <c r="D54" s="30">
        <v>18</v>
      </c>
      <c r="F54" s="26" t="str">
        <f>IFERROR(VLOOKUP(D54,Sessions!A:G,2,FALSE),"")</f>
        <v>[Special] London Gallery Weekend</v>
      </c>
      <c r="G54" s="27">
        <f>IFERROR(VLOOKUP(D54,Sessions!A:G,3,FALSE),"")</f>
        <v>45445</v>
      </c>
      <c r="H54" s="26" t="str">
        <f>IFERROR(VLOOKUP(D54,Sessions!A:G,4,FALSE),"")</f>
        <v>11am</v>
      </c>
      <c r="I54" s="38">
        <f>IFERROR(VLOOKUP(D54,Sessions!A:G,5,FALSE),"")</f>
        <v>6</v>
      </c>
      <c r="J54" s="38">
        <f>IFERROR(VLOOKUP(D54,Sessions!A:G,6,FALSE),"")</f>
        <v>15</v>
      </c>
      <c r="M54" s="42" t="str">
        <f t="shared" si="1"/>
        <v>It's all set! 🎉 Here is a summary of your order:
*Number of Tickets*: 1
*Experience*: [Special] London Gallery Weekend
*Date*: 02/06/24
*Time*: 11am
*Price*:  
We will issue your tickets on Evenbrite soon.
*Cancelation Policy*: 100% refund for cancelations 24h prior to event.</v>
      </c>
    </row>
    <row r="55" spans="1:13" ht="15.95">
      <c r="A55" s="46"/>
      <c r="B55" s="46">
        <v>45421</v>
      </c>
      <c r="C55" s="45" t="s">
        <v>25</v>
      </c>
      <c r="D55" s="30">
        <v>18</v>
      </c>
      <c r="F55" s="26" t="str">
        <f>IFERROR(VLOOKUP(D55,Sessions!A:G,2,FALSE),"")</f>
        <v>[Special] London Gallery Weekend</v>
      </c>
      <c r="G55" s="27">
        <f>IFERROR(VLOOKUP(D55,Sessions!A:G,3,FALSE),"")</f>
        <v>45445</v>
      </c>
      <c r="H55" s="26" t="str">
        <f>IFERROR(VLOOKUP(D55,Sessions!A:G,4,FALSE),"")</f>
        <v>11am</v>
      </c>
      <c r="I55" s="38">
        <f>IFERROR(VLOOKUP(D55,Sessions!A:G,5,FALSE),"")</f>
        <v>6</v>
      </c>
      <c r="J55" s="38">
        <f>IFERROR(VLOOKUP(D55,Sessions!A:G,6,FALSE),"")</f>
        <v>15</v>
      </c>
      <c r="K55" s="40">
        <v>6</v>
      </c>
      <c r="L55" s="40" t="s">
        <v>3</v>
      </c>
      <c r="M55" s="42" t="str">
        <f t="shared" si="1"/>
        <v>It's all set! 🎉 Here is a summary of your order:
*Number of Tickets*: 1
*Experience*: [Special] London Gallery Weekend
*Date*: 02/06/24
*Time*: 11am
*Price*: 6 credits
We will issue your tickets on Evenbrite soon.
*Cancelation Policy*: 100% refund for cancelations 24h prior to event.</v>
      </c>
    </row>
    <row r="56" spans="1:13" ht="15.95">
      <c r="A56" s="87"/>
      <c r="B56" s="46">
        <v>45425</v>
      </c>
      <c r="C56" s="45" t="s">
        <v>45</v>
      </c>
      <c r="D56" s="30">
        <v>18</v>
      </c>
      <c r="E56" s="87" t="s">
        <v>46</v>
      </c>
      <c r="F56" s="26" t="str">
        <f>IFERROR(VLOOKUP(D56,Sessions!A:G,2,FALSE),"")</f>
        <v>[Special] London Gallery Weekend</v>
      </c>
      <c r="G56" s="27">
        <f>IFERROR(VLOOKUP(D56,Sessions!A:G,3,FALSE),"")</f>
        <v>45445</v>
      </c>
      <c r="H56" s="26" t="str">
        <f>IFERROR(VLOOKUP(D56,Sessions!A:G,4,FALSE),"")</f>
        <v>11am</v>
      </c>
      <c r="I56" s="38">
        <f>IFERROR(VLOOKUP(D56,Sessions!A:G,5,FALSE),"")</f>
        <v>6</v>
      </c>
      <c r="J56" s="38">
        <f>IFERROR(VLOOKUP(D56,Sessions!A:G,6,FALSE),"")</f>
        <v>15</v>
      </c>
      <c r="K56" s="40">
        <v>0</v>
      </c>
      <c r="L56" s="40" t="s">
        <v>17</v>
      </c>
      <c r="M56" s="42" t="str">
        <f t="shared" si="1"/>
        <v>It's all set! 🎉 Here is a summary of your order:
*Number of Tickets*: 1
*Experience*: [Special] London Gallery Weekend
*Date*: 02/06/24
*Time*: 11am
*Price*: 0 pounds
We will issue your tickets on Evenbrite soon.
*Cancelation Policy*: 100% refund for cancelations 24h prior to event.</v>
      </c>
    </row>
    <row r="57" spans="1:13" ht="15.95">
      <c r="A57" s="25"/>
      <c r="B57" s="46">
        <v>45442</v>
      </c>
      <c r="C57" s="45" t="s">
        <v>47</v>
      </c>
      <c r="D57" s="30">
        <v>18</v>
      </c>
      <c r="F57" s="26" t="str">
        <f>IFERROR(VLOOKUP(D57,Sessions!A:G,2,FALSE),"")</f>
        <v>[Special] London Gallery Weekend</v>
      </c>
      <c r="G57" s="27">
        <f>IFERROR(VLOOKUP(D57,Sessions!A:G,3,FALSE),"")</f>
        <v>45445</v>
      </c>
      <c r="H57" s="26" t="str">
        <f>IFERROR(VLOOKUP(D57,Sessions!A:G,4,FALSE),"")</f>
        <v>11am</v>
      </c>
      <c r="I57" s="38">
        <f>IFERROR(VLOOKUP(D57,Sessions!A:G,5,FALSE),"")</f>
        <v>6</v>
      </c>
      <c r="J57" s="38">
        <f>IFERROR(VLOOKUP(D57,Sessions!A:G,6,FALSE),"")</f>
        <v>15</v>
      </c>
      <c r="M57" s="42" t="str">
        <f t="shared" si="1"/>
        <v>It's all set! 🎉 Here is a summary of your order:
*Number of Tickets*: 1
*Experience*: [Special] London Gallery Weekend
*Date*: 02/06/24
*Time*: 11am
*Price*:  
We will issue your tickets on Evenbrite soon.
*Cancelation Policy*: 100% refund for cancelations 24h prior to event.</v>
      </c>
    </row>
    <row r="58" spans="1:13" ht="15.95">
      <c r="A58" s="46"/>
      <c r="B58" s="46">
        <v>45428</v>
      </c>
      <c r="C58" s="45" t="s">
        <v>18</v>
      </c>
      <c r="D58" s="30">
        <v>18</v>
      </c>
      <c r="F58" s="26" t="str">
        <f>IFERROR(VLOOKUP(D58,Sessions!A:G,2,FALSE),"")</f>
        <v>[Special] London Gallery Weekend</v>
      </c>
      <c r="G58" s="27">
        <f>IFERROR(VLOOKUP(D58,Sessions!A:G,3,FALSE),"")</f>
        <v>45445</v>
      </c>
      <c r="H58" s="26" t="str">
        <f>IFERROR(VLOOKUP(D58,Sessions!A:G,4,FALSE),"")</f>
        <v>11am</v>
      </c>
      <c r="I58" s="38">
        <f>IFERROR(VLOOKUP(D58,Sessions!A:G,5,FALSE),"")</f>
        <v>6</v>
      </c>
      <c r="J58" s="38">
        <f>IFERROR(VLOOKUP(D58,Sessions!A:G,6,FALSE),"")</f>
        <v>15</v>
      </c>
      <c r="K58" s="40">
        <v>6</v>
      </c>
      <c r="L58" s="40" t="s">
        <v>3</v>
      </c>
      <c r="M58" s="42" t="str">
        <f t="shared" si="1"/>
        <v>It's all set! 🎉 Here is a summary of your order:
*Number of Tickets*: 1
*Experience*: [Special] London Gallery Weekend
*Date*: 02/06/24
*Time*: 11am
*Price*: 6 credits
We will issue your tickets on Evenbrite soon.
*Cancelation Policy*: 100% refund for cancelations 24h prior to event.</v>
      </c>
    </row>
    <row r="59" spans="1:13" ht="15.95">
      <c r="A59" s="25"/>
      <c r="B59" s="46">
        <v>45437</v>
      </c>
      <c r="C59" s="45" t="s">
        <v>48</v>
      </c>
      <c r="D59" s="30">
        <v>18</v>
      </c>
      <c r="F59" s="26" t="str">
        <f>IFERROR(VLOOKUP(D59,Sessions!A:G,2,FALSE),"")</f>
        <v>[Special] London Gallery Weekend</v>
      </c>
      <c r="G59" s="27">
        <f>IFERROR(VLOOKUP(D59,Sessions!A:G,3,FALSE),"")</f>
        <v>45445</v>
      </c>
      <c r="H59" s="26" t="str">
        <f>IFERROR(VLOOKUP(D59,Sessions!A:G,4,FALSE),"")</f>
        <v>11am</v>
      </c>
      <c r="I59" s="38">
        <f>IFERROR(VLOOKUP(D59,Sessions!A:G,5,FALSE),"")</f>
        <v>6</v>
      </c>
      <c r="J59" s="38">
        <f>IFERROR(VLOOKUP(D59,Sessions!A:G,6,FALSE),"")</f>
        <v>15</v>
      </c>
      <c r="K59" s="58">
        <v>0</v>
      </c>
      <c r="L59" s="40" t="s">
        <v>17</v>
      </c>
      <c r="M59" s="42" t="str">
        <f t="shared" si="1"/>
        <v>It's all set! 🎉 Here is a summary of your order:
*Number of Tickets*: 1
*Experience*: [Special] London Gallery Weekend
*Date*: 02/06/24
*Time*: 11am
*Price*: 0 pounds
We will issue your tickets on Evenbrite soon.
*Cancelation Policy*: 100% refund for cancelations 24h prior to event.</v>
      </c>
    </row>
    <row r="60" spans="1:13" ht="15.95">
      <c r="A60" s="25"/>
      <c r="B60" s="46">
        <v>45442</v>
      </c>
      <c r="C60" s="45" t="s">
        <v>49</v>
      </c>
      <c r="D60" s="30">
        <v>18</v>
      </c>
      <c r="F60" s="26" t="str">
        <f>IFERROR(VLOOKUP(D60,Sessions!A:G,2,FALSE),"")</f>
        <v>[Special] London Gallery Weekend</v>
      </c>
      <c r="G60" s="27">
        <f>IFERROR(VLOOKUP(D60,Sessions!A:G,3,FALSE),"")</f>
        <v>45445</v>
      </c>
      <c r="H60" s="26" t="str">
        <f>IFERROR(VLOOKUP(D60,Sessions!A:G,4,FALSE),"")</f>
        <v>11am</v>
      </c>
      <c r="I60" s="38">
        <f>IFERROR(VLOOKUP(D60,Sessions!A:G,5,FALSE),"")</f>
        <v>6</v>
      </c>
      <c r="J60" s="38">
        <f>IFERROR(VLOOKUP(D60,Sessions!A:G,6,FALSE),"")</f>
        <v>15</v>
      </c>
      <c r="M60" s="42" t="str">
        <f t="shared" si="1"/>
        <v>It's all set! 🎉 Here is a summary of your order:
*Number of Tickets*: 1
*Experience*: [Special] London Gallery Weekend
*Date*: 02/06/24
*Time*: 11am
*Price*:  
We will issue your tickets on Evenbrite soon.
*Cancelation Policy*: 100% refund for cancelations 24h prior to event.</v>
      </c>
    </row>
    <row r="61" spans="1:13" ht="15.95">
      <c r="A61" s="87"/>
      <c r="B61" s="46">
        <v>45443</v>
      </c>
      <c r="C61" s="45" t="s">
        <v>50</v>
      </c>
      <c r="D61" s="30">
        <v>18</v>
      </c>
      <c r="F61" s="26" t="str">
        <f>IFERROR(VLOOKUP(D61,Sessions!A:G,2,FALSE),"")</f>
        <v>[Special] London Gallery Weekend</v>
      </c>
      <c r="G61" s="27">
        <f>IFERROR(VLOOKUP(D61,Sessions!A:G,3,FALSE),"")</f>
        <v>45445</v>
      </c>
      <c r="H61" s="26" t="str">
        <f>IFERROR(VLOOKUP(D61,Sessions!A:G,4,FALSE),"")</f>
        <v>11am</v>
      </c>
      <c r="I61" s="38">
        <f>IFERROR(VLOOKUP(D61,Sessions!A:G,5,FALSE),"")</f>
        <v>6</v>
      </c>
      <c r="J61" s="38">
        <f>IFERROR(VLOOKUP(D61,Sessions!A:G,6,FALSE),"")</f>
        <v>15</v>
      </c>
      <c r="K61" s="40">
        <v>6</v>
      </c>
      <c r="L61" s="40" t="s">
        <v>3</v>
      </c>
      <c r="M61" s="42" t="str">
        <f t="shared" si="1"/>
        <v>It's all set! 🎉 Here is a summary of your order:
*Number of Tickets*: 1
*Experience*: [Special] London Gallery Weekend
*Date*: 02/06/24
*Time*: 11am
*Price*: 6 credits
We will issue your tickets on Evenbrite soon.
*Cancelation Policy*: 100% refund for cancelations 24h prior to event.</v>
      </c>
    </row>
    <row r="62" spans="1:13" ht="15.95">
      <c r="A62" s="25"/>
      <c r="B62" s="46">
        <v>45442</v>
      </c>
      <c r="C62" s="45" t="s">
        <v>51</v>
      </c>
      <c r="D62" s="30">
        <v>18</v>
      </c>
      <c r="F62" s="26" t="str">
        <f>IFERROR(VLOOKUP(D62,Sessions!A:G,2,FALSE),"")</f>
        <v>[Special] London Gallery Weekend</v>
      </c>
      <c r="G62" s="27">
        <f>IFERROR(VLOOKUP(D62,Sessions!A:G,3,FALSE),"")</f>
        <v>45445</v>
      </c>
      <c r="H62" s="26" t="str">
        <f>IFERROR(VLOOKUP(D62,Sessions!A:G,4,FALSE),"")</f>
        <v>11am</v>
      </c>
      <c r="I62" s="38">
        <f>IFERROR(VLOOKUP(D62,Sessions!A:G,5,FALSE),"")</f>
        <v>6</v>
      </c>
      <c r="J62" s="38">
        <f>IFERROR(VLOOKUP(D62,Sessions!A:G,6,FALSE),"")</f>
        <v>15</v>
      </c>
      <c r="M62" s="42" t="str">
        <f t="shared" si="1"/>
        <v>It's all set! 🎉 Here is a summary of your order:
*Number of Tickets*: 1
*Experience*: [Special] London Gallery Weekend
*Date*: 02/06/24
*Time*: 11am
*Price*:  
We will issue your tickets on Evenbrite soon.
*Cancelation Policy*: 100% refund for cancelations 24h prior to event.</v>
      </c>
    </row>
    <row r="63" spans="1:13" ht="15.95">
      <c r="A63" s="46"/>
      <c r="B63" s="46">
        <v>45421</v>
      </c>
      <c r="C63" s="45" t="s">
        <v>40</v>
      </c>
      <c r="D63" s="30">
        <v>18</v>
      </c>
      <c r="F63" s="26" t="str">
        <f>IFERROR(VLOOKUP(D63,Sessions!A:G,2,FALSE),"")</f>
        <v>[Special] London Gallery Weekend</v>
      </c>
      <c r="G63" s="27">
        <f>IFERROR(VLOOKUP(D63,Sessions!A:G,3,FALSE),"")</f>
        <v>45445</v>
      </c>
      <c r="H63" s="26" t="str">
        <f>IFERROR(VLOOKUP(D63,Sessions!A:G,4,FALSE),"")</f>
        <v>11am</v>
      </c>
      <c r="I63" s="38">
        <f>IFERROR(VLOOKUP(D63,Sessions!A:G,5,FALSE),"")</f>
        <v>6</v>
      </c>
      <c r="J63" s="38">
        <f>IFERROR(VLOOKUP(D63,Sessions!A:G,6,FALSE),"")</f>
        <v>15</v>
      </c>
      <c r="K63" s="40">
        <v>6</v>
      </c>
      <c r="L63" s="40" t="s">
        <v>3</v>
      </c>
      <c r="M63" s="42" t="str">
        <f t="shared" si="1"/>
        <v>It's all set! 🎉 Here is a summary of your order:
*Number of Tickets*: 1
*Experience*: [Special] London Gallery Weekend
*Date*: 02/06/24
*Time*: 11am
*Price*: 6 credits
We will issue your tickets on Evenbrite soon.
*Cancelation Policy*: 100% refund for cancelations 24h prior to event.</v>
      </c>
    </row>
    <row r="64" spans="1:13" ht="15.95">
      <c r="A64" s="25"/>
      <c r="B64" s="46">
        <v>45442</v>
      </c>
      <c r="C64" s="45" t="s">
        <v>22</v>
      </c>
      <c r="D64" s="30">
        <v>18</v>
      </c>
      <c r="F64" s="26" t="str">
        <f>IFERROR(VLOOKUP(D64,Sessions!A:G,2,FALSE),"")</f>
        <v>[Special] London Gallery Weekend</v>
      </c>
      <c r="G64" s="27">
        <f>IFERROR(VLOOKUP(D64,Sessions!A:G,3,FALSE),"")</f>
        <v>45445</v>
      </c>
      <c r="H64" s="26" t="str">
        <f>IFERROR(VLOOKUP(D64,Sessions!A:G,4,FALSE),"")</f>
        <v>11am</v>
      </c>
      <c r="I64" s="38">
        <f>IFERROR(VLOOKUP(D64,Sessions!A:G,5,FALSE),"")</f>
        <v>6</v>
      </c>
      <c r="J64" s="38">
        <f>IFERROR(VLOOKUP(D64,Sessions!A:G,6,FALSE),"")</f>
        <v>15</v>
      </c>
      <c r="K64" s="40">
        <v>15</v>
      </c>
      <c r="L64" s="40" t="s">
        <v>17</v>
      </c>
      <c r="M64" s="42" t="str">
        <f t="shared" si="1"/>
        <v>It's all set! 🎉 Here is a summary of your order:
*Number of Tickets*: 1
*Experience*: [Special] London Gallery Weekend
*Date*: 02/06/24
*Time*: 11am
*Price*: 15 pounds
We will issue your tickets on Evenbrite soon.
*Cancelation Policy*: 100% refund for cancelations 24h prior to event.</v>
      </c>
    </row>
    <row r="65" spans="1:13" ht="15.95">
      <c r="A65" s="25"/>
      <c r="B65" s="46">
        <v>45435</v>
      </c>
      <c r="C65" s="45" t="s">
        <v>28</v>
      </c>
      <c r="D65" s="30">
        <v>18</v>
      </c>
      <c r="F65" s="26" t="str">
        <f>IFERROR(VLOOKUP(D65,Sessions!A:G,2,FALSE),"")</f>
        <v>[Special] London Gallery Weekend</v>
      </c>
      <c r="G65" s="27">
        <f>IFERROR(VLOOKUP(D65,Sessions!A:G,3,FALSE),"")</f>
        <v>45445</v>
      </c>
      <c r="H65" s="26" t="str">
        <f>IFERROR(VLOOKUP(D65,Sessions!A:G,4,FALSE),"")</f>
        <v>11am</v>
      </c>
      <c r="I65" s="38">
        <f>IFERROR(VLOOKUP(D65,Sessions!A:G,5,FALSE),"")</f>
        <v>6</v>
      </c>
      <c r="J65" s="38">
        <f>IFERROR(VLOOKUP(D65,Sessions!A:G,6,FALSE),"")</f>
        <v>15</v>
      </c>
      <c r="K65" s="40">
        <v>6</v>
      </c>
      <c r="L65" s="40" t="s">
        <v>3</v>
      </c>
      <c r="M65" s="42" t="str">
        <f t="shared" si="1"/>
        <v>It's all set! 🎉 Here is a summary of your order:
*Number of Tickets*: 1
*Experience*: [Special] London Gallery Weekend
*Date*: 02/06/24
*Time*: 11am
*Price*: 6 credits
We will issue your tickets on Evenbrite soon.
*Cancelation Policy*: 100% refund for cancelations 24h prior to event.</v>
      </c>
    </row>
    <row r="66" spans="1:13" ht="15.95">
      <c r="A66" s="87"/>
      <c r="C66" s="45" t="s">
        <v>36</v>
      </c>
      <c r="D66" s="30">
        <v>18</v>
      </c>
      <c r="F66" s="26" t="str">
        <f>IFERROR(VLOOKUP(D66,Sessions!A:G,2,FALSE),"")</f>
        <v>[Special] London Gallery Weekend</v>
      </c>
      <c r="G66" s="27">
        <f>IFERROR(VLOOKUP(D66,Sessions!A:G,3,FALSE),"")</f>
        <v>45445</v>
      </c>
      <c r="H66" s="26" t="str">
        <f>IFERROR(VLOOKUP(D66,Sessions!A:G,4,FALSE),"")</f>
        <v>11am</v>
      </c>
      <c r="I66" s="38">
        <f>IFERROR(VLOOKUP(D66,Sessions!A:G,5,FALSE),"")</f>
        <v>6</v>
      </c>
      <c r="J66" s="38">
        <f>IFERROR(VLOOKUP(D66,Sessions!A:G,6,FALSE),"")</f>
        <v>15</v>
      </c>
      <c r="M66" s="42" t="str">
        <f t="shared" si="1"/>
        <v>It's all set! 🎉 Here is a summary of your order:
*Number of Tickets*: 1
*Experience*: [Special] London Gallery Weekend
*Date*: 02/06/24
*Time*: 11am
*Price*:  
We will issue your tickets on Evenbrite soon.
*Cancelation Policy*: 100% refund for cancelations 24h prior to event.</v>
      </c>
    </row>
    <row r="67" spans="1:13" ht="15.95">
      <c r="A67" s="25"/>
      <c r="B67" s="46">
        <v>45442</v>
      </c>
      <c r="C67" s="45" t="s">
        <v>52</v>
      </c>
      <c r="D67" s="30">
        <v>18</v>
      </c>
      <c r="F67" s="26" t="str">
        <f>IFERROR(VLOOKUP(D67,Sessions!A:G,2,FALSE),"")</f>
        <v>[Special] London Gallery Weekend</v>
      </c>
      <c r="G67" s="27">
        <f>IFERROR(VLOOKUP(D67,Sessions!A:G,3,FALSE),"")</f>
        <v>45445</v>
      </c>
      <c r="H67" s="26" t="str">
        <f>IFERROR(VLOOKUP(D67,Sessions!A:G,4,FALSE),"")</f>
        <v>11am</v>
      </c>
      <c r="I67" s="38">
        <f>IFERROR(VLOOKUP(D67,Sessions!A:G,5,FALSE),"")</f>
        <v>6</v>
      </c>
      <c r="J67" s="38">
        <f>IFERROR(VLOOKUP(D67,Sessions!A:G,6,FALSE),"")</f>
        <v>15</v>
      </c>
      <c r="M67" s="42" t="str">
        <f t="shared" si="1"/>
        <v>It's all set! 🎉 Here is a summary of your order:
*Number of Tickets*: 1
*Experience*: [Special] London Gallery Weekend
*Date*: 02/06/24
*Time*: 11am
*Price*:  
We will issue your tickets on Evenbrite soon.
*Cancelation Policy*: 100% refund for cancelations 24h prior to event.</v>
      </c>
    </row>
    <row r="68" spans="1:13" ht="15.95">
      <c r="A68" s="25"/>
      <c r="B68" s="46">
        <v>45435</v>
      </c>
      <c r="C68" s="45" t="s">
        <v>30</v>
      </c>
      <c r="D68" s="30">
        <v>18</v>
      </c>
      <c r="F68" s="26" t="str">
        <f>IFERROR(VLOOKUP(D68,Sessions!A:G,2,FALSE),"")</f>
        <v>[Special] London Gallery Weekend</v>
      </c>
      <c r="G68" s="27">
        <f>IFERROR(VLOOKUP(D68,Sessions!A:G,3,FALSE),"")</f>
        <v>45445</v>
      </c>
      <c r="H68" s="26" t="str">
        <f>IFERROR(VLOOKUP(D68,Sessions!A:G,4,FALSE),"")</f>
        <v>11am</v>
      </c>
      <c r="I68" s="38">
        <f>IFERROR(VLOOKUP(D68,Sessions!A:G,5,FALSE),"")</f>
        <v>6</v>
      </c>
      <c r="J68" s="38">
        <f>IFERROR(VLOOKUP(D68,Sessions!A:G,6,FALSE),"")</f>
        <v>15</v>
      </c>
      <c r="K68" s="40">
        <v>6</v>
      </c>
      <c r="L68" s="40" t="s">
        <v>3</v>
      </c>
      <c r="M68" s="42" t="str">
        <f t="shared" si="1"/>
        <v>It's all set! 🎉 Here is a summary of your order:
*Number of Tickets*: 1
*Experience*: [Special] London Gallery Weekend
*Date*: 02/06/24
*Time*: 11am
*Price*: 6 credits
We will issue your tickets on Evenbrite soon.
*Cancelation Policy*: 100% refund for cancelations 24h prior to event.</v>
      </c>
    </row>
    <row r="69" spans="1:13" ht="15.95">
      <c r="A69" s="25"/>
      <c r="B69" s="46">
        <v>45441</v>
      </c>
      <c r="C69" s="45" t="s">
        <v>53</v>
      </c>
      <c r="D69" s="30">
        <v>18</v>
      </c>
      <c r="E69" s="25" t="s">
        <v>54</v>
      </c>
      <c r="F69" s="26" t="str">
        <f>IFERROR(VLOOKUP(D69,Sessions!A:G,2,FALSE),"")</f>
        <v>[Special] London Gallery Weekend</v>
      </c>
      <c r="G69" s="27">
        <f>IFERROR(VLOOKUP(D69,Sessions!A:G,3,FALSE),"")</f>
        <v>45445</v>
      </c>
      <c r="H69" s="26" t="str">
        <f>IFERROR(VLOOKUP(D69,Sessions!A:G,4,FALSE),"")</f>
        <v>11am</v>
      </c>
      <c r="I69" s="38">
        <f>IFERROR(VLOOKUP(D69,Sessions!A:G,5,FALSE),"")</f>
        <v>6</v>
      </c>
      <c r="J69" s="38">
        <f>IFERROR(VLOOKUP(D69,Sessions!A:G,6,FALSE),"")</f>
        <v>15</v>
      </c>
      <c r="K69" s="40">
        <v>0</v>
      </c>
      <c r="L69" s="40" t="s">
        <v>17</v>
      </c>
      <c r="M69" s="42" t="str">
        <f t="shared" si="1"/>
        <v>It's all set! 🎉 Here is a summary of your order:
*Number of Tickets*: 1
*Experience*: [Special] London Gallery Weekend
*Date*: 02/06/24
*Time*: 11am
*Price*: 0 pounds
We will issue your tickets on Evenbrite soon.
*Cancelation Policy*: 100% refund for cancelations 24h prior to event.</v>
      </c>
    </row>
    <row r="70" spans="1:13" ht="15.95">
      <c r="A70" s="87"/>
      <c r="B70" s="46">
        <v>45445</v>
      </c>
      <c r="C70" s="45" t="s">
        <v>21</v>
      </c>
      <c r="D70" s="61">
        <v>18</v>
      </c>
      <c r="F70" s="26" t="str">
        <f>IFERROR(VLOOKUP(D70,Sessions!A:G,2,FALSE),"")</f>
        <v>[Special] London Gallery Weekend</v>
      </c>
      <c r="G70" s="27">
        <f>IFERROR(VLOOKUP(D70,Sessions!A:G,3,FALSE),"")</f>
        <v>45445</v>
      </c>
      <c r="H70" s="26" t="str">
        <f>IFERROR(VLOOKUP(D70,Sessions!A:G,4,FALSE),"")</f>
        <v>11am</v>
      </c>
      <c r="I70" s="38">
        <f>IFERROR(VLOOKUP(D70,Sessions!A:G,5,FALSE),"")</f>
        <v>6</v>
      </c>
      <c r="J70" s="38">
        <f>IFERROR(VLOOKUP(D70,Sessions!A:G,6,FALSE),"")</f>
        <v>15</v>
      </c>
      <c r="M70" s="42" t="str">
        <f t="shared" si="1"/>
        <v>It's all set! 🎉 Here is a summary of your order:
*Number of Tickets*: 1
*Experience*: [Special] London Gallery Weekend
*Date*: 02/06/24
*Time*: 11am
*Price*:  
We will issue your tickets on Evenbrite soon.
*Cancelation Policy*: 100% refund for cancelations 24h prior to event.</v>
      </c>
    </row>
    <row r="71" spans="1:13" ht="15.95">
      <c r="A71" s="46" t="s">
        <v>55</v>
      </c>
      <c r="B71" s="46">
        <v>45432</v>
      </c>
      <c r="C71" s="45" t="s">
        <v>25</v>
      </c>
      <c r="D71" s="30">
        <v>22</v>
      </c>
      <c r="F71" s="26" t="str">
        <f>IFERROR(VLOOKUP(D71,Sessions!A:G,2,FALSE),"")</f>
        <v>Courtauld Late: Frank Auerbach</v>
      </c>
      <c r="G71" s="27">
        <f>IFERROR(VLOOKUP(D71,Sessions!A:G,3,FALSE),"")</f>
        <v>45436</v>
      </c>
      <c r="H71" s="26" t="str">
        <f>IFERROR(VLOOKUP(D71,Sessions!A:G,4,FALSE),"")</f>
        <v>6:45pm</v>
      </c>
      <c r="I71" s="38">
        <f>IFERROR(VLOOKUP(D71,Sessions!A:G,5,FALSE),"")</f>
        <v>6</v>
      </c>
      <c r="J71" s="38">
        <f>IFERROR(VLOOKUP(D71,Sessions!A:G,6,FALSE),"")</f>
        <v>19</v>
      </c>
      <c r="K71" s="40">
        <v>0</v>
      </c>
      <c r="L71" s="40" t="s">
        <v>3</v>
      </c>
      <c r="M71" s="42" t="str">
        <f t="shared" si="1"/>
        <v>It's all set! 🎉 Here is a summary of your order:
*Number of Tickets*: 1
*Experience*: Courtauld Late: Frank Auerbach
*Date*: 24/05/24
*Time*: 6:45pm
*Price*: 0 credits
We will issue your tickets on Evenbrite soon.
*Cancelation Policy*: 100% refund for cancelations 24h prior to event.</v>
      </c>
    </row>
    <row r="72" spans="1:13" ht="15.95">
      <c r="A72" s="25"/>
      <c r="B72" s="46">
        <v>45434</v>
      </c>
      <c r="C72" s="45" t="s">
        <v>19</v>
      </c>
      <c r="D72" s="30">
        <v>22</v>
      </c>
      <c r="F72" s="26" t="str">
        <f>IFERROR(VLOOKUP(D72,Sessions!A:G,2,FALSE),"")</f>
        <v>Courtauld Late: Frank Auerbach</v>
      </c>
      <c r="G72" s="27">
        <f>IFERROR(VLOOKUP(D72,Sessions!A:G,3,FALSE),"")</f>
        <v>45436</v>
      </c>
      <c r="H72" s="26" t="str">
        <f>IFERROR(VLOOKUP(D72,Sessions!A:G,4,FALSE),"")</f>
        <v>6:45pm</v>
      </c>
      <c r="I72" s="38">
        <f>IFERROR(VLOOKUP(D72,Sessions!A:G,5,FALSE),"")</f>
        <v>6</v>
      </c>
      <c r="J72" s="38">
        <f>IFERROR(VLOOKUP(D72,Sessions!A:G,6,FALSE),"")</f>
        <v>19</v>
      </c>
      <c r="K72" s="40">
        <v>6</v>
      </c>
      <c r="L72" s="40" t="s">
        <v>3</v>
      </c>
      <c r="M72" s="42" t="str">
        <f t="shared" si="1"/>
        <v>It's all set! 🎉 Here is a summary of your order:
*Number of Tickets*: 1
*Experience*: Courtauld Late: Frank Auerbach
*Date*: 24/05/24
*Time*: 6:45pm
*Price*: 6 credits
We will issue your tickets on Evenbrite soon.
*Cancelation Policy*: 100% refund for cancelations 24h prior to event.</v>
      </c>
    </row>
    <row r="73" spans="1:13" ht="15.95">
      <c r="A73" s="25"/>
      <c r="B73" s="46">
        <v>45436</v>
      </c>
      <c r="C73" s="45" t="s">
        <v>56</v>
      </c>
      <c r="D73" s="30">
        <v>22</v>
      </c>
      <c r="F73" s="26" t="str">
        <f>IFERROR(VLOOKUP(D73,Sessions!A:G,2,FALSE),"")</f>
        <v>Courtauld Late: Frank Auerbach</v>
      </c>
      <c r="G73" s="27">
        <f>IFERROR(VLOOKUP(D73,Sessions!A:G,3,FALSE),"")</f>
        <v>45436</v>
      </c>
      <c r="H73" s="26" t="str">
        <f>IFERROR(VLOOKUP(D73,Sessions!A:G,4,FALSE),"")</f>
        <v>6:45pm</v>
      </c>
      <c r="I73" s="38">
        <f>IFERROR(VLOOKUP(D73,Sessions!A:G,5,FALSE),"")</f>
        <v>6</v>
      </c>
      <c r="J73" s="38">
        <f>IFERROR(VLOOKUP(D73,Sessions!A:G,6,FALSE),"")</f>
        <v>19</v>
      </c>
      <c r="K73" s="40">
        <v>14</v>
      </c>
      <c r="L73" s="40" t="s">
        <v>17</v>
      </c>
      <c r="M73" s="42" t="str">
        <f t="shared" si="1"/>
        <v>It's all set! 🎉 Here is a summary of your order:
*Number of Tickets*: 1
*Experience*: Courtauld Late: Frank Auerbach
*Date*: 24/05/24
*Time*: 6:45pm
*Price*: 14 pounds
We will issue your tickets on Evenbrite soon.
*Cancelation Policy*: 100% refund for cancelations 24h prior to event.</v>
      </c>
    </row>
    <row r="74" spans="1:13" ht="15.95">
      <c r="A74" s="25"/>
      <c r="B74" s="46">
        <v>45436</v>
      </c>
      <c r="C74" s="45" t="s">
        <v>57</v>
      </c>
      <c r="D74" s="30">
        <v>22</v>
      </c>
      <c r="F74" s="26" t="str">
        <f>IFERROR(VLOOKUP(D74,Sessions!A:G,2,FALSE),"")</f>
        <v>Courtauld Late: Frank Auerbach</v>
      </c>
      <c r="G74" s="27">
        <f>IFERROR(VLOOKUP(D74,Sessions!A:G,3,FALSE),"")</f>
        <v>45436</v>
      </c>
      <c r="H74" s="26" t="str">
        <f>IFERROR(VLOOKUP(D74,Sessions!A:G,4,FALSE),"")</f>
        <v>6:45pm</v>
      </c>
      <c r="I74" s="38">
        <f>IFERROR(VLOOKUP(D74,Sessions!A:G,5,FALSE),"")</f>
        <v>6</v>
      </c>
      <c r="J74" s="38">
        <f>IFERROR(VLOOKUP(D74,Sessions!A:G,6,FALSE),"")</f>
        <v>19</v>
      </c>
      <c r="K74" s="40">
        <v>15</v>
      </c>
      <c r="L74" s="40" t="s">
        <v>17</v>
      </c>
      <c r="M74" s="42" t="str">
        <f t="shared" si="1"/>
        <v>It's all set! 🎉 Here is a summary of your order:
*Number of Tickets*: 1
*Experience*: Courtauld Late: Frank Auerbach
*Date*: 24/05/24
*Time*: 6:45pm
*Price*: 15 pounds
We will issue your tickets on Evenbrite soon.
*Cancelation Policy*: 100% refund for cancelations 24h prior to event.</v>
      </c>
    </row>
    <row r="75" spans="1:13" ht="15.75" customHeight="1">
      <c r="A75" s="88"/>
      <c r="B75" s="46">
        <v>45436</v>
      </c>
      <c r="C75" s="45" t="s">
        <v>58</v>
      </c>
      <c r="D75" s="61">
        <v>22</v>
      </c>
      <c r="F75" s="26" t="str">
        <f>IFERROR(VLOOKUP(D75,Sessions!A:G,2,FALSE),"")</f>
        <v>Courtauld Late: Frank Auerbach</v>
      </c>
      <c r="G75" s="27">
        <f>IFERROR(VLOOKUP(D75,Sessions!A:G,3,FALSE),"")</f>
        <v>45436</v>
      </c>
      <c r="H75" s="26" t="str">
        <f>IFERROR(VLOOKUP(D75,Sessions!A:G,4,FALSE),"")</f>
        <v>6:45pm</v>
      </c>
      <c r="I75" s="38">
        <f>IFERROR(VLOOKUP(D75,Sessions!A:G,5,FALSE),"")</f>
        <v>6</v>
      </c>
      <c r="J75" s="38">
        <f>IFERROR(VLOOKUP(D75,Sessions!A:G,6,FALSE),"")</f>
        <v>19</v>
      </c>
      <c r="K75" s="40">
        <v>14</v>
      </c>
      <c r="L75" s="40" t="s">
        <v>17</v>
      </c>
      <c r="M75" s="42" t="str">
        <f t="shared" si="1"/>
        <v>It's all set! 🎉 Here is a summary of your order:
*Number of Tickets*: 1
*Experience*: Courtauld Late: Frank Auerbach
*Date*: 24/05/24
*Time*: 6:45pm
*Price*: 14 pounds
We will issue your tickets on Evenbrite soon.
*Cancelation Policy*: 100% refund for cancelations 24h prior to event.</v>
      </c>
    </row>
    <row r="76" spans="1:13" ht="15.95">
      <c r="A76" s="25"/>
      <c r="B76" s="46">
        <v>45436</v>
      </c>
      <c r="C76" s="45" t="s">
        <v>59</v>
      </c>
      <c r="D76" s="30">
        <v>22</v>
      </c>
      <c r="F76" s="26" t="str">
        <f>IFERROR(VLOOKUP(D76,Sessions!A:G,2,FALSE),"")</f>
        <v>Courtauld Late: Frank Auerbach</v>
      </c>
      <c r="G76" s="27">
        <f>IFERROR(VLOOKUP(D76,Sessions!A:G,3,FALSE),"")</f>
        <v>45436</v>
      </c>
      <c r="H76" s="26" t="str">
        <f>IFERROR(VLOOKUP(D76,Sessions!A:G,4,FALSE),"")</f>
        <v>6:45pm</v>
      </c>
      <c r="I76" s="38">
        <f>IFERROR(VLOOKUP(D76,Sessions!A:G,5,FALSE),"")</f>
        <v>6</v>
      </c>
      <c r="J76" s="38">
        <f>IFERROR(VLOOKUP(D76,Sessions!A:G,6,FALSE),"")</f>
        <v>19</v>
      </c>
      <c r="K76" s="40">
        <v>14</v>
      </c>
      <c r="L76" s="40" t="s">
        <v>17</v>
      </c>
      <c r="M76" s="42" t="str">
        <f t="shared" si="1"/>
        <v>It's all set! 🎉 Here is a summary of your order:
*Number of Tickets*: 1
*Experience*: Courtauld Late: Frank Auerbach
*Date*: 24/05/24
*Time*: 6:45pm
*Price*: 14 pounds
We will issue your tickets on Evenbrite soon.
*Cancelation Policy*: 100% refund for cancelations 24h prior to event.</v>
      </c>
    </row>
    <row r="77" spans="1:13" ht="15.75" customHeight="1">
      <c r="A77" t="s">
        <v>27</v>
      </c>
      <c r="B77" s="46">
        <v>45502</v>
      </c>
      <c r="C77" s="45" t="s">
        <v>60</v>
      </c>
      <c r="D77" s="30">
        <v>38</v>
      </c>
      <c r="F77" s="26" t="str">
        <f>IFERROR(VLOOKUP(D77,Sessions!A:G,2,FALSE),"")</f>
        <v xml:space="preserve">Drop In and Draw at the RA </v>
      </c>
      <c r="G77" s="27">
        <f>IFERROR(VLOOKUP(D77,Sessions!A:G,3,FALSE),"")</f>
        <v>45506</v>
      </c>
      <c r="H77" s="26" t="str">
        <f>IFERROR(VLOOKUP(D77,Sessions!A:G,4,FALSE),"")</f>
        <v>6:00pm</v>
      </c>
      <c r="I77" s="38">
        <f>IFERROR(VLOOKUP(D77,Sessions!A:G,5,FALSE),"")</f>
        <v>0</v>
      </c>
      <c r="J77" s="38">
        <f>IFERROR(VLOOKUP(D77,Sessions!A:G,6,FALSE),"")</f>
        <v>0</v>
      </c>
      <c r="K77" s="40">
        <v>0</v>
      </c>
      <c r="L77" s="40" t="s">
        <v>3</v>
      </c>
      <c r="M77" s="42" t="str">
        <f t="shared" ref="M77:M88" si="2">"It's all set! 🎉 Here is a summary of your order:
*Number of Tickets*: 1
*Experience*: "&amp;F77&amp;"
*Date*: "&amp;TEXT(G77,"dd/mm/yy")&amp;"
*Time*: "&amp;H77&amp;"
*Price*: "&amp;K77&amp;" "&amp;L77&amp;"
We will issue your tickets on Eventbrite soon.
*Cancellation Policy*: 100% refund for cancellations 24h prior to event."</f>
        <v>It's all set! 🎉 Here is a summary of your order:
*Number of Tickets*: 1
*Experience*: Drop In and Draw at the RA 
*Date*: 02/08/24
*Time*: 6:00pm
*Price*: 0 credits
We will issue your tickets on Eventbrite soon.
*Cancellation Policy*: 100% refund for cancellations 24h prior to event.</v>
      </c>
    </row>
    <row r="78" spans="1:13" ht="15.75" customHeight="1">
      <c r="B78" s="46">
        <v>45503</v>
      </c>
      <c r="C78" s="45" t="s">
        <v>18</v>
      </c>
      <c r="D78" s="30">
        <v>38</v>
      </c>
      <c r="F78" s="26" t="str">
        <f>IFERROR(VLOOKUP(D78,Sessions!A:G,2,FALSE),"")</f>
        <v xml:space="preserve">Drop In and Draw at the RA </v>
      </c>
      <c r="G78" s="27">
        <f>IFERROR(VLOOKUP(D78,Sessions!A:G,3,FALSE),"")</f>
        <v>45506</v>
      </c>
      <c r="H78" s="26" t="str">
        <f>IFERROR(VLOOKUP(D78,Sessions!A:G,4,FALSE),"")</f>
        <v>6:00pm</v>
      </c>
      <c r="I78" s="38">
        <f>IFERROR(VLOOKUP(D78,Sessions!A:G,5,FALSE),"")</f>
        <v>0</v>
      </c>
      <c r="J78" s="38">
        <f>IFERROR(VLOOKUP(D78,Sessions!A:G,6,FALSE),"")</f>
        <v>0</v>
      </c>
      <c r="K78" s="40">
        <v>0</v>
      </c>
      <c r="L78" s="40" t="s">
        <v>3</v>
      </c>
      <c r="M78" s="42" t="str">
        <f t="shared" si="2"/>
        <v>It's all set! 🎉 Here is a summary of your order:
*Number of Tickets*: 1
*Experience*: Drop In and Draw at the RA 
*Date*: 02/08/24
*Time*: 6:00pm
*Price*: 0 credits
We will issue your tickets on Eventbrite soon.
*Cancellation Policy*: 100% refund for cancellations 24h prior to event.</v>
      </c>
    </row>
    <row r="79" spans="1:13" ht="15.75" customHeight="1">
      <c r="B79" s="46">
        <v>45474</v>
      </c>
      <c r="C79" s="45" t="s">
        <v>57</v>
      </c>
      <c r="D79" s="30">
        <v>34</v>
      </c>
      <c r="F79" s="26" t="str">
        <f>IFERROR(VLOOKUP(D79,Sessions!A:G,2,FALSE),"")</f>
        <v>Eastbourne Day Trip</v>
      </c>
      <c r="G79" s="27">
        <f>IFERROR(VLOOKUP(D79,Sessions!A:G,3,FALSE),"")</f>
        <v>45487</v>
      </c>
      <c r="H79" s="26" t="str">
        <f>IFERROR(VLOOKUP(D79,Sessions!A:G,4,FALSE),"")</f>
        <v>9:00pm</v>
      </c>
      <c r="I79" s="38">
        <f>IFERROR(VLOOKUP(D79,Sessions!A:G,5,FALSE),"")</f>
        <v>10</v>
      </c>
      <c r="J79" s="38">
        <f>IFERROR(VLOOKUP(D79,Sessions!A:G,6,FALSE),"")</f>
        <v>25</v>
      </c>
      <c r="K79" s="40">
        <v>10</v>
      </c>
      <c r="L79" s="40" t="s">
        <v>3</v>
      </c>
      <c r="M79" s="42" t="str">
        <f t="shared" si="2"/>
        <v>It's all set! 🎉 Here is a summary of your order:
*Number of Tickets*: 1
*Experience*: Eastbourne Day Trip
*Date*: 14/07/24
*Time*: 9:00pm
*Price*: 10 credits
We will issue your tickets on Eventbrite soon.
*Cancellation Policy*: 100% refund for cancellations 24h prior to event.</v>
      </c>
    </row>
    <row r="80" spans="1:13" ht="15.75" customHeight="1">
      <c r="B80" s="46"/>
      <c r="C80" s="45" t="s">
        <v>61</v>
      </c>
      <c r="D80" s="30">
        <v>34</v>
      </c>
      <c r="F80" s="26" t="str">
        <f>IFERROR(VLOOKUP(D80,Sessions!A:G,2,FALSE),"")</f>
        <v>Eastbourne Day Trip</v>
      </c>
      <c r="G80" s="27">
        <f>IFERROR(VLOOKUP(D80,Sessions!A:G,3,FALSE),"")</f>
        <v>45487</v>
      </c>
      <c r="H80" s="26" t="str">
        <f>IFERROR(VLOOKUP(D80,Sessions!A:G,4,FALSE),"")</f>
        <v>9:00pm</v>
      </c>
      <c r="I80" s="38">
        <f>IFERROR(VLOOKUP(D80,Sessions!A:G,5,FALSE),"")</f>
        <v>10</v>
      </c>
      <c r="J80" s="38">
        <f>IFERROR(VLOOKUP(D80,Sessions!A:G,6,FALSE),"")</f>
        <v>25</v>
      </c>
      <c r="K80" s="40">
        <v>25</v>
      </c>
      <c r="L80" s="40" t="s">
        <v>17</v>
      </c>
      <c r="M80" s="42" t="str">
        <f t="shared" si="2"/>
        <v>It's all set! 🎉 Here is a summary of your order:
*Number of Tickets*: 1
*Experience*: Eastbourne Day Trip
*Date*: 14/07/24
*Time*: 9:00pm
*Price*: 25 pounds
We will issue your tickets on Eventbrite soon.
*Cancellation Policy*: 100% refund for cancellations 24h prior to event.</v>
      </c>
    </row>
    <row r="81" spans="1:13" ht="15.75" customHeight="1">
      <c r="B81" s="46">
        <v>45481</v>
      </c>
      <c r="C81" s="45" t="s">
        <v>25</v>
      </c>
      <c r="D81" s="30">
        <v>35</v>
      </c>
      <c r="F81" s="26" t="str">
        <f>IFERROR(VLOOKUP(D81,Sessions!A:G,2,FALSE),"")</f>
        <v>Friday Lates life drawing at National Gallery</v>
      </c>
      <c r="G81" s="27">
        <f>IFERROR(VLOOKUP(D81,Sessions!A:G,3,FALSE),"")</f>
        <v>45492</v>
      </c>
      <c r="H81" s="26" t="str">
        <f>IFERROR(VLOOKUP(D81,Sessions!A:G,4,FALSE),"")</f>
        <v>5:45pm</v>
      </c>
      <c r="I81" s="38">
        <f>IFERROR(VLOOKUP(D81,Sessions!A:G,5,FALSE),"")</f>
        <v>0</v>
      </c>
      <c r="J81" s="38">
        <f>IFERROR(VLOOKUP(D81,Sessions!A:G,6,FALSE),"")</f>
        <v>0</v>
      </c>
      <c r="K81" s="40">
        <v>0</v>
      </c>
      <c r="L81" s="40" t="s">
        <v>3</v>
      </c>
      <c r="M81" s="42" t="str">
        <f t="shared" si="2"/>
        <v>It's all set! 🎉 Here is a summary of your order:
*Number of Tickets*: 1
*Experience*: Friday Lates life drawing at National Gallery
*Date*: 19/07/24
*Time*: 5:45pm
*Price*: 0 credits
We will issue your tickets on Eventbrite soon.
*Cancellation Policy*: 100% refund for cancellations 24h prior to event.</v>
      </c>
    </row>
    <row r="82" spans="1:13" ht="15.75" customHeight="1">
      <c r="B82" s="46">
        <v>45481</v>
      </c>
      <c r="C82" s="45" t="s">
        <v>53</v>
      </c>
      <c r="D82" s="30">
        <v>35</v>
      </c>
      <c r="F82" s="26" t="str">
        <f>IFERROR(VLOOKUP(D82,Sessions!A:G,2,FALSE),"")</f>
        <v>Friday Lates life drawing at National Gallery</v>
      </c>
      <c r="G82" s="27">
        <f>IFERROR(VLOOKUP(D82,Sessions!A:G,3,FALSE),"")</f>
        <v>45492</v>
      </c>
      <c r="H82" s="26" t="str">
        <f>IFERROR(VLOOKUP(D82,Sessions!A:G,4,FALSE),"")</f>
        <v>5:45pm</v>
      </c>
      <c r="I82" s="38">
        <f>IFERROR(VLOOKUP(D82,Sessions!A:G,5,FALSE),"")</f>
        <v>0</v>
      </c>
      <c r="J82" s="38">
        <f>IFERROR(VLOOKUP(D82,Sessions!A:G,6,FALSE),"")</f>
        <v>0</v>
      </c>
      <c r="K82" s="40">
        <v>0</v>
      </c>
      <c r="L82" s="40" t="s">
        <v>3</v>
      </c>
      <c r="M82" s="42" t="str">
        <f t="shared" si="2"/>
        <v>It's all set! 🎉 Here is a summary of your order:
*Number of Tickets*: 1
*Experience*: Friday Lates life drawing at National Gallery
*Date*: 19/07/24
*Time*: 5:45pm
*Price*: 0 credits
We will issue your tickets on Eventbrite soon.
*Cancellation Policy*: 100% refund for cancellations 24h prior to event.</v>
      </c>
    </row>
    <row r="83" spans="1:13" ht="15.75" customHeight="1">
      <c r="C83" s="45" t="s">
        <v>43</v>
      </c>
      <c r="D83" s="30">
        <v>35</v>
      </c>
      <c r="F83" s="26" t="str">
        <f>IFERROR(VLOOKUP(D83,Sessions!A:G,2,FALSE),"")</f>
        <v>Friday Lates life drawing at National Gallery</v>
      </c>
      <c r="G83" s="27">
        <f>IFERROR(VLOOKUP(D83,Sessions!A:G,3,FALSE),"")</f>
        <v>45492</v>
      </c>
      <c r="H83" s="26" t="str">
        <f>IFERROR(VLOOKUP(D83,Sessions!A:G,4,FALSE),"")</f>
        <v>5:45pm</v>
      </c>
      <c r="I83" s="38">
        <f>IFERROR(VLOOKUP(D83,Sessions!A:G,5,FALSE),"")</f>
        <v>0</v>
      </c>
      <c r="J83" s="38">
        <f>IFERROR(VLOOKUP(D83,Sessions!A:G,6,FALSE),"")</f>
        <v>0</v>
      </c>
      <c r="K83" s="40">
        <v>0</v>
      </c>
      <c r="L83" s="40" t="s">
        <v>17</v>
      </c>
      <c r="M83" s="42" t="str">
        <f t="shared" si="2"/>
        <v>It's all set! 🎉 Here is a summary of your order:
*Number of Tickets*: 1
*Experience*: Friday Lates life drawing at National Gallery
*Date*: 19/07/24
*Time*: 5:45pm
*Price*: 0 pounds
We will issue your tickets on Eventbrite soon.
*Cancellation Policy*: 100% refund for cancellations 24h prior to event.</v>
      </c>
    </row>
    <row r="84" spans="1:13" ht="15.75" customHeight="1">
      <c r="C84" s="45" t="s">
        <v>26</v>
      </c>
      <c r="D84" s="30">
        <v>35</v>
      </c>
      <c r="F84" s="26" t="str">
        <f>IFERROR(VLOOKUP(D84,Sessions!A:G,2,FALSE),"")</f>
        <v>Friday Lates life drawing at National Gallery</v>
      </c>
      <c r="G84" s="27">
        <f>IFERROR(VLOOKUP(D84,Sessions!A:G,3,FALSE),"")</f>
        <v>45492</v>
      </c>
      <c r="H84" s="26" t="str">
        <f>IFERROR(VLOOKUP(D84,Sessions!A:G,4,FALSE),"")</f>
        <v>5:45pm</v>
      </c>
      <c r="I84" s="38">
        <f>IFERROR(VLOOKUP(D84,Sessions!A:G,5,FALSE),"")</f>
        <v>0</v>
      </c>
      <c r="J84" s="38">
        <f>IFERROR(VLOOKUP(D84,Sessions!A:G,6,FALSE),"")</f>
        <v>0</v>
      </c>
      <c r="K84" s="40">
        <v>0</v>
      </c>
      <c r="L84" s="40" t="s">
        <v>17</v>
      </c>
      <c r="M84" s="42" t="str">
        <f t="shared" si="2"/>
        <v>It's all set! 🎉 Here is a summary of your order:
*Number of Tickets*: 1
*Experience*: Friday Lates life drawing at National Gallery
*Date*: 19/07/24
*Time*: 5:45pm
*Price*: 0 pounds
We will issue your tickets on Eventbrite soon.
*Cancellation Policy*: 100% refund for cancellations 24h prior to event.</v>
      </c>
    </row>
    <row r="85" spans="1:13" ht="15.75" customHeight="1">
      <c r="C85" s="45" t="s">
        <v>28</v>
      </c>
      <c r="D85" s="30">
        <v>35</v>
      </c>
      <c r="E85" s="151"/>
      <c r="F85" s="26" t="str">
        <f>IFERROR(VLOOKUP(D85,Sessions!A:G,2,FALSE),"")</f>
        <v>Friday Lates life drawing at National Gallery</v>
      </c>
      <c r="G85" s="27">
        <f>IFERROR(VLOOKUP(D85,Sessions!A:G,3,FALSE),"")</f>
        <v>45492</v>
      </c>
      <c r="H85" s="26" t="str">
        <f>IFERROR(VLOOKUP(D85,Sessions!A:G,4,FALSE),"")</f>
        <v>5:45pm</v>
      </c>
      <c r="I85" s="38">
        <f>IFERROR(VLOOKUP(D85,Sessions!A:G,5,FALSE),"")</f>
        <v>0</v>
      </c>
      <c r="J85" s="38">
        <f>IFERROR(VLOOKUP(D85,Sessions!A:G,6,FALSE),"")</f>
        <v>0</v>
      </c>
      <c r="K85" s="40">
        <v>0</v>
      </c>
      <c r="L85" s="40" t="s">
        <v>3</v>
      </c>
      <c r="M85" s="42" t="str">
        <f t="shared" si="2"/>
        <v>It's all set! 🎉 Here is a summary of your order:
*Number of Tickets*: 1
*Experience*: Friday Lates life drawing at National Gallery
*Date*: 19/07/24
*Time*: 5:45pm
*Price*: 0 credits
We will issue your tickets on Eventbrite soon.
*Cancellation Policy*: 100% refund for cancellations 24h prior to event.</v>
      </c>
    </row>
    <row r="86" spans="1:13" ht="15.75" customHeight="1">
      <c r="C86" s="45" t="s">
        <v>62</v>
      </c>
      <c r="D86" s="30">
        <v>35</v>
      </c>
      <c r="F86" s="26" t="str">
        <f>IFERROR(VLOOKUP(D86,Sessions!A:G,2,FALSE),"")</f>
        <v>Friday Lates life drawing at National Gallery</v>
      </c>
      <c r="G86" s="27">
        <f>IFERROR(VLOOKUP(D86,Sessions!A:G,3,FALSE),"")</f>
        <v>45492</v>
      </c>
      <c r="H86" s="26" t="str">
        <f>IFERROR(VLOOKUP(D86,Sessions!A:G,4,FALSE),"")</f>
        <v>5:45pm</v>
      </c>
      <c r="I86" s="38">
        <f>IFERROR(VLOOKUP(D86,Sessions!A:G,5,FALSE),"")</f>
        <v>0</v>
      </c>
      <c r="J86" s="38">
        <f>IFERROR(VLOOKUP(D86,Sessions!A:G,6,FALSE),"")</f>
        <v>0</v>
      </c>
      <c r="K86" s="40">
        <v>0</v>
      </c>
      <c r="L86" s="40" t="s">
        <v>17</v>
      </c>
      <c r="M86" s="42" t="str">
        <f t="shared" si="2"/>
        <v>It's all set! 🎉 Here is a summary of your order:
*Number of Tickets*: 1
*Experience*: Friday Lates life drawing at National Gallery
*Date*: 19/07/24
*Time*: 5:45pm
*Price*: 0 pounds
We will issue your tickets on Eventbrite soon.
*Cancellation Policy*: 100% refund for cancellations 24h prior to event.</v>
      </c>
    </row>
    <row r="87" spans="1:13" ht="15.75" customHeight="1">
      <c r="C87" s="45" t="s">
        <v>23</v>
      </c>
      <c r="D87" s="30">
        <v>35</v>
      </c>
      <c r="F87" s="26" t="str">
        <f>IFERROR(VLOOKUP(D87,Sessions!A:G,2,FALSE),"")</f>
        <v>Friday Lates life drawing at National Gallery</v>
      </c>
      <c r="G87" s="27">
        <f>IFERROR(VLOOKUP(D87,Sessions!A:G,3,FALSE),"")</f>
        <v>45492</v>
      </c>
      <c r="H87" s="26" t="str">
        <f>IFERROR(VLOOKUP(D87,Sessions!A:G,4,FALSE),"")</f>
        <v>5:45pm</v>
      </c>
      <c r="I87" s="38">
        <f>IFERROR(VLOOKUP(D87,Sessions!A:G,5,FALSE),"")</f>
        <v>0</v>
      </c>
      <c r="J87" s="38">
        <f>IFERROR(VLOOKUP(D87,Sessions!A:G,6,FALSE),"")</f>
        <v>0</v>
      </c>
      <c r="K87" s="40">
        <v>0</v>
      </c>
      <c r="L87" s="40" t="s">
        <v>3</v>
      </c>
      <c r="M87" s="42" t="str">
        <f t="shared" si="2"/>
        <v>It's all set! 🎉 Here is a summary of your order:
*Number of Tickets*: 1
*Experience*: Friday Lates life drawing at National Gallery
*Date*: 19/07/24
*Time*: 5:45pm
*Price*: 0 credits
We will issue your tickets on Eventbrite soon.
*Cancellation Policy*: 100% refund for cancellations 24h prior to event.</v>
      </c>
    </row>
    <row r="88" spans="1:13" ht="15.75" customHeight="1">
      <c r="C88" s="45" t="s">
        <v>30</v>
      </c>
      <c r="D88" s="30">
        <v>35</v>
      </c>
      <c r="F88" s="26" t="str">
        <f>IFERROR(VLOOKUP(D88,Sessions!A:G,2,FALSE),"")</f>
        <v>Friday Lates life drawing at National Gallery</v>
      </c>
      <c r="G88" s="27">
        <f>IFERROR(VLOOKUP(D88,Sessions!A:G,3,FALSE),"")</f>
        <v>45492</v>
      </c>
      <c r="H88" s="26" t="str">
        <f>IFERROR(VLOOKUP(D88,Sessions!A:G,4,FALSE),"")</f>
        <v>5:45pm</v>
      </c>
      <c r="I88" s="38">
        <f>IFERROR(VLOOKUP(D88,Sessions!A:G,5,FALSE),"")</f>
        <v>0</v>
      </c>
      <c r="J88" s="38">
        <f>IFERROR(VLOOKUP(D88,Sessions!A:G,6,FALSE),"")</f>
        <v>0</v>
      </c>
      <c r="K88" s="40">
        <v>0</v>
      </c>
      <c r="L88" s="40" t="s">
        <v>3</v>
      </c>
      <c r="M88" s="42" t="str">
        <f t="shared" si="2"/>
        <v>It's all set! 🎉 Here is a summary of your order:
*Number of Tickets*: 1
*Experience*: Friday Lates life drawing at National Gallery
*Date*: 19/07/24
*Time*: 5:45pm
*Price*: 0 credits
We will issue your tickets on Eventbrite soon.
*Cancellation Policy*: 100% refund for cancellations 24h prior to event.</v>
      </c>
    </row>
    <row r="89" spans="1:13" ht="15.75" customHeight="1">
      <c r="B89" s="46">
        <v>45449</v>
      </c>
      <c r="C89" s="45" t="s">
        <v>22</v>
      </c>
      <c r="D89" s="30">
        <v>24</v>
      </c>
      <c r="F89" s="26" t="str">
        <f>IFERROR(VLOOKUP(D89,Sessions!A:G,2,FALSE),"")</f>
        <v>Gallery Stroll in Bermondsey</v>
      </c>
      <c r="G89" s="27">
        <f>IFERROR(VLOOKUP(D89,Sessions!A:G,3,FALSE),"")</f>
        <v>45451</v>
      </c>
      <c r="H89" s="26" t="str">
        <f>IFERROR(VLOOKUP(D89,Sessions!A:G,4,FALSE),"")</f>
        <v>2:00pm</v>
      </c>
      <c r="I89" s="38">
        <f>IFERROR(VLOOKUP(D89,Sessions!A:G,5,FALSE),"")</f>
        <v>6</v>
      </c>
      <c r="J89" s="38">
        <f>IFERROR(VLOOKUP(D89,Sessions!A:G,6,FALSE),"")</f>
        <v>15</v>
      </c>
      <c r="K89" s="40">
        <v>6</v>
      </c>
      <c r="L89" s="40" t="s">
        <v>3</v>
      </c>
      <c r="M89" s="42" t="str">
        <f>"It's all set! 🎉 Here is a summary of your order:
*Number of Tickets*: 1
*Experience*: "&amp;F89&amp;"
*Date*: "&amp;TEXT(G89,"dd/mm/yy")&amp;"
*Time*: "&amp;H89&amp;"
*Price*: "&amp;K89&amp;" "&amp;L89&amp;"
We will issue your tickets on Evenbrite soon.
*Cancelation Policy*: 100% refund for cancelations 24h prior to event."</f>
        <v>It's all set! 🎉 Here is a summary of your order:
*Number of Tickets*: 1
*Experience*: Gallery Stroll in Bermondsey
*Date*: 08/06/24
*Time*: 2:00pm
*Price*: 6 credits
We will issue your tickets on Evenbrite soon.
*Cancelation Policy*: 100% refund for cancelations 24h prior to event.</v>
      </c>
    </row>
    <row r="90" spans="1:13" ht="15.75" customHeight="1">
      <c r="B90" s="46">
        <v>45448</v>
      </c>
      <c r="C90" s="45" t="s">
        <v>18</v>
      </c>
      <c r="D90" s="30">
        <v>25</v>
      </c>
      <c r="F90" s="26" t="str">
        <f>IFERROR(VLOOKUP(D90,Sessions!A:G,2,FALSE),"")</f>
        <v>Gallery Stroll with Pub Quiz</v>
      </c>
      <c r="G90" s="27">
        <f>IFERROR(VLOOKUP(D90,Sessions!A:G,3,FALSE),"")</f>
        <v>45465</v>
      </c>
      <c r="H90" s="26" t="str">
        <f>IFERROR(VLOOKUP(D90,Sessions!A:G,4,FALSE),"")</f>
        <v>2:00pm</v>
      </c>
      <c r="I90" s="38">
        <f>IFERROR(VLOOKUP(D90,Sessions!A:G,5,FALSE),"")</f>
        <v>6</v>
      </c>
      <c r="J90" s="38">
        <f>IFERROR(VLOOKUP(D90,Sessions!A:G,6,FALSE),"")</f>
        <v>15</v>
      </c>
      <c r="K90" s="40">
        <v>6</v>
      </c>
      <c r="L90" s="40" t="s">
        <v>3</v>
      </c>
      <c r="M90" s="42" t="str">
        <f>"It's all set! 🎉 Here is a summary of your order:
*Number of Tickets*: 1
*Experience*: "&amp;F90&amp;"
*Date*: "&amp;TEXT(G90,"dd/mm/yy")&amp;"
*Time*: "&amp;H90&amp;"
*Price*: "&amp;K90&amp;" "&amp;L90&amp;"
We will issue your tickets on Evenbrite soon.
*Cancelation Policy*: 100% refund for cancelations 24h prior to event."</f>
        <v>It's all set! 🎉 Here is a summary of your order:
*Number of Tickets*: 1
*Experience*: Gallery Stroll with Pub Quiz
*Date*: 22/06/24
*Time*: 2:00pm
*Price*: 6 credits
We will issue your tickets on Evenbrite soon.
*Cancelation Policy*: 100% refund for cancelations 24h prior to event.</v>
      </c>
    </row>
    <row r="91" spans="1:13" ht="15.75" customHeight="1">
      <c r="B91" s="46">
        <v>45511</v>
      </c>
      <c r="C91" s="45" t="s">
        <v>40</v>
      </c>
      <c r="D91" s="30">
        <v>41</v>
      </c>
      <c r="F91" s="26" t="str">
        <f>IFERROR(VLOOKUP(D91,Sessions!A:G,2,FALSE),"")</f>
        <v>Garden Evening at Camden Arts Centre</v>
      </c>
      <c r="G91" s="27">
        <f>IFERROR(VLOOKUP(D91,Sessions!A:G,3,FALSE),"")</f>
        <v>45540</v>
      </c>
      <c r="H91" s="26" t="str">
        <f>IFERROR(VLOOKUP(D91,Sessions!A:G,4,FALSE),"")</f>
        <v>7:00pm</v>
      </c>
      <c r="I91" s="38">
        <f>IFERROR(VLOOKUP(D91,Sessions!A:G,5,FALSE),"")</f>
        <v>5</v>
      </c>
      <c r="J91" s="38">
        <f>IFERROR(VLOOKUP(D91,Sessions!A:G,6,FALSE),"")</f>
        <v>12</v>
      </c>
      <c r="K91" s="40">
        <v>5</v>
      </c>
      <c r="L91" s="40" t="s">
        <v>3</v>
      </c>
      <c r="M91" s="42" t="str">
        <f>"It's all set! 🎉 Here is a summary of your order:
*Number of Tickets*: 1
*Experience*: "&amp;F91&amp;"
*Date*: "&amp;TEXT(G91,"dd/mm/yy")&amp;"
*Time*: "&amp;H91&amp;"
*Price*: "&amp;K91&amp;" "&amp;L91&amp;"
We will issue your tickets on Eventbrite soon.
*Cancellation Policy*: 100% refund for cancellations 24h prior to event."</f>
        <v>It's all set! 🎉 Here is a summary of your order:
*Number of Tickets*: 1
*Experience*: Garden Evening at Camden Arts Centre
*Date*: 05/09/24
*Time*: 7:00pm
*Price*: 5 credits
We will issue your tickets on Eventbrite soon.
*Cancellation Policy*: 100% refund for cancellations 24h prior to event.</v>
      </c>
    </row>
    <row r="92" spans="1:13" ht="15.75" customHeight="1">
      <c r="B92" s="46">
        <v>45511</v>
      </c>
      <c r="C92" s="45" t="s">
        <v>28</v>
      </c>
      <c r="D92" s="30">
        <v>41</v>
      </c>
      <c r="F92" s="26" t="str">
        <f>IFERROR(VLOOKUP(D92,Sessions!A:G,2,FALSE),"")</f>
        <v>Garden Evening at Camden Arts Centre</v>
      </c>
      <c r="G92" s="27">
        <f>IFERROR(VLOOKUP(D92,Sessions!A:G,3,FALSE),"")</f>
        <v>45540</v>
      </c>
      <c r="H92" s="26" t="str">
        <f>IFERROR(VLOOKUP(D92,Sessions!A:G,4,FALSE),"")</f>
        <v>7:00pm</v>
      </c>
      <c r="I92" s="38">
        <f>IFERROR(VLOOKUP(D92,Sessions!A:G,5,FALSE),"")</f>
        <v>5</v>
      </c>
      <c r="J92" s="38">
        <f>IFERROR(VLOOKUP(D92,Sessions!A:G,6,FALSE),"")</f>
        <v>12</v>
      </c>
      <c r="K92" s="40">
        <v>5</v>
      </c>
      <c r="L92" s="40" t="s">
        <v>3</v>
      </c>
      <c r="M92" s="42" t="str">
        <f>"It's all set! 🎉 Here is a summary of your order:
*Number of Tickets*: 1
*Experience*: "&amp;F92&amp;"
*Date*: "&amp;TEXT(G92,"dd/mm/yy")&amp;"
*Time*: "&amp;H92&amp;"
*Price*: "&amp;K92&amp;" "&amp;L92&amp;"
We will issue your tickets on Eventbrite soon.
*Cancellation Policy*: 100% refund for cancellations 24h prior to event."</f>
        <v>It's all set! 🎉 Here is a summary of your order:
*Number of Tickets*: 1
*Experience*: Garden Evening at Camden Arts Centre
*Date*: 05/09/24
*Time*: 7:00pm
*Price*: 5 credits
We will issue your tickets on Eventbrite soon.
*Cancellation Policy*: 100% refund for cancellations 24h prior to event.</v>
      </c>
    </row>
    <row r="93" spans="1:13" ht="15.75" customHeight="1">
      <c r="C93" s="45" t="s">
        <v>62</v>
      </c>
      <c r="D93" s="30">
        <v>41</v>
      </c>
      <c r="F93" s="26" t="str">
        <f>IFERROR(VLOOKUP(D93,Sessions!A:G,2,FALSE),"")</f>
        <v>Garden Evening at Camden Arts Centre</v>
      </c>
      <c r="G93" s="27">
        <f>IFERROR(VLOOKUP(D93,Sessions!A:G,3,FALSE),"")</f>
        <v>45540</v>
      </c>
      <c r="H93" s="26" t="str">
        <f>IFERROR(VLOOKUP(D93,Sessions!A:G,4,FALSE),"")</f>
        <v>7:00pm</v>
      </c>
      <c r="I93" s="38">
        <f>IFERROR(VLOOKUP(D93,Sessions!A:G,5,FALSE),"")</f>
        <v>5</v>
      </c>
      <c r="J93" s="38">
        <f>IFERROR(VLOOKUP(D93,Sessions!A:G,6,FALSE),"")</f>
        <v>12</v>
      </c>
      <c r="K93" s="58">
        <v>5</v>
      </c>
      <c r="L93" s="40" t="s">
        <v>3</v>
      </c>
      <c r="M93" s="42" t="str">
        <f>"It's all set! 🎉 Here is a summary of your order:
*Number of Tickets*: 1
*Experience*: "&amp;F93&amp;"
*Date*: "&amp;TEXT(G93,"dd/mm/yy")&amp;"
*Time*: "&amp;H93&amp;"
*Price*: "&amp;K93&amp;" "&amp;L93&amp;"
We will issue your tickets on Eventbrite soon.
*Cancellation Policy*: 100% refund for cancellations 24h prior to event."</f>
        <v>It's all set! 🎉 Here is a summary of your order:
*Number of Tickets*: 1
*Experience*: Garden Evening at Camden Arts Centre
*Date*: 05/09/24
*Time*: 7:00pm
*Price*: 5 credits
We will issue your tickets on Eventbrite soon.
*Cancellation Policy*: 100% refund for cancellations 24h prior to event.</v>
      </c>
    </row>
    <row r="94" spans="1:13" ht="15.75" customHeight="1">
      <c r="B94" s="46">
        <v>45479</v>
      </c>
      <c r="C94" s="45" t="s">
        <v>57</v>
      </c>
      <c r="D94" s="30">
        <v>30</v>
      </c>
      <c r="F94" s="26" t="str">
        <f>IFERROR(VLOOKUP(D94,Sessions!A:G,2,FALSE),"")</f>
        <v>Garden Museum Late (Ioana)</v>
      </c>
      <c r="G94" s="27">
        <f>IFERROR(VLOOKUP(D94,Sessions!A:G,3,FALSE),"")</f>
        <v>45450</v>
      </c>
      <c r="H94" s="26" t="str">
        <f>IFERROR(VLOOKUP(D94,Sessions!A:G,4,FALSE),"")</f>
        <v>6:30pm</v>
      </c>
      <c r="I94" s="38">
        <f>IFERROR(VLOOKUP(D94,Sessions!A:G,5,FALSE),"")</f>
        <v>6</v>
      </c>
      <c r="J94" s="38">
        <f>IFERROR(VLOOKUP(D94,Sessions!A:G,6,FALSE),"")</f>
        <v>15</v>
      </c>
      <c r="K94" s="40">
        <v>6</v>
      </c>
      <c r="L94" s="40" t="s">
        <v>3</v>
      </c>
      <c r="M94" s="42" t="str">
        <f t="shared" ref="M94:M122" si="3">"It's all set! 🎉 Here is a summary of your order:
*Number of Tickets*: 1
*Experience*: "&amp;F94&amp;"
*Date*: "&amp;TEXT(G94,"dd/mm/yy")&amp;"
*Time*: "&amp;H94&amp;"
*Price*: "&amp;K94&amp;" "&amp;L94&amp;"
We will issue your tickets on Evenbrite soon.
*Cancelation Policy*: 100% refund for cancelations 24h prior to event."</f>
        <v>It's all set! 🎉 Here is a summary of your order:
*Number of Tickets*: 1
*Experience*: Garden Museum Late (Ioana)
*Date*: 07/06/24
*Time*: 6:30pm
*Price*: 6 credits
We will issue your tickets on Evenbrite soon.
*Cancelation Policy*: 100% refund for cancelations 24h prior to event.</v>
      </c>
    </row>
    <row r="95" spans="1:13" ht="15.75" customHeight="1">
      <c r="A95" s="88"/>
      <c r="B95" s="46">
        <v>45442</v>
      </c>
      <c r="C95" s="45" t="s">
        <v>63</v>
      </c>
      <c r="D95" s="30">
        <v>23</v>
      </c>
      <c r="F95" s="26" t="str">
        <f>IFERROR(VLOOKUP(D95,Sessions!A:G,2,FALSE),"")</f>
        <v>Heloisa Hariadne @ Twani Gallery</v>
      </c>
      <c r="G95" s="27">
        <f>IFERROR(VLOOKUP(D95,Sessions!A:G,3,FALSE),"")</f>
        <v>45442</v>
      </c>
      <c r="H95" s="26" t="str">
        <f>IFERROR(VLOOKUP(D95,Sessions!A:G,4,FALSE),"")</f>
        <v>6:30pm</v>
      </c>
      <c r="I95" s="38">
        <f>IFERROR(VLOOKUP(D95,Sessions!A:G,5,FALSE),"")</f>
        <v>0</v>
      </c>
      <c r="J95" s="38">
        <f>IFERROR(VLOOKUP(D95,Sessions!A:G,6,FALSE),"")</f>
        <v>0</v>
      </c>
      <c r="K95" s="40">
        <v>0</v>
      </c>
      <c r="L95" s="40" t="s">
        <v>17</v>
      </c>
      <c r="M95" s="42" t="str">
        <f t="shared" si="3"/>
        <v>It's all set! 🎉 Here is a summary of your order:
*Number of Tickets*: 1
*Experience*: Heloisa Hariadne @ Twani Gallery
*Date*: 30/05/24
*Time*: 6:30pm
*Price*: 0 pounds
We will issue your tickets on Evenbrite soon.
*Cancelation Policy*: 100% refund for cancelations 24h prior to event.</v>
      </c>
    </row>
    <row r="96" spans="1:13" ht="15.75" customHeight="1">
      <c r="A96" s="88"/>
      <c r="B96" s="46">
        <v>45440</v>
      </c>
      <c r="C96" s="45" t="s">
        <v>64</v>
      </c>
      <c r="D96" s="30">
        <v>23</v>
      </c>
      <c r="F96" s="26" t="str">
        <f>IFERROR(VLOOKUP(D96,Sessions!A:G,2,FALSE),"")</f>
        <v>Heloisa Hariadne @ Twani Gallery</v>
      </c>
      <c r="G96" s="27">
        <f>IFERROR(VLOOKUP(D96,Sessions!A:G,3,FALSE),"")</f>
        <v>45442</v>
      </c>
      <c r="H96" s="26" t="str">
        <f>IFERROR(VLOOKUP(D96,Sessions!A:G,4,FALSE),"")</f>
        <v>6:30pm</v>
      </c>
      <c r="I96" s="38">
        <f>IFERROR(VLOOKUP(D96,Sessions!A:G,5,FALSE),"")</f>
        <v>0</v>
      </c>
      <c r="J96" s="38">
        <f>IFERROR(VLOOKUP(D96,Sessions!A:G,6,FALSE),"")</f>
        <v>0</v>
      </c>
      <c r="K96" s="40">
        <v>0</v>
      </c>
      <c r="L96" s="40" t="s">
        <v>17</v>
      </c>
      <c r="M96" s="42" t="str">
        <f t="shared" si="3"/>
        <v>It's all set! 🎉 Here is a summary of your order:
*Number of Tickets*: 1
*Experience*: Heloisa Hariadne @ Twani Gallery
*Date*: 30/05/24
*Time*: 6:30pm
*Price*: 0 pounds
We will issue your tickets on Evenbrite soon.
*Cancelation Policy*: 100% refund for cancelations 24h prior to event.</v>
      </c>
    </row>
    <row r="97" spans="1:13" ht="15.75" customHeight="1">
      <c r="A97" s="88" t="s">
        <v>65</v>
      </c>
      <c r="B97" s="46">
        <v>45440</v>
      </c>
      <c r="C97" s="45" t="s">
        <v>43</v>
      </c>
      <c r="D97" s="30">
        <v>23</v>
      </c>
      <c r="F97" s="26" t="str">
        <f>IFERROR(VLOOKUP(D97,Sessions!A:G,2,FALSE),"")</f>
        <v>Heloisa Hariadne @ Twani Gallery</v>
      </c>
      <c r="G97" s="27">
        <f>IFERROR(VLOOKUP(D97,Sessions!A:G,3,FALSE),"")</f>
        <v>45442</v>
      </c>
      <c r="H97" s="26" t="str">
        <f>IFERROR(VLOOKUP(D97,Sessions!A:G,4,FALSE),"")</f>
        <v>6:30pm</v>
      </c>
      <c r="I97" s="38">
        <f>IFERROR(VLOOKUP(D97,Sessions!A:G,5,FALSE),"")</f>
        <v>0</v>
      </c>
      <c r="J97" s="38">
        <f>IFERROR(VLOOKUP(D97,Sessions!A:G,6,FALSE),"")</f>
        <v>0</v>
      </c>
      <c r="K97" s="40">
        <v>0</v>
      </c>
      <c r="L97" s="40" t="s">
        <v>17</v>
      </c>
      <c r="M97" s="42" t="str">
        <f t="shared" si="3"/>
        <v>It's all set! 🎉 Here is a summary of your order:
*Number of Tickets*: 1
*Experience*: Heloisa Hariadne @ Twani Gallery
*Date*: 30/05/24
*Time*: 6:30pm
*Price*: 0 pounds
We will issue your tickets on Evenbrite soon.
*Cancelation Policy*: 100% refund for cancelations 24h prior to event.</v>
      </c>
    </row>
    <row r="98" spans="1:13" ht="15.75" customHeight="1">
      <c r="A98" s="88"/>
      <c r="B98" s="46">
        <v>45442</v>
      </c>
      <c r="C98" s="45" t="s">
        <v>66</v>
      </c>
      <c r="D98" s="30">
        <v>23</v>
      </c>
      <c r="F98" s="26" t="str">
        <f>IFERROR(VLOOKUP(D98,Sessions!A:G,2,FALSE),"")</f>
        <v>Heloisa Hariadne @ Twani Gallery</v>
      </c>
      <c r="G98" s="27">
        <f>IFERROR(VLOOKUP(D98,Sessions!A:G,3,FALSE),"")</f>
        <v>45442</v>
      </c>
      <c r="H98" s="26" t="str">
        <f>IFERROR(VLOOKUP(D98,Sessions!A:G,4,FALSE),"")</f>
        <v>6:30pm</v>
      </c>
      <c r="I98" s="38">
        <f>IFERROR(VLOOKUP(D98,Sessions!A:G,5,FALSE),"")</f>
        <v>0</v>
      </c>
      <c r="J98" s="38">
        <f>IFERROR(VLOOKUP(D98,Sessions!A:G,6,FALSE),"")</f>
        <v>0</v>
      </c>
      <c r="K98" s="40">
        <v>0</v>
      </c>
      <c r="L98" s="40" t="s">
        <v>17</v>
      </c>
      <c r="M98" s="42" t="str">
        <f t="shared" si="3"/>
        <v>It's all set! 🎉 Here is a summary of your order:
*Number of Tickets*: 1
*Experience*: Heloisa Hariadne @ Twani Gallery
*Date*: 30/05/24
*Time*: 6:30pm
*Price*: 0 pounds
We will issue your tickets on Evenbrite soon.
*Cancelation Policy*: 100% refund for cancelations 24h prior to event.</v>
      </c>
    </row>
    <row r="99" spans="1:13" ht="15.75" customHeight="1">
      <c r="A99" s="88"/>
      <c r="B99" s="46">
        <v>45435</v>
      </c>
      <c r="C99" s="45" t="s">
        <v>25</v>
      </c>
      <c r="D99" s="30">
        <v>23</v>
      </c>
      <c r="F99" s="26" t="str">
        <f>IFERROR(VLOOKUP(D99,Sessions!A:G,2,FALSE),"")</f>
        <v>Heloisa Hariadne @ Twani Gallery</v>
      </c>
      <c r="G99" s="27">
        <f>IFERROR(VLOOKUP(D99,Sessions!A:G,3,FALSE),"")</f>
        <v>45442</v>
      </c>
      <c r="H99" s="26" t="str">
        <f>IFERROR(VLOOKUP(D99,Sessions!A:G,4,FALSE),"")</f>
        <v>6:30pm</v>
      </c>
      <c r="I99" s="38">
        <f>IFERROR(VLOOKUP(D99,Sessions!A:G,5,FALSE),"")</f>
        <v>0</v>
      </c>
      <c r="J99" s="38">
        <f>IFERROR(VLOOKUP(D99,Sessions!A:G,6,FALSE),"")</f>
        <v>0</v>
      </c>
      <c r="K99" s="40">
        <v>0</v>
      </c>
      <c r="L99" s="40" t="s">
        <v>3</v>
      </c>
      <c r="M99" s="42" t="str">
        <f t="shared" si="3"/>
        <v>It's all set! 🎉 Here is a summary of your order:
*Number of Tickets*: 1
*Experience*: Heloisa Hariadne @ Twani Gallery
*Date*: 30/05/24
*Time*: 6:30pm
*Price*: 0 credits
We will issue your tickets on Evenbrite soon.
*Cancelation Policy*: 100% refund for cancelations 24h prior to event.</v>
      </c>
    </row>
    <row r="100" spans="1:13" ht="15.75" customHeight="1">
      <c r="A100" s="88"/>
      <c r="B100" s="46">
        <v>45432</v>
      </c>
      <c r="C100" s="45" t="s">
        <v>18</v>
      </c>
      <c r="D100" s="30">
        <v>23</v>
      </c>
      <c r="F100" s="26" t="str">
        <f>IFERROR(VLOOKUP(D100,Sessions!A:G,2,FALSE),"")</f>
        <v>Heloisa Hariadne @ Twani Gallery</v>
      </c>
      <c r="G100" s="27">
        <f>IFERROR(VLOOKUP(D100,Sessions!A:G,3,FALSE),"")</f>
        <v>45442</v>
      </c>
      <c r="H100" s="26" t="str">
        <f>IFERROR(VLOOKUP(D100,Sessions!A:G,4,FALSE),"")</f>
        <v>6:30pm</v>
      </c>
      <c r="I100" s="38">
        <f>IFERROR(VLOOKUP(D100,Sessions!A:G,5,FALSE),"")</f>
        <v>0</v>
      </c>
      <c r="J100" s="38">
        <f>IFERROR(VLOOKUP(D100,Sessions!A:G,6,FALSE),"")</f>
        <v>0</v>
      </c>
      <c r="K100" s="40">
        <v>0</v>
      </c>
      <c r="L100" s="40" t="s">
        <v>3</v>
      </c>
      <c r="M100" s="42" t="str">
        <f t="shared" si="3"/>
        <v>It's all set! 🎉 Here is a summary of your order:
*Number of Tickets*: 1
*Experience*: Heloisa Hariadne @ Twani Gallery
*Date*: 30/05/24
*Time*: 6:30pm
*Price*: 0 credits
We will issue your tickets on Evenbrite soon.
*Cancelation Policy*: 100% refund for cancelations 24h prior to event.</v>
      </c>
    </row>
    <row r="101" spans="1:13" ht="15.75" customHeight="1">
      <c r="A101" s="88"/>
      <c r="B101" s="46">
        <v>45432</v>
      </c>
      <c r="C101" s="45" t="s">
        <v>32</v>
      </c>
      <c r="D101" s="30">
        <v>23</v>
      </c>
      <c r="F101" s="26" t="str">
        <f>IFERROR(VLOOKUP(D101,Sessions!A:G,2,FALSE),"")</f>
        <v>Heloisa Hariadne @ Twani Gallery</v>
      </c>
      <c r="G101" s="27">
        <f>IFERROR(VLOOKUP(D101,Sessions!A:G,3,FALSE),"")</f>
        <v>45442</v>
      </c>
      <c r="H101" s="26" t="str">
        <f>IFERROR(VLOOKUP(D101,Sessions!A:G,4,FALSE),"")</f>
        <v>6:30pm</v>
      </c>
      <c r="I101" s="38">
        <f>IFERROR(VLOOKUP(D101,Sessions!A:G,5,FALSE),"")</f>
        <v>0</v>
      </c>
      <c r="J101" s="38">
        <f>IFERROR(VLOOKUP(D101,Sessions!A:G,6,FALSE),"")</f>
        <v>0</v>
      </c>
      <c r="K101" s="40">
        <v>0</v>
      </c>
      <c r="L101" s="40" t="s">
        <v>3</v>
      </c>
      <c r="M101" s="42" t="str">
        <f t="shared" si="3"/>
        <v>It's all set! 🎉 Here is a summary of your order:
*Number of Tickets*: 1
*Experience*: Heloisa Hariadne @ Twani Gallery
*Date*: 30/05/24
*Time*: 6:30pm
*Price*: 0 credits
We will issue your tickets on Evenbrite soon.
*Cancelation Policy*: 100% refund for cancelations 24h prior to event.</v>
      </c>
    </row>
    <row r="102" spans="1:13" ht="15.75" customHeight="1">
      <c r="A102" s="88"/>
      <c r="B102" s="46">
        <v>45442</v>
      </c>
      <c r="C102" s="45" t="s">
        <v>67</v>
      </c>
      <c r="D102" s="30">
        <v>23</v>
      </c>
      <c r="F102" s="26" t="str">
        <f>IFERROR(VLOOKUP(D102,Sessions!A:G,2,FALSE),"")</f>
        <v>Heloisa Hariadne @ Twani Gallery</v>
      </c>
      <c r="G102" s="27">
        <f>IFERROR(VLOOKUP(D102,Sessions!A:G,3,FALSE),"")</f>
        <v>45442</v>
      </c>
      <c r="H102" s="26" t="str">
        <f>IFERROR(VLOOKUP(D102,Sessions!A:G,4,FALSE),"")</f>
        <v>6:30pm</v>
      </c>
      <c r="I102" s="38">
        <f>IFERROR(VLOOKUP(D102,Sessions!A:G,5,FALSE),"")</f>
        <v>0</v>
      </c>
      <c r="J102" s="38">
        <f>IFERROR(VLOOKUP(D102,Sessions!A:G,6,FALSE),"")</f>
        <v>0</v>
      </c>
      <c r="K102" s="40">
        <v>0</v>
      </c>
      <c r="L102" s="40" t="s">
        <v>17</v>
      </c>
      <c r="M102" s="42" t="str">
        <f t="shared" si="3"/>
        <v>It's all set! 🎉 Here is a summary of your order:
*Number of Tickets*: 1
*Experience*: Heloisa Hariadne @ Twani Gallery
*Date*: 30/05/24
*Time*: 6:30pm
*Price*: 0 pounds
We will issue your tickets on Evenbrite soon.
*Cancelation Policy*: 100% refund for cancelations 24h prior to event.</v>
      </c>
    </row>
    <row r="103" spans="1:13" ht="15.75" customHeight="1">
      <c r="A103" s="88"/>
      <c r="B103" s="46">
        <v>45442</v>
      </c>
      <c r="C103" s="45" t="s">
        <v>68</v>
      </c>
      <c r="D103" s="30">
        <v>23</v>
      </c>
      <c r="F103" s="26" t="str">
        <f>IFERROR(VLOOKUP(D103,Sessions!A:G,2,FALSE),"")</f>
        <v>Heloisa Hariadne @ Twani Gallery</v>
      </c>
      <c r="G103" s="27">
        <f>IFERROR(VLOOKUP(D103,Sessions!A:G,3,FALSE),"")</f>
        <v>45442</v>
      </c>
      <c r="H103" s="26" t="str">
        <f>IFERROR(VLOOKUP(D103,Sessions!A:G,4,FALSE),"")</f>
        <v>6:30pm</v>
      </c>
      <c r="I103" s="38">
        <f>IFERROR(VLOOKUP(D103,Sessions!A:G,5,FALSE),"")</f>
        <v>0</v>
      </c>
      <c r="J103" s="38">
        <f>IFERROR(VLOOKUP(D103,Sessions!A:G,6,FALSE),"")</f>
        <v>0</v>
      </c>
      <c r="K103" s="40">
        <v>0</v>
      </c>
      <c r="L103" s="40" t="s">
        <v>17</v>
      </c>
      <c r="M103" s="42" t="str">
        <f t="shared" si="3"/>
        <v>It's all set! 🎉 Here is a summary of your order:
*Number of Tickets*: 1
*Experience*: Heloisa Hariadne @ Twani Gallery
*Date*: 30/05/24
*Time*: 6:30pm
*Price*: 0 pounds
We will issue your tickets on Evenbrite soon.
*Cancelation Policy*: 100% refund for cancelations 24h prior to event.</v>
      </c>
    </row>
    <row r="104" spans="1:13" ht="15.75" customHeight="1">
      <c r="A104" s="88"/>
      <c r="B104" s="46">
        <v>45442</v>
      </c>
      <c r="C104" s="45" t="s">
        <v>69</v>
      </c>
      <c r="D104" s="30">
        <v>23</v>
      </c>
      <c r="F104" s="26" t="str">
        <f>IFERROR(VLOOKUP(D104,Sessions!A:G,2,FALSE),"")</f>
        <v>Heloisa Hariadne @ Twani Gallery</v>
      </c>
      <c r="G104" s="27">
        <f>IFERROR(VLOOKUP(D104,Sessions!A:G,3,FALSE),"")</f>
        <v>45442</v>
      </c>
      <c r="H104" s="26" t="str">
        <f>IFERROR(VLOOKUP(D104,Sessions!A:G,4,FALSE),"")</f>
        <v>6:30pm</v>
      </c>
      <c r="I104" s="38">
        <f>IFERROR(VLOOKUP(D104,Sessions!A:G,5,FALSE),"")</f>
        <v>0</v>
      </c>
      <c r="J104" s="38">
        <f>IFERROR(VLOOKUP(D104,Sessions!A:G,6,FALSE),"")</f>
        <v>0</v>
      </c>
      <c r="K104" s="40">
        <v>0</v>
      </c>
      <c r="L104" s="40" t="s">
        <v>17</v>
      </c>
      <c r="M104" s="42" t="str">
        <f t="shared" si="3"/>
        <v>It's all set! 🎉 Here is a summary of your order:
*Number of Tickets*: 1
*Experience*: Heloisa Hariadne @ Twani Gallery
*Date*: 30/05/24
*Time*: 6:30pm
*Price*: 0 pounds
We will issue your tickets on Evenbrite soon.
*Cancelation Policy*: 100% refund for cancelations 24h prior to event.</v>
      </c>
    </row>
    <row r="105" spans="1:13" ht="15.75" customHeight="1">
      <c r="A105" s="88"/>
      <c r="B105" s="46">
        <v>45435</v>
      </c>
      <c r="C105" s="45" t="s">
        <v>21</v>
      </c>
      <c r="D105" s="30">
        <v>23</v>
      </c>
      <c r="F105" s="26" t="str">
        <f>IFERROR(VLOOKUP(D105,Sessions!A:G,2,FALSE),"")</f>
        <v>Heloisa Hariadne @ Twani Gallery</v>
      </c>
      <c r="G105" s="27">
        <f>IFERROR(VLOOKUP(D105,Sessions!A:G,3,FALSE),"")</f>
        <v>45442</v>
      </c>
      <c r="H105" s="26" t="str">
        <f>IFERROR(VLOOKUP(D105,Sessions!A:G,4,FALSE),"")</f>
        <v>6:30pm</v>
      </c>
      <c r="I105" s="38">
        <f>IFERROR(VLOOKUP(D105,Sessions!A:G,5,FALSE),"")</f>
        <v>0</v>
      </c>
      <c r="J105" s="38">
        <f>IFERROR(VLOOKUP(D105,Sessions!A:G,6,FALSE),"")</f>
        <v>0</v>
      </c>
      <c r="K105" s="40">
        <v>0</v>
      </c>
      <c r="L105" s="40" t="s">
        <v>3</v>
      </c>
      <c r="M105" s="42" t="str">
        <f t="shared" si="3"/>
        <v>It's all set! 🎉 Here is a summary of your order:
*Number of Tickets*: 1
*Experience*: Heloisa Hariadne @ Twani Gallery
*Date*: 30/05/24
*Time*: 6:30pm
*Price*: 0 credits
We will issue your tickets on Evenbrite soon.
*Cancelation Policy*: 100% refund for cancelations 24h prior to event.</v>
      </c>
    </row>
    <row r="106" spans="1:13" ht="15.75" customHeight="1">
      <c r="A106" s="88" t="s">
        <v>65</v>
      </c>
      <c r="B106" s="46">
        <v>45440</v>
      </c>
      <c r="C106" s="45" t="s">
        <v>70</v>
      </c>
      <c r="D106" s="30">
        <v>23</v>
      </c>
      <c r="F106" s="26" t="str">
        <f>IFERROR(VLOOKUP(D106,Sessions!A:G,2,FALSE),"")</f>
        <v>Heloisa Hariadne @ Twani Gallery</v>
      </c>
      <c r="G106" s="27">
        <f>IFERROR(VLOOKUP(D106,Sessions!A:G,3,FALSE),"")</f>
        <v>45442</v>
      </c>
      <c r="H106" s="26" t="str">
        <f>IFERROR(VLOOKUP(D106,Sessions!A:G,4,FALSE),"")</f>
        <v>6:30pm</v>
      </c>
      <c r="I106" s="38">
        <f>IFERROR(VLOOKUP(D106,Sessions!A:G,5,FALSE),"")</f>
        <v>0</v>
      </c>
      <c r="J106" s="38">
        <f>IFERROR(VLOOKUP(D106,Sessions!A:G,6,FALSE),"")</f>
        <v>0</v>
      </c>
      <c r="K106" s="40">
        <v>0</v>
      </c>
      <c r="L106" s="40" t="s">
        <v>17</v>
      </c>
      <c r="M106" s="42" t="str">
        <f t="shared" si="3"/>
        <v>It's all set! 🎉 Here is a summary of your order:
*Number of Tickets*: 1
*Experience*: Heloisa Hariadne @ Twani Gallery
*Date*: 30/05/24
*Time*: 6:30pm
*Price*: 0 pounds
We will issue your tickets on Evenbrite soon.
*Cancelation Policy*: 100% refund for cancelations 24h prior to event.</v>
      </c>
    </row>
    <row r="107" spans="1:13" ht="15.75" customHeight="1">
      <c r="A107" s="88"/>
      <c r="B107" s="46">
        <v>45442</v>
      </c>
      <c r="C107" s="45" t="s">
        <v>71</v>
      </c>
      <c r="D107" s="30">
        <v>23</v>
      </c>
      <c r="F107" s="26" t="str">
        <f>IFERROR(VLOOKUP(D107,Sessions!A:G,2,FALSE),"")</f>
        <v>Heloisa Hariadne @ Twani Gallery</v>
      </c>
      <c r="G107" s="27">
        <f>IFERROR(VLOOKUP(D107,Sessions!A:G,3,FALSE),"")</f>
        <v>45442</v>
      </c>
      <c r="H107" s="26" t="str">
        <f>IFERROR(VLOOKUP(D107,Sessions!A:G,4,FALSE),"")</f>
        <v>6:30pm</v>
      </c>
      <c r="I107" s="38">
        <f>IFERROR(VLOOKUP(D107,Sessions!A:G,5,FALSE),"")</f>
        <v>0</v>
      </c>
      <c r="J107" s="38">
        <f>IFERROR(VLOOKUP(D107,Sessions!A:G,6,FALSE),"")</f>
        <v>0</v>
      </c>
      <c r="K107" s="40">
        <v>0</v>
      </c>
      <c r="L107" s="40" t="s">
        <v>17</v>
      </c>
      <c r="M107" s="42" t="str">
        <f t="shared" si="3"/>
        <v>It's all set! 🎉 Here is a summary of your order:
*Number of Tickets*: 1
*Experience*: Heloisa Hariadne @ Twani Gallery
*Date*: 30/05/24
*Time*: 6:30pm
*Price*: 0 pounds
We will issue your tickets on Evenbrite soon.
*Cancelation Policy*: 100% refund for cancelations 24h prior to event.</v>
      </c>
    </row>
    <row r="108" spans="1:13" ht="15.75" customHeight="1">
      <c r="A108" s="88"/>
      <c r="B108" s="46">
        <v>45435</v>
      </c>
      <c r="C108" s="45" t="s">
        <v>72</v>
      </c>
      <c r="D108" s="30">
        <v>23</v>
      </c>
      <c r="F108" s="26" t="str">
        <f>IFERROR(VLOOKUP(D108,Sessions!A:G,2,FALSE),"")</f>
        <v>Heloisa Hariadne @ Twani Gallery</v>
      </c>
      <c r="G108" s="27">
        <f>IFERROR(VLOOKUP(D108,Sessions!A:G,3,FALSE),"")</f>
        <v>45442</v>
      </c>
      <c r="H108" s="26" t="str">
        <f>IFERROR(VLOOKUP(D108,Sessions!A:G,4,FALSE),"")</f>
        <v>6:30pm</v>
      </c>
      <c r="I108" s="38">
        <f>IFERROR(VLOOKUP(D108,Sessions!A:G,5,FALSE),"")</f>
        <v>0</v>
      </c>
      <c r="J108" s="38">
        <f>IFERROR(VLOOKUP(D108,Sessions!A:G,6,FALSE),"")</f>
        <v>0</v>
      </c>
      <c r="K108" s="40">
        <v>0</v>
      </c>
      <c r="L108" s="40" t="s">
        <v>3</v>
      </c>
      <c r="M108" s="42" t="str">
        <f t="shared" si="3"/>
        <v>It's all set! 🎉 Here is a summary of your order:
*Number of Tickets*: 1
*Experience*: Heloisa Hariadne @ Twani Gallery
*Date*: 30/05/24
*Time*: 6:30pm
*Price*: 0 credits
We will issue your tickets on Evenbrite soon.
*Cancelation Policy*: 100% refund for cancelations 24h prior to event.</v>
      </c>
    </row>
    <row r="109" spans="1:13" ht="15.75" customHeight="1">
      <c r="A109" s="88"/>
      <c r="B109" s="46">
        <v>45441</v>
      </c>
      <c r="C109" s="45" t="s">
        <v>35</v>
      </c>
      <c r="D109" s="61">
        <v>23</v>
      </c>
      <c r="F109" s="26" t="str">
        <f>IFERROR(VLOOKUP(D109,Sessions!A:G,2,FALSE),"")</f>
        <v>Heloisa Hariadne @ Twani Gallery</v>
      </c>
      <c r="G109" s="27">
        <f>IFERROR(VLOOKUP(D109,Sessions!A:G,3,FALSE),"")</f>
        <v>45442</v>
      </c>
      <c r="H109" s="26" t="str">
        <f>IFERROR(VLOOKUP(D109,Sessions!A:G,4,FALSE),"")</f>
        <v>6:30pm</v>
      </c>
      <c r="I109" s="38">
        <f>IFERROR(VLOOKUP(D109,Sessions!A:G,5,FALSE),"")</f>
        <v>0</v>
      </c>
      <c r="J109" s="38">
        <f>IFERROR(VLOOKUP(D109,Sessions!A:G,6,FALSE),"")</f>
        <v>0</v>
      </c>
      <c r="K109" s="40">
        <v>0</v>
      </c>
      <c r="L109" s="40" t="s">
        <v>17</v>
      </c>
      <c r="M109" s="42" t="str">
        <f t="shared" si="3"/>
        <v>It's all set! 🎉 Here is a summary of your order:
*Number of Tickets*: 1
*Experience*: Heloisa Hariadne @ Twani Gallery
*Date*: 30/05/24
*Time*: 6:30pm
*Price*: 0 pounds
We will issue your tickets on Evenbrite soon.
*Cancelation Policy*: 100% refund for cancelations 24h prior to event.</v>
      </c>
    </row>
    <row r="110" spans="1:13" ht="15.75" customHeight="1">
      <c r="A110" s="88"/>
      <c r="B110" s="46">
        <v>45442</v>
      </c>
      <c r="C110" s="45" t="s">
        <v>73</v>
      </c>
      <c r="D110" s="30">
        <v>23</v>
      </c>
      <c r="F110" s="26" t="str">
        <f>IFERROR(VLOOKUP(D110,Sessions!A:G,2,FALSE),"")</f>
        <v>Heloisa Hariadne @ Twani Gallery</v>
      </c>
      <c r="G110" s="27">
        <f>IFERROR(VLOOKUP(D110,Sessions!A:G,3,FALSE),"")</f>
        <v>45442</v>
      </c>
      <c r="H110" s="26" t="str">
        <f>IFERROR(VLOOKUP(D110,Sessions!A:G,4,FALSE),"")</f>
        <v>6:30pm</v>
      </c>
      <c r="I110" s="38">
        <f>IFERROR(VLOOKUP(D110,Sessions!A:G,5,FALSE),"")</f>
        <v>0</v>
      </c>
      <c r="J110" s="38">
        <f>IFERROR(VLOOKUP(D110,Sessions!A:G,6,FALSE),"")</f>
        <v>0</v>
      </c>
      <c r="K110" s="40">
        <v>0</v>
      </c>
      <c r="L110" s="40" t="s">
        <v>17</v>
      </c>
      <c r="M110" s="42" t="str">
        <f t="shared" si="3"/>
        <v>It's all set! 🎉 Here is a summary of your order:
*Number of Tickets*: 1
*Experience*: Heloisa Hariadne @ Twani Gallery
*Date*: 30/05/24
*Time*: 6:30pm
*Price*: 0 pounds
We will issue your tickets on Evenbrite soon.
*Cancelation Policy*: 100% refund for cancelations 24h prior to event.</v>
      </c>
    </row>
    <row r="111" spans="1:13" ht="15.75" customHeight="1">
      <c r="A111" s="88"/>
      <c r="B111" s="46">
        <v>45442</v>
      </c>
      <c r="C111" s="45" t="s">
        <v>74</v>
      </c>
      <c r="D111" s="30">
        <v>23</v>
      </c>
      <c r="F111" s="26" t="str">
        <f>IFERROR(VLOOKUP(D111,Sessions!A:G,2,FALSE),"")</f>
        <v>Heloisa Hariadne @ Twani Gallery</v>
      </c>
      <c r="G111" s="27">
        <f>IFERROR(VLOOKUP(D111,Sessions!A:G,3,FALSE),"")</f>
        <v>45442</v>
      </c>
      <c r="H111" s="26" t="str">
        <f>IFERROR(VLOOKUP(D111,Sessions!A:G,4,FALSE),"")</f>
        <v>6:30pm</v>
      </c>
      <c r="I111" s="38">
        <f>IFERROR(VLOOKUP(D111,Sessions!A:G,5,FALSE),"")</f>
        <v>0</v>
      </c>
      <c r="J111" s="38">
        <f>IFERROR(VLOOKUP(D111,Sessions!A:G,6,FALSE),"")</f>
        <v>0</v>
      </c>
      <c r="K111" s="40">
        <v>0</v>
      </c>
      <c r="L111" s="40" t="s">
        <v>17</v>
      </c>
      <c r="M111" s="42" t="str">
        <f t="shared" si="3"/>
        <v>It's all set! 🎉 Here is a summary of your order:
*Number of Tickets*: 1
*Experience*: Heloisa Hariadne @ Twani Gallery
*Date*: 30/05/24
*Time*: 6:30pm
*Price*: 0 pounds
We will issue your tickets on Evenbrite soon.
*Cancelation Policy*: 100% refund for cancelations 24h prior to event.</v>
      </c>
    </row>
    <row r="112" spans="1:13" ht="15.75" customHeight="1">
      <c r="A112" s="88"/>
      <c r="B112" s="46">
        <v>45435</v>
      </c>
      <c r="C112" s="45" t="s">
        <v>28</v>
      </c>
      <c r="D112" s="30">
        <v>23</v>
      </c>
      <c r="F112" s="26" t="str">
        <f>IFERROR(VLOOKUP(D112,Sessions!A:G,2,FALSE),"")</f>
        <v>Heloisa Hariadne @ Twani Gallery</v>
      </c>
      <c r="G112" s="27">
        <f>IFERROR(VLOOKUP(D112,Sessions!A:G,3,FALSE),"")</f>
        <v>45442</v>
      </c>
      <c r="H112" s="26" t="str">
        <f>IFERROR(VLOOKUP(D112,Sessions!A:G,4,FALSE),"")</f>
        <v>6:30pm</v>
      </c>
      <c r="I112" s="38">
        <f>IFERROR(VLOOKUP(D112,Sessions!A:G,5,FALSE),"")</f>
        <v>0</v>
      </c>
      <c r="J112" s="38">
        <f>IFERROR(VLOOKUP(D112,Sessions!A:G,6,FALSE),"")</f>
        <v>0</v>
      </c>
      <c r="K112" s="40">
        <v>0</v>
      </c>
      <c r="L112" s="40" t="s">
        <v>3</v>
      </c>
      <c r="M112" s="42" t="str">
        <f t="shared" si="3"/>
        <v>It's all set! 🎉 Here is a summary of your order:
*Number of Tickets*: 1
*Experience*: Heloisa Hariadne @ Twani Gallery
*Date*: 30/05/24
*Time*: 6:30pm
*Price*: 0 credits
We will issue your tickets on Evenbrite soon.
*Cancelation Policy*: 100% refund for cancelations 24h prior to event.</v>
      </c>
    </row>
    <row r="113" spans="1:13" ht="15.75" customHeight="1">
      <c r="A113" s="88"/>
      <c r="B113" s="46">
        <v>45442</v>
      </c>
      <c r="C113" s="45" t="s">
        <v>75</v>
      </c>
      <c r="D113" s="30">
        <v>23</v>
      </c>
      <c r="F113" s="26" t="str">
        <f>IFERROR(VLOOKUP(D113,Sessions!A:G,2,FALSE),"")</f>
        <v>Heloisa Hariadne @ Twani Gallery</v>
      </c>
      <c r="G113" s="27">
        <f>IFERROR(VLOOKUP(D113,Sessions!A:G,3,FALSE),"")</f>
        <v>45442</v>
      </c>
      <c r="H113" s="26" t="str">
        <f>IFERROR(VLOOKUP(D113,Sessions!A:G,4,FALSE),"")</f>
        <v>6:30pm</v>
      </c>
      <c r="I113" s="38">
        <f>IFERROR(VLOOKUP(D113,Sessions!A:G,5,FALSE),"")</f>
        <v>0</v>
      </c>
      <c r="J113" s="38">
        <f>IFERROR(VLOOKUP(D113,Sessions!A:G,6,FALSE),"")</f>
        <v>0</v>
      </c>
      <c r="K113" s="40">
        <v>0</v>
      </c>
      <c r="L113" s="40" t="s">
        <v>17</v>
      </c>
      <c r="M113" s="42" t="str">
        <f t="shared" si="3"/>
        <v>It's all set! 🎉 Here is a summary of your order:
*Number of Tickets*: 1
*Experience*: Heloisa Hariadne @ Twani Gallery
*Date*: 30/05/24
*Time*: 6:30pm
*Price*: 0 pounds
We will issue your tickets on Evenbrite soon.
*Cancelation Policy*: 100% refund for cancelations 24h prior to event.</v>
      </c>
    </row>
    <row r="114" spans="1:13" ht="15.75" customHeight="1">
      <c r="A114" s="88"/>
      <c r="B114" s="46">
        <v>45440</v>
      </c>
      <c r="C114" s="45" t="s">
        <v>23</v>
      </c>
      <c r="D114" s="30">
        <v>23</v>
      </c>
      <c r="F114" s="26" t="str">
        <f>IFERROR(VLOOKUP(D114,Sessions!A:G,2,FALSE),"")</f>
        <v>Heloisa Hariadne @ Twani Gallery</v>
      </c>
      <c r="G114" s="27">
        <f>IFERROR(VLOOKUP(D114,Sessions!A:G,3,FALSE),"")</f>
        <v>45442</v>
      </c>
      <c r="H114" s="26" t="str">
        <f>IFERROR(VLOOKUP(D114,Sessions!A:G,4,FALSE),"")</f>
        <v>6:30pm</v>
      </c>
      <c r="I114" s="38">
        <f>IFERROR(VLOOKUP(D114,Sessions!A:G,5,FALSE),"")</f>
        <v>0</v>
      </c>
      <c r="J114" s="38">
        <f>IFERROR(VLOOKUP(D114,Sessions!A:G,6,FALSE),"")</f>
        <v>0</v>
      </c>
      <c r="K114" s="40">
        <v>0</v>
      </c>
      <c r="L114" s="40" t="s">
        <v>17</v>
      </c>
      <c r="M114" s="42" t="str">
        <f t="shared" si="3"/>
        <v>It's all set! 🎉 Here is a summary of your order:
*Number of Tickets*: 1
*Experience*: Heloisa Hariadne @ Twani Gallery
*Date*: 30/05/24
*Time*: 6:30pm
*Price*: 0 pounds
We will issue your tickets on Evenbrite soon.
*Cancelation Policy*: 100% refund for cancelations 24h prior to event.</v>
      </c>
    </row>
    <row r="115" spans="1:13" ht="15.75" customHeight="1">
      <c r="A115" s="88" t="s">
        <v>65</v>
      </c>
      <c r="B115" s="46">
        <v>45440</v>
      </c>
      <c r="C115" s="45" t="s">
        <v>76</v>
      </c>
      <c r="D115" s="30">
        <v>23</v>
      </c>
      <c r="F115" s="26" t="str">
        <f>IFERROR(VLOOKUP(D115,Sessions!A:G,2,FALSE),"")</f>
        <v>Heloisa Hariadne @ Twani Gallery</v>
      </c>
      <c r="G115" s="27">
        <f>IFERROR(VLOOKUP(D115,Sessions!A:G,3,FALSE),"")</f>
        <v>45442</v>
      </c>
      <c r="H115" s="26" t="str">
        <f>IFERROR(VLOOKUP(D115,Sessions!A:G,4,FALSE),"")</f>
        <v>6:30pm</v>
      </c>
      <c r="I115" s="38">
        <f>IFERROR(VLOOKUP(D115,Sessions!A:G,5,FALSE),"")</f>
        <v>0</v>
      </c>
      <c r="J115" s="38">
        <f>IFERROR(VLOOKUP(D115,Sessions!A:G,6,FALSE),"")</f>
        <v>0</v>
      </c>
      <c r="K115" s="40">
        <v>0</v>
      </c>
      <c r="L115" s="40" t="s">
        <v>17</v>
      </c>
      <c r="M115" s="42" t="str">
        <f t="shared" si="3"/>
        <v>It's all set! 🎉 Here is a summary of your order:
*Number of Tickets*: 1
*Experience*: Heloisa Hariadne @ Twani Gallery
*Date*: 30/05/24
*Time*: 6:30pm
*Price*: 0 pounds
We will issue your tickets on Evenbrite soon.
*Cancelation Policy*: 100% refund for cancelations 24h prior to event.</v>
      </c>
    </row>
    <row r="116" spans="1:13" ht="15.75" customHeight="1">
      <c r="A116" s="88"/>
      <c r="B116" s="46">
        <v>45440</v>
      </c>
      <c r="C116" s="45" t="s">
        <v>36</v>
      </c>
      <c r="D116" s="30">
        <v>23</v>
      </c>
      <c r="F116" s="26" t="str">
        <f>IFERROR(VLOOKUP(D116,Sessions!A:G,2,FALSE),"")</f>
        <v>Heloisa Hariadne @ Twani Gallery</v>
      </c>
      <c r="G116" s="27">
        <f>IFERROR(VLOOKUP(D116,Sessions!A:G,3,FALSE),"")</f>
        <v>45442</v>
      </c>
      <c r="H116" s="26" t="str">
        <f>IFERROR(VLOOKUP(D116,Sessions!A:G,4,FALSE),"")</f>
        <v>6:30pm</v>
      </c>
      <c r="I116" s="38">
        <f>IFERROR(VLOOKUP(D116,Sessions!A:G,5,FALSE),"")</f>
        <v>0</v>
      </c>
      <c r="J116" s="38">
        <f>IFERROR(VLOOKUP(D116,Sessions!A:G,6,FALSE),"")</f>
        <v>0</v>
      </c>
      <c r="K116" s="58">
        <v>0</v>
      </c>
      <c r="L116" s="40" t="s">
        <v>17</v>
      </c>
      <c r="M116" s="42" t="str">
        <f t="shared" si="3"/>
        <v>It's all set! 🎉 Here is a summary of your order:
*Number of Tickets*: 1
*Experience*: Heloisa Hariadne @ Twani Gallery
*Date*: 30/05/24
*Time*: 6:30pm
*Price*: 0 pounds
We will issue your tickets on Evenbrite soon.
*Cancelation Policy*: 100% refund for cancelations 24h prior to event.</v>
      </c>
    </row>
    <row r="117" spans="1:13" ht="15.75" customHeight="1">
      <c r="A117" s="88"/>
      <c r="B117" s="46">
        <v>45434</v>
      </c>
      <c r="C117" s="45" t="s">
        <v>25</v>
      </c>
      <c r="D117" s="30">
        <v>21</v>
      </c>
      <c r="F117" s="26" t="str">
        <f>IFERROR(VLOOKUP(D117,Sessions!A:G,2,FALSE),"")</f>
        <v>Jazz, Cheese, Art and Wine</v>
      </c>
      <c r="G117" s="27">
        <f>IFERROR(VLOOKUP(D117,Sessions!A:G,3,FALSE),"")</f>
        <v>45434</v>
      </c>
      <c r="H117" s="26" t="str">
        <f>IFERROR(VLOOKUP(D117,Sessions!A:G,4,FALSE),"")</f>
        <v>6:30pm</v>
      </c>
      <c r="I117" s="38">
        <f>IFERROR(VLOOKUP(D117,Sessions!A:G,5,FALSE),"")</f>
        <v>0</v>
      </c>
      <c r="J117" s="38">
        <f>IFERROR(VLOOKUP(D117,Sessions!A:G,6,FALSE),"")</f>
        <v>0</v>
      </c>
      <c r="M117" s="42" t="str">
        <f t="shared" si="3"/>
        <v>It's all set! 🎉 Here is a summary of your order:
*Number of Tickets*: 1
*Experience*: Jazz, Cheese, Art and Wine
*Date*: 22/05/24
*Time*: 6:30pm
*Price*:  
We will issue your tickets on Evenbrite soon.
*Cancelation Policy*: 100% refund for cancelations 24h prior to event.</v>
      </c>
    </row>
    <row r="118" spans="1:13" ht="15.75" customHeight="1">
      <c r="A118" s="88"/>
      <c r="B118" s="46">
        <v>45434</v>
      </c>
      <c r="C118" s="45" t="s">
        <v>25</v>
      </c>
      <c r="D118" s="30">
        <v>21</v>
      </c>
      <c r="F118" s="26" t="str">
        <f>IFERROR(VLOOKUP(D118,Sessions!A:G,2,FALSE),"")</f>
        <v>Jazz, Cheese, Art and Wine</v>
      </c>
      <c r="G118" s="27">
        <f>IFERROR(VLOOKUP(D118,Sessions!A:G,3,FALSE),"")</f>
        <v>45434</v>
      </c>
      <c r="H118" s="26" t="str">
        <f>IFERROR(VLOOKUP(D118,Sessions!A:G,4,FALSE),"")</f>
        <v>6:30pm</v>
      </c>
      <c r="I118" s="38">
        <f>IFERROR(VLOOKUP(D118,Sessions!A:G,5,FALSE),"")</f>
        <v>0</v>
      </c>
      <c r="J118" s="38">
        <f>IFERROR(VLOOKUP(D118,Sessions!A:G,6,FALSE),"")</f>
        <v>0</v>
      </c>
      <c r="M118" s="42" t="str">
        <f t="shared" si="3"/>
        <v>It's all set! 🎉 Here is a summary of your order:
*Number of Tickets*: 1
*Experience*: Jazz, Cheese, Art and Wine
*Date*: 22/05/24
*Time*: 6:30pm
*Price*:  
We will issue your tickets on Evenbrite soon.
*Cancelation Policy*: 100% refund for cancelations 24h prior to event.</v>
      </c>
    </row>
    <row r="119" spans="1:13" ht="15.75" customHeight="1">
      <c r="A119" s="88" t="s">
        <v>24</v>
      </c>
      <c r="B119" s="46">
        <v>45432</v>
      </c>
      <c r="C119" s="45" t="s">
        <v>21</v>
      </c>
      <c r="D119" s="30">
        <v>21</v>
      </c>
      <c r="F119" s="26" t="str">
        <f>IFERROR(VLOOKUP(D119,Sessions!A:G,2,FALSE),"")</f>
        <v>Jazz, Cheese, Art and Wine</v>
      </c>
      <c r="G119" s="27">
        <f>IFERROR(VLOOKUP(D119,Sessions!A:G,3,FALSE),"")</f>
        <v>45434</v>
      </c>
      <c r="H119" s="26" t="str">
        <f>IFERROR(VLOOKUP(D119,Sessions!A:G,4,FALSE),"")</f>
        <v>6:30pm</v>
      </c>
      <c r="I119" s="38">
        <f>IFERROR(VLOOKUP(D119,Sessions!A:G,5,FALSE),"")</f>
        <v>0</v>
      </c>
      <c r="J119" s="38">
        <f>IFERROR(VLOOKUP(D119,Sessions!A:G,6,FALSE),"")</f>
        <v>0</v>
      </c>
      <c r="K119" s="40">
        <v>0</v>
      </c>
      <c r="L119" s="40" t="s">
        <v>3</v>
      </c>
      <c r="M119" s="42" t="str">
        <f t="shared" si="3"/>
        <v>It's all set! 🎉 Here is a summary of your order:
*Number of Tickets*: 1
*Experience*: Jazz, Cheese, Art and Wine
*Date*: 22/05/24
*Time*: 6:30pm
*Price*: 0 credits
We will issue your tickets on Evenbrite soon.
*Cancelation Policy*: 100% refund for cancelations 24h prior to event.</v>
      </c>
    </row>
    <row r="120" spans="1:13" ht="15.75" customHeight="1">
      <c r="A120" s="88" t="s">
        <v>24</v>
      </c>
      <c r="B120" s="46">
        <v>45432</v>
      </c>
      <c r="C120" s="45" t="s">
        <v>23</v>
      </c>
      <c r="D120" s="30">
        <v>21</v>
      </c>
      <c r="F120" s="26" t="str">
        <f>IFERROR(VLOOKUP(D120,Sessions!A:G,2,FALSE),"")</f>
        <v>Jazz, Cheese, Art and Wine</v>
      </c>
      <c r="G120" s="27">
        <f>IFERROR(VLOOKUP(D120,Sessions!A:G,3,FALSE),"")</f>
        <v>45434</v>
      </c>
      <c r="H120" s="26" t="str">
        <f>IFERROR(VLOOKUP(D120,Sessions!A:G,4,FALSE),"")</f>
        <v>6:30pm</v>
      </c>
      <c r="I120" s="38">
        <f>IFERROR(VLOOKUP(D120,Sessions!A:G,5,FALSE),"")</f>
        <v>0</v>
      </c>
      <c r="J120" s="38">
        <f>IFERROR(VLOOKUP(D120,Sessions!A:G,6,FALSE),"")</f>
        <v>0</v>
      </c>
      <c r="K120" s="40">
        <v>0</v>
      </c>
      <c r="L120" s="40" t="s">
        <v>3</v>
      </c>
      <c r="M120" s="42" t="str">
        <f t="shared" si="3"/>
        <v>It's all set! 🎉 Here is a summary of your order:
*Number of Tickets*: 1
*Experience*: Jazz, Cheese, Art and Wine
*Date*: 22/05/24
*Time*: 6:30pm
*Price*: 0 credits
We will issue your tickets on Evenbrite soon.
*Cancelation Policy*: 100% refund for cancelations 24h prior to event.</v>
      </c>
    </row>
    <row r="121" spans="1:13" ht="15.75" customHeight="1">
      <c r="A121" s="88"/>
      <c r="B121" s="46">
        <v>45432</v>
      </c>
      <c r="C121" s="45" t="s">
        <v>36</v>
      </c>
      <c r="D121" s="30">
        <v>21</v>
      </c>
      <c r="F121" s="26" t="str">
        <f>IFERROR(VLOOKUP(D121,Sessions!A:G,2,FALSE),"")</f>
        <v>Jazz, Cheese, Art and Wine</v>
      </c>
      <c r="G121" s="27">
        <f>IFERROR(VLOOKUP(D121,Sessions!A:G,3,FALSE),"")</f>
        <v>45434</v>
      </c>
      <c r="H121" s="26" t="str">
        <f>IFERROR(VLOOKUP(D121,Sessions!A:G,4,FALSE),"")</f>
        <v>6:30pm</v>
      </c>
      <c r="I121" s="38">
        <f>IFERROR(VLOOKUP(D121,Sessions!A:G,5,FALSE),"")</f>
        <v>0</v>
      </c>
      <c r="J121" s="38">
        <f>IFERROR(VLOOKUP(D121,Sessions!A:G,6,FALSE),"")</f>
        <v>0</v>
      </c>
      <c r="K121" s="40">
        <v>0</v>
      </c>
      <c r="L121" s="40" t="s">
        <v>3</v>
      </c>
      <c r="M121" s="42" t="str">
        <f t="shared" si="3"/>
        <v>It's all set! 🎉 Here is a summary of your order:
*Number of Tickets*: 1
*Experience*: Jazz, Cheese, Art and Wine
*Date*: 22/05/24
*Time*: 6:30pm
*Price*: 0 credits
We will issue your tickets on Evenbrite soon.
*Cancelation Policy*: 100% refund for cancelations 24h prior to event.</v>
      </c>
    </row>
    <row r="122" spans="1:13" ht="15.75" customHeight="1">
      <c r="A122" t="s">
        <v>77</v>
      </c>
      <c r="B122" s="46">
        <v>45461</v>
      </c>
      <c r="C122" s="45" t="s">
        <v>28</v>
      </c>
      <c r="D122" s="30">
        <v>31</v>
      </c>
      <c r="F122" s="26" t="str">
        <f>IFERROR(VLOOKUP(D122,Sessions!A:G,2,FALSE),"")</f>
        <v>Life drawing workshop at Estorick Collection</v>
      </c>
      <c r="G122" s="27">
        <f>IFERROR(VLOOKUP(D122,Sessions!A:G,3,FALSE),"")</f>
        <v>45467</v>
      </c>
      <c r="H122" s="26" t="str">
        <f>IFERROR(VLOOKUP(D122,Sessions!A:G,4,FALSE),"")</f>
        <v>6:30pm</v>
      </c>
      <c r="I122" s="38">
        <f>IFERROR(VLOOKUP(D122,Sessions!A:G,5,FALSE),"")</f>
        <v>6</v>
      </c>
      <c r="J122" s="38">
        <f>IFERROR(VLOOKUP(D122,Sessions!A:G,6,FALSE),"")</f>
        <v>15</v>
      </c>
      <c r="K122" s="40">
        <v>6</v>
      </c>
      <c r="L122" s="40" t="s">
        <v>3</v>
      </c>
      <c r="M122" s="42" t="str">
        <f t="shared" si="3"/>
        <v>It's all set! 🎉 Here is a summary of your order:
*Number of Tickets*: 1
*Experience*: Life drawing workshop at Estorick Collection
*Date*: 24/06/24
*Time*: 6:30pm
*Price*: 6 credits
We will issue your tickets on Evenbrite soon.
*Cancelation Policy*: 100% refund for cancelations 24h prior to event.</v>
      </c>
    </row>
    <row r="123" spans="1:13" ht="15.75" customHeight="1">
      <c r="B123" s="46">
        <v>45474</v>
      </c>
      <c r="C123" s="45" t="s">
        <v>34</v>
      </c>
      <c r="D123" s="30">
        <v>33</v>
      </c>
      <c r="F123" s="26" t="str">
        <f>IFERROR(VLOOKUP(D123,Sessions!A:G,2,FALSE),"")</f>
        <v>Open Garden Evening with Live Jazz at The Charterhouse</v>
      </c>
      <c r="G123" s="27">
        <f>IFERROR(VLOOKUP(D123,Sessions!A:G,3,FALSE),"")</f>
        <v>45484</v>
      </c>
      <c r="H123" s="26" t="str">
        <f>IFERROR(VLOOKUP(D123,Sessions!A:G,4,FALSE),"")</f>
        <v>6:30pm</v>
      </c>
      <c r="I123" s="38">
        <f>IFERROR(VLOOKUP(D123,Sessions!A:G,5,FALSE),"")</f>
        <v>6</v>
      </c>
      <c r="J123" s="38">
        <f>IFERROR(VLOOKUP(D123,Sessions!A:G,6,FALSE),"")</f>
        <v>15</v>
      </c>
      <c r="K123" s="40">
        <v>6</v>
      </c>
      <c r="L123" s="40" t="s">
        <v>3</v>
      </c>
      <c r="M123" s="42" t="str">
        <f t="shared" ref="M123:M128" si="4">"It's all set! 🎉 Here is a summary of your order:
*Number of Tickets*: 1
*Experience*: "&amp;F123&amp;"
*Date*: "&amp;TEXT(G123,"dd/mm/yy")&amp;"
*Time*: "&amp;H123&amp;"
*Price*: "&amp;K123&amp;" "&amp;L123&amp;"
We will issue your tickets on Eventbrite soon.
*Cancellation Policy*: 100% refund for cancellations 24h prior to event."</f>
        <v>It's all set! 🎉 Here is a summary of your order:
*Number of Tickets*: 1
*Experience*: Open Garden Evening with Live Jazz at The Charterhouse
*Date*: 11/07/24
*Time*: 6:30pm
*Price*: 6 credits
We will issue your tickets on Eventbrite soon.
*Cancellation Policy*: 100% refund for cancellations 24h prior to event.</v>
      </c>
    </row>
    <row r="124" spans="1:13" ht="15.75" customHeight="1">
      <c r="B124" s="46">
        <v>45474</v>
      </c>
      <c r="C124" s="45" t="s">
        <v>25</v>
      </c>
      <c r="D124" s="30">
        <v>33</v>
      </c>
      <c r="F124" s="26" t="str">
        <f>IFERROR(VLOOKUP(D124,Sessions!A:G,2,FALSE),"")</f>
        <v>Open Garden Evening with Live Jazz at The Charterhouse</v>
      </c>
      <c r="G124" s="27">
        <f>IFERROR(VLOOKUP(D124,Sessions!A:G,3,FALSE),"")</f>
        <v>45484</v>
      </c>
      <c r="H124" s="26" t="str">
        <f>IFERROR(VLOOKUP(D124,Sessions!A:G,4,FALSE),"")</f>
        <v>6:30pm</v>
      </c>
      <c r="I124" s="38">
        <f>IFERROR(VLOOKUP(D124,Sessions!A:G,5,FALSE),"")</f>
        <v>6</v>
      </c>
      <c r="J124" s="38">
        <f>IFERROR(VLOOKUP(D124,Sessions!A:G,6,FALSE),"")</f>
        <v>15</v>
      </c>
      <c r="K124" s="40">
        <v>6</v>
      </c>
      <c r="L124" s="40" t="s">
        <v>3</v>
      </c>
      <c r="M124" s="42" t="str">
        <f t="shared" si="4"/>
        <v>It's all set! 🎉 Here is a summary of your order:
*Number of Tickets*: 1
*Experience*: Open Garden Evening with Live Jazz at The Charterhouse
*Date*: 11/07/24
*Time*: 6:30pm
*Price*: 6 credits
We will issue your tickets on Eventbrite soon.
*Cancellation Policy*: 100% refund for cancellations 24h prior to event.</v>
      </c>
    </row>
    <row r="125" spans="1:13" ht="15.75" customHeight="1">
      <c r="A125" s="109" t="s">
        <v>27</v>
      </c>
      <c r="B125" s="46">
        <v>45474</v>
      </c>
      <c r="C125" s="45" t="s">
        <v>20</v>
      </c>
      <c r="D125" s="30">
        <v>33</v>
      </c>
      <c r="F125" s="26" t="str">
        <f>IFERROR(VLOOKUP(D125,Sessions!A:G,2,FALSE),"")</f>
        <v>Open Garden Evening with Live Jazz at The Charterhouse</v>
      </c>
      <c r="G125" s="27">
        <f>IFERROR(VLOOKUP(D125,Sessions!A:G,3,FALSE),"")</f>
        <v>45484</v>
      </c>
      <c r="H125" s="26" t="str">
        <f>IFERROR(VLOOKUP(D125,Sessions!A:G,4,FALSE),"")</f>
        <v>6:30pm</v>
      </c>
      <c r="I125" s="38">
        <f>IFERROR(VLOOKUP(D125,Sessions!A:G,5,FALSE),"")</f>
        <v>6</v>
      </c>
      <c r="J125" s="38">
        <f>IFERROR(VLOOKUP(D125,Sessions!A:G,6,FALSE),"")</f>
        <v>15</v>
      </c>
      <c r="K125" s="40">
        <v>6</v>
      </c>
      <c r="L125" s="40" t="s">
        <v>3</v>
      </c>
      <c r="M125" s="42" t="str">
        <f t="shared" si="4"/>
        <v>It's all set! 🎉 Here is a summary of your order:
*Number of Tickets*: 1
*Experience*: Open Garden Evening with Live Jazz at The Charterhouse
*Date*: 11/07/24
*Time*: 6:30pm
*Price*: 6 credits
We will issue your tickets on Eventbrite soon.
*Cancellation Policy*: 100% refund for cancellations 24h prior to event.</v>
      </c>
    </row>
    <row r="126" spans="1:13" ht="15.75" customHeight="1">
      <c r="A126" s="109" t="s">
        <v>27</v>
      </c>
      <c r="B126" s="46">
        <v>45481</v>
      </c>
      <c r="C126" s="45" t="s">
        <v>23</v>
      </c>
      <c r="D126" s="30">
        <v>33</v>
      </c>
      <c r="F126" s="26" t="str">
        <f>IFERROR(VLOOKUP(D126,Sessions!A:G,2,FALSE),"")</f>
        <v>Open Garden Evening with Live Jazz at The Charterhouse</v>
      </c>
      <c r="G126" s="27">
        <f>IFERROR(VLOOKUP(D126,Sessions!A:G,3,FALSE),"")</f>
        <v>45484</v>
      </c>
      <c r="H126" s="26" t="str">
        <f>IFERROR(VLOOKUP(D126,Sessions!A:G,4,FALSE),"")</f>
        <v>6:30pm</v>
      </c>
      <c r="I126" s="38">
        <f>IFERROR(VLOOKUP(D126,Sessions!A:G,5,FALSE),"")</f>
        <v>6</v>
      </c>
      <c r="J126" s="38">
        <f>IFERROR(VLOOKUP(D126,Sessions!A:G,6,FALSE),"")</f>
        <v>15</v>
      </c>
      <c r="K126" s="40">
        <v>6</v>
      </c>
      <c r="L126" s="40" t="s">
        <v>3</v>
      </c>
      <c r="M126" s="42" t="str">
        <f t="shared" si="4"/>
        <v>It's all set! 🎉 Here is a summary of your order:
*Number of Tickets*: 1
*Experience*: Open Garden Evening with Live Jazz at The Charterhouse
*Date*: 11/07/24
*Time*: 6:30pm
*Price*: 6 credits
We will issue your tickets on Eventbrite soon.
*Cancellation Policy*: 100% refund for cancellations 24h prior to event.</v>
      </c>
    </row>
    <row r="127" spans="1:13" ht="15.75" customHeight="1">
      <c r="C127" s="45" t="s">
        <v>30</v>
      </c>
      <c r="D127" s="30">
        <v>33</v>
      </c>
      <c r="F127" s="26" t="str">
        <f>IFERROR(VLOOKUP(D127,Sessions!A:G,2,FALSE),"")</f>
        <v>Open Garden Evening with Live Jazz at The Charterhouse</v>
      </c>
      <c r="G127" s="27">
        <f>IFERROR(VLOOKUP(D127,Sessions!A:G,3,FALSE),"")</f>
        <v>45484</v>
      </c>
      <c r="H127" s="26" t="str">
        <f>IFERROR(VLOOKUP(D127,Sessions!A:G,4,FALSE),"")</f>
        <v>6:30pm</v>
      </c>
      <c r="I127" s="38">
        <f>IFERROR(VLOOKUP(D127,Sessions!A:G,5,FALSE),"")</f>
        <v>6</v>
      </c>
      <c r="J127" s="38">
        <f>IFERROR(VLOOKUP(D127,Sessions!A:G,6,FALSE),"")</f>
        <v>15</v>
      </c>
      <c r="K127" s="40">
        <v>6</v>
      </c>
      <c r="L127" s="40" t="s">
        <v>3</v>
      </c>
      <c r="M127" s="42" t="str">
        <f t="shared" si="4"/>
        <v>It's all set! 🎉 Here is a summary of your order:
*Number of Tickets*: 1
*Experience*: Open Garden Evening with Live Jazz at The Charterhouse
*Date*: 11/07/24
*Time*: 6:30pm
*Price*: 6 credits
We will issue your tickets on Eventbrite soon.
*Cancellation Policy*: 100% refund for cancellations 24h prior to event.</v>
      </c>
    </row>
    <row r="128" spans="1:13" ht="15.75" customHeight="1">
      <c r="C128" s="45" t="s">
        <v>49</v>
      </c>
      <c r="D128" s="30">
        <v>33</v>
      </c>
      <c r="F128" s="26" t="str">
        <f>IFERROR(VLOOKUP(D128,Sessions!A:G,2,FALSE),"")</f>
        <v>Open Garden Evening with Live Jazz at The Charterhouse</v>
      </c>
      <c r="G128" s="27">
        <f>IFERROR(VLOOKUP(D128,Sessions!A:G,3,FALSE),"")</f>
        <v>45484</v>
      </c>
      <c r="H128" s="26" t="str">
        <f>IFERROR(VLOOKUP(D128,Sessions!A:G,4,FALSE),"")</f>
        <v>6:30pm</v>
      </c>
      <c r="I128" s="38">
        <f>IFERROR(VLOOKUP(D128,Sessions!A:G,5,FALSE),"")</f>
        <v>6</v>
      </c>
      <c r="J128" s="38">
        <f>IFERROR(VLOOKUP(D128,Sessions!A:G,6,FALSE),"")</f>
        <v>15</v>
      </c>
      <c r="K128" s="40">
        <v>15</v>
      </c>
      <c r="L128" s="40" t="s">
        <v>17</v>
      </c>
      <c r="M128" s="42" t="str">
        <f t="shared" si="4"/>
        <v>It's all set! 🎉 Here is a summary of your order:
*Number of Tickets*: 1
*Experience*: Open Garden Evening with Live Jazz at The Charterhouse
*Date*: 11/07/24
*Time*: 6:30pm
*Price*: 15 pounds
We will issue your tickets on Eventbrite soon.
*Cancellation Policy*: 100% refund for cancellations 24h prior to event.</v>
      </c>
    </row>
    <row r="129" spans="1:13" ht="15.75" customHeight="1">
      <c r="A129" s="108" t="s">
        <v>77</v>
      </c>
      <c r="B129" s="46">
        <v>45447</v>
      </c>
      <c r="C129" s="45" t="s">
        <v>60</v>
      </c>
      <c r="D129" s="30">
        <v>29</v>
      </c>
      <c r="F129" s="26" t="str">
        <f>IFERROR(VLOOKUP(D129,Sessions!A:G,2,FALSE),"")</f>
        <v>Sargent and Fashion</v>
      </c>
      <c r="G129" s="27">
        <f>IFERROR(VLOOKUP(D129,Sessions!A:G,3,FALSE),"")</f>
        <v>45473</v>
      </c>
      <c r="H129" s="26" t="str">
        <f>IFERROR(VLOOKUP(D129,Sessions!A:G,4,FALSE),"")</f>
        <v>2:00pm</v>
      </c>
      <c r="I129" s="38">
        <f>IFERROR(VLOOKUP(D129,Sessions!A:G,5,FALSE),"")</f>
        <v>9</v>
      </c>
      <c r="J129" s="38">
        <f>IFERROR(VLOOKUP(D129,Sessions!A:G,6,FALSE),"")</f>
        <v>22</v>
      </c>
      <c r="K129" s="40">
        <v>9</v>
      </c>
      <c r="L129" s="40" t="s">
        <v>3</v>
      </c>
      <c r="M129" s="42" t="str">
        <f>"It's all set! 🎉 Here is a summary of your order:
*Number of Tickets*: 1
*Experience*: "&amp;F129&amp;"
*Date*: "&amp;TEXT(G129,"dd/mm/yy")&amp;"
*Time*: "&amp;H129&amp;"
*Price*: "&amp;K129&amp;" "&amp;L129&amp;"
We will issue your tickets on Evenbrite soon.
*Cancelation Policy*: 100% refund for cancelations 24h prior to event."</f>
        <v>It's all set! 🎉 Here is a summary of your order:
*Number of Tickets*: 1
*Experience*: Sargent and Fashion
*Date*: 30/06/24
*Time*: 2:00pm
*Price*: 9 credits
We will issue your tickets on Evenbrite soon.
*Cancelation Policy*: 100% refund for cancelations 24h prior to event.</v>
      </c>
    </row>
    <row r="130" spans="1:13" ht="15.75" customHeight="1">
      <c r="A130" t="s">
        <v>78</v>
      </c>
      <c r="B130" s="46">
        <v>45453</v>
      </c>
      <c r="C130" s="45" t="s">
        <v>21</v>
      </c>
      <c r="D130" s="30">
        <v>29</v>
      </c>
      <c r="F130" s="26" t="str">
        <f>IFERROR(VLOOKUP(D130,Sessions!A:G,2,FALSE),"")</f>
        <v>Sargent and Fashion</v>
      </c>
      <c r="G130" s="27">
        <f>IFERROR(VLOOKUP(D130,Sessions!A:G,3,FALSE),"")</f>
        <v>45473</v>
      </c>
      <c r="H130" s="26" t="str">
        <f>IFERROR(VLOOKUP(D130,Sessions!A:G,4,FALSE),"")</f>
        <v>2:00pm</v>
      </c>
      <c r="I130" s="38">
        <f>IFERROR(VLOOKUP(D130,Sessions!A:G,5,FALSE),"")</f>
        <v>9</v>
      </c>
      <c r="J130" s="38">
        <f>IFERROR(VLOOKUP(D130,Sessions!A:G,6,FALSE),"")</f>
        <v>22</v>
      </c>
      <c r="K130" s="40">
        <v>9</v>
      </c>
      <c r="L130" s="40" t="s">
        <v>3</v>
      </c>
      <c r="M130" s="42" t="str">
        <f>"It's all set! 🎉 Here is a summary of your order:
*Number of Tickets*: 1
*Experience*: "&amp;F130&amp;"
*Date*: "&amp;TEXT(G130,"dd/mm/yy")&amp;"
*Time*: "&amp;H130&amp;"
*Price*: "&amp;K130&amp;" "&amp;L130&amp;"
We will issue your tickets on Evenbrite soon.
*Cancelation Policy*: 100% refund for cancelations 24h prior to event."</f>
        <v>It's all set! 🎉 Here is a summary of your order:
*Number of Tickets*: 1
*Experience*: Sargent and Fashion
*Date*: 30/06/24
*Time*: 2:00pm
*Price*: 9 credits
We will issue your tickets on Evenbrite soon.
*Cancelation Policy*: 100% refund for cancelations 24h prior to event.</v>
      </c>
    </row>
    <row r="131" spans="1:13" ht="15.75" customHeight="1">
      <c r="B131" s="46">
        <v>45471</v>
      </c>
      <c r="C131" s="45" t="s">
        <v>18</v>
      </c>
      <c r="D131" s="30">
        <v>29</v>
      </c>
      <c r="F131" s="26" t="str">
        <f>IFERROR(VLOOKUP(D131,Sessions!A:G,2,FALSE),"")</f>
        <v>Sargent and Fashion</v>
      </c>
      <c r="G131" s="27">
        <f>IFERROR(VLOOKUP(D131,Sessions!A:G,3,FALSE),"")</f>
        <v>45473</v>
      </c>
      <c r="H131" s="26" t="str">
        <f>IFERROR(VLOOKUP(D131,Sessions!A:G,4,FALSE),"")</f>
        <v>2:00pm</v>
      </c>
      <c r="I131" s="38">
        <f>IFERROR(VLOOKUP(D131,Sessions!A:G,5,FALSE),"")</f>
        <v>9</v>
      </c>
      <c r="J131" s="38">
        <f>IFERROR(VLOOKUP(D131,Sessions!A:G,6,FALSE),"")</f>
        <v>22</v>
      </c>
      <c r="K131" s="40">
        <v>9</v>
      </c>
      <c r="L131" s="40" t="s">
        <v>3</v>
      </c>
      <c r="M131" s="42" t="str">
        <f>"It's all set! 🎉 Here is a summary of your order:
*Number of Tickets*: 1
*Experience*: "&amp;F131&amp;"
*Date*: "&amp;TEXT(G131,"dd/mm/yy")&amp;"
*Time*: "&amp;H131&amp;"
*Price*: "&amp;K131&amp;" "&amp;L131&amp;"
We will issue your tickets on Eventbrite soon.
*Cancellation Policy*: 100% refund for cancellations 24h prior to event."</f>
        <v>It's all set! 🎉 Here is a summary of your order:
*Number of Tickets*: 1
*Experience*: Sargent and Fashion
*Date*: 30/06/24
*Time*: 2:00pm
*Price*: 9 credits
We will issue your tickets on Eventbrite soon.
*Cancellation Policy*: 100% refund for cancellations 24h prior to event.</v>
      </c>
    </row>
    <row r="132" spans="1:13" ht="15.75" customHeight="1">
      <c r="A132" t="s">
        <v>78</v>
      </c>
      <c r="B132" s="46">
        <v>45495</v>
      </c>
      <c r="C132" s="45" t="s">
        <v>30</v>
      </c>
      <c r="D132" s="30">
        <v>37</v>
      </c>
      <c r="F132" s="26" t="str">
        <f>IFERROR(VLOOKUP(D132,Sessions!A:G,2,FALSE),"")</f>
        <v>Scavenger Hunt at Tate Late</v>
      </c>
      <c r="G132" s="27">
        <f>IFERROR(VLOOKUP(D132,Sessions!A:G,3,FALSE),"")</f>
        <v>45499</v>
      </c>
      <c r="H132" s="26" t="str">
        <f>IFERROR(VLOOKUP(D132,Sessions!A:G,4,FALSE),"")</f>
        <v>6:00pm</v>
      </c>
      <c r="I132" s="38">
        <f>IFERROR(VLOOKUP(D132,Sessions!A:G,5,FALSE),"")</f>
        <v>2</v>
      </c>
      <c r="J132" s="38">
        <f>IFERROR(VLOOKUP(D132,Sessions!A:G,6,FALSE),"")</f>
        <v>5</v>
      </c>
      <c r="K132" s="40">
        <v>2</v>
      </c>
      <c r="L132" s="40" t="s">
        <v>3</v>
      </c>
      <c r="M132" s="42" t="str">
        <f>"It's all set! 🎉 Here is a summary of your order:
*Number of Tickets*: 1
*Experience*: "&amp;F132&amp;"
*Date*: "&amp;TEXT(G132,"dd/mm/yy")&amp;"
*Time*: "&amp;H132&amp;"
*Price*: "&amp;K132&amp;" "&amp;L132&amp;"
We will issue your tickets on Eventbrite soon.
*Cancellation Policy*: 100% refund for cancellations 24h prior to event."</f>
        <v>It's all set! 🎉 Here is a summary of your order:
*Number of Tickets*: 1
*Experience*: Scavenger Hunt at Tate Late
*Date*: 26/07/24
*Time*: 6:00pm
*Price*: 2 credits
We will issue your tickets on Eventbrite soon.
*Cancellation Policy*: 100% refund for cancellations 24h prior to event.</v>
      </c>
    </row>
    <row r="133" spans="1:13" ht="15.75" customHeight="1">
      <c r="B133" s="46">
        <v>45495</v>
      </c>
      <c r="C133" s="45" t="s">
        <v>23</v>
      </c>
      <c r="D133" s="30">
        <v>37</v>
      </c>
      <c r="F133" s="26" t="str">
        <f>IFERROR(VLOOKUP(D133,Sessions!A:G,2,FALSE),"")</f>
        <v>Scavenger Hunt at Tate Late</v>
      </c>
      <c r="G133" s="27">
        <f>IFERROR(VLOOKUP(D133,Sessions!A:G,3,FALSE),"")</f>
        <v>45499</v>
      </c>
      <c r="H133" s="26" t="str">
        <f>IFERROR(VLOOKUP(D133,Sessions!A:G,4,FALSE),"")</f>
        <v>6:00pm</v>
      </c>
      <c r="I133" s="38">
        <f>IFERROR(VLOOKUP(D133,Sessions!A:G,5,FALSE),"")</f>
        <v>2</v>
      </c>
      <c r="J133" s="38">
        <f>IFERROR(VLOOKUP(D133,Sessions!A:G,6,FALSE),"")</f>
        <v>5</v>
      </c>
      <c r="K133" s="40">
        <v>2</v>
      </c>
      <c r="L133" s="40" t="s">
        <v>3</v>
      </c>
      <c r="M133" s="42" t="str">
        <f>"It's all set! 🎉 Here is a summary of your order:
*Number of Tickets*: 1
*Experience*: "&amp;F133&amp;"
*Date*: "&amp;TEXT(G133,"dd/mm/yy")&amp;"
*Time*: "&amp;H133&amp;"
*Price*: "&amp;K133&amp;" "&amp;L133&amp;"
We will issue your tickets on Eventbrite soon.
*Cancellation Policy*: 100% refund for cancellations 24h prior to event."</f>
        <v>It's all set! 🎉 Here is a summary of your order:
*Number of Tickets*: 1
*Experience*: Scavenger Hunt at Tate Late
*Date*: 26/07/24
*Time*: 6:00pm
*Price*: 2 credits
We will issue your tickets on Eventbrite soon.
*Cancellation Policy*: 100% refund for cancellations 24h prior to event.</v>
      </c>
    </row>
    <row r="134" spans="1:13" ht="15.75" customHeight="1">
      <c r="B134" s="46">
        <v>45496</v>
      </c>
      <c r="C134" s="45" t="s">
        <v>36</v>
      </c>
      <c r="D134" s="30">
        <v>37</v>
      </c>
      <c r="F134" s="26" t="str">
        <f>IFERROR(VLOOKUP(D134,Sessions!A:G,2,FALSE),"")</f>
        <v>Scavenger Hunt at Tate Late</v>
      </c>
      <c r="G134" s="27">
        <f>IFERROR(VLOOKUP(D134,Sessions!A:G,3,FALSE),"")</f>
        <v>45499</v>
      </c>
      <c r="H134" s="26" t="str">
        <f>IFERROR(VLOOKUP(D134,Sessions!A:G,4,FALSE),"")</f>
        <v>6:00pm</v>
      </c>
      <c r="I134" s="38">
        <f>IFERROR(VLOOKUP(D134,Sessions!A:G,5,FALSE),"")</f>
        <v>2</v>
      </c>
      <c r="J134" s="38">
        <f>IFERROR(VLOOKUP(D134,Sessions!A:G,6,FALSE),"")</f>
        <v>5</v>
      </c>
      <c r="K134" s="40">
        <v>2</v>
      </c>
      <c r="L134" s="40" t="s">
        <v>3</v>
      </c>
      <c r="M134" s="42" t="str">
        <f>"It's all set! 🎉 Here is a summary of your order:
*Number of Tickets*: 1
*Experience*: "&amp;F134&amp;"
*Date*: "&amp;TEXT(G134,"dd/mm/yy")&amp;"
*Time*: "&amp;H134&amp;"
*Price*: "&amp;K134&amp;" "&amp;L134&amp;"
We will issue your tickets on Eventbrite soon.
*Cancellation Policy*: 100% refund for cancellations 24h prior to event."</f>
        <v>It's all set! 🎉 Here is a summary of your order:
*Number of Tickets*: 1
*Experience*: Scavenger Hunt at Tate Late
*Date*: 26/07/24
*Time*: 6:00pm
*Price*: 2 credits
We will issue your tickets on Eventbrite soon.
*Cancellation Policy*: 100% refund for cancellations 24h prior to event.</v>
      </c>
    </row>
    <row r="135" spans="1:13" ht="15.75" customHeight="1">
      <c r="B135" s="46">
        <v>45496</v>
      </c>
      <c r="C135" s="45" t="s">
        <v>32</v>
      </c>
      <c r="D135" s="30">
        <v>37</v>
      </c>
      <c r="F135" s="26" t="str">
        <f>IFERROR(VLOOKUP(D135,Sessions!A:G,2,FALSE),"")</f>
        <v>Scavenger Hunt at Tate Late</v>
      </c>
      <c r="G135" s="27">
        <f>IFERROR(VLOOKUP(D135,Sessions!A:G,3,FALSE),"")</f>
        <v>45499</v>
      </c>
      <c r="H135" s="26" t="str">
        <f>IFERROR(VLOOKUP(D135,Sessions!A:G,4,FALSE),"")</f>
        <v>6:00pm</v>
      </c>
      <c r="I135" s="38">
        <f>IFERROR(VLOOKUP(D135,Sessions!A:G,5,FALSE),"")</f>
        <v>2</v>
      </c>
      <c r="J135" s="38">
        <f>IFERROR(VLOOKUP(D135,Sessions!A:G,6,FALSE),"")</f>
        <v>5</v>
      </c>
      <c r="K135" s="40">
        <v>2</v>
      </c>
      <c r="L135" s="40" t="s">
        <v>3</v>
      </c>
      <c r="M135" s="42" t="str">
        <f>"It's all set! 🎉 Here is a summary of your order:
*Number of Tickets*: 1
*Experience*: "&amp;F135&amp;"
*Date*: "&amp;TEXT(G135,"dd/mm/yy")&amp;"
*Time*: "&amp;H135&amp;"
*Price*: "&amp;K135&amp;" "&amp;L135&amp;"
We will issue your tickets on Eventbrite soon.
*Cancellation Policy*: 100% refund for cancellations 24h prior to event."</f>
        <v>It's all set! 🎉 Here is a summary of your order:
*Number of Tickets*: 1
*Experience*: Scavenger Hunt at Tate Late
*Date*: 26/07/24
*Time*: 6:00pm
*Price*: 2 credits
We will issue your tickets on Eventbrite soon.
*Cancellation Policy*: 100% refund for cancellations 24h prior to event.</v>
      </c>
    </row>
    <row r="136" spans="1:13" ht="15.75" customHeight="1">
      <c r="B136" s="46">
        <v>45454</v>
      </c>
      <c r="C136" s="45" t="s">
        <v>20</v>
      </c>
      <c r="D136" s="30">
        <v>26</v>
      </c>
      <c r="F136" s="26" t="str">
        <f>IFERROR(VLOOKUP(D136,Sessions!A:G,2,FALSE),"")</f>
        <v>Soane Late</v>
      </c>
      <c r="G136" s="27">
        <f>IFERROR(VLOOKUP(D136,Sessions!A:G,3,FALSE),"")</f>
        <v>45471</v>
      </c>
      <c r="H136" s="26" t="str">
        <f>IFERROR(VLOOKUP(D136,Sessions!A:G,4,FALSE),"")</f>
        <v>6:30pm</v>
      </c>
      <c r="I136" s="38">
        <f>IFERROR(VLOOKUP(D136,Sessions!A:G,5,FALSE),"")</f>
        <v>10</v>
      </c>
      <c r="J136" s="38">
        <f>IFERROR(VLOOKUP(D136,Sessions!A:G,6,FALSE),"")</f>
        <v>25</v>
      </c>
      <c r="K136" s="40">
        <v>10</v>
      </c>
      <c r="L136" s="40" t="s">
        <v>3</v>
      </c>
      <c r="M136" s="42" t="str">
        <f t="shared" ref="M136:M145" si="5">"It's all set! 🎉 Here is a summary of your order:
*Number of Tickets*: 1
*Experience*: "&amp;F136&amp;"
*Date*: "&amp;TEXT(G136,"dd/mm/yy")&amp;"
*Time*: "&amp;H136&amp;"
*Price*: "&amp;K136&amp;" "&amp;L136&amp;"
We will issue your tickets on Evenbrite soon.
*Cancelation Policy*: 100% refund for cancelations 24h prior to event."</f>
        <v>It's all set! 🎉 Here is a summary of your order:
*Number of Tickets*: 1
*Experience*: Soane Late
*Date*: 28/06/24
*Time*: 6:30pm
*Price*: 10 credits
We will issue your tickets on Evenbrite soon.
*Cancelation Policy*: 100% refund for cancelations 24h prior to event.</v>
      </c>
    </row>
    <row r="137" spans="1:13" ht="15.75" customHeight="1">
      <c r="B137" s="46">
        <v>45461</v>
      </c>
      <c r="C137" s="45" t="s">
        <v>34</v>
      </c>
      <c r="D137" s="30">
        <v>26</v>
      </c>
      <c r="F137" s="26" t="str">
        <f>IFERROR(VLOOKUP(D137,Sessions!A:G,2,FALSE),"")</f>
        <v>Soane Late</v>
      </c>
      <c r="G137" s="27">
        <f>IFERROR(VLOOKUP(D137,Sessions!A:G,3,FALSE),"")</f>
        <v>45471</v>
      </c>
      <c r="H137" s="26" t="str">
        <f>IFERROR(VLOOKUP(D137,Sessions!A:G,4,FALSE),"")</f>
        <v>6:30pm</v>
      </c>
      <c r="I137" s="38">
        <f>IFERROR(VLOOKUP(D137,Sessions!A:G,5,FALSE),"")</f>
        <v>10</v>
      </c>
      <c r="J137" s="38">
        <f>IFERROR(VLOOKUP(D137,Sessions!A:G,6,FALSE),"")</f>
        <v>25</v>
      </c>
      <c r="K137" s="40">
        <v>10</v>
      </c>
      <c r="L137" s="40" t="s">
        <v>3</v>
      </c>
      <c r="M137" s="42" t="str">
        <f t="shared" si="5"/>
        <v>It's all set! 🎉 Here is a summary of your order:
*Number of Tickets*: 1
*Experience*: Soane Late
*Date*: 28/06/24
*Time*: 6:30pm
*Price*: 10 credits
We will issue your tickets on Evenbrite soon.
*Cancelation Policy*: 100% refund for cancelations 24h prior to event.</v>
      </c>
    </row>
    <row r="138" spans="1:13" ht="15.75" customHeight="1">
      <c r="B138" s="46">
        <v>45461</v>
      </c>
      <c r="C138" s="45" t="s">
        <v>28</v>
      </c>
      <c r="D138" s="30">
        <v>26</v>
      </c>
      <c r="F138" s="26" t="str">
        <f>IFERROR(VLOOKUP(D138,Sessions!A:G,2,FALSE),"")</f>
        <v>Soane Late</v>
      </c>
      <c r="G138" s="27">
        <f>IFERROR(VLOOKUP(D138,Sessions!A:G,3,FALSE),"")</f>
        <v>45471</v>
      </c>
      <c r="H138" s="26" t="str">
        <f>IFERROR(VLOOKUP(D138,Sessions!A:G,4,FALSE),"")</f>
        <v>6:30pm</v>
      </c>
      <c r="I138" s="38">
        <f>IFERROR(VLOOKUP(D138,Sessions!A:G,5,FALSE),"")</f>
        <v>10</v>
      </c>
      <c r="J138" s="38">
        <f>IFERROR(VLOOKUP(D138,Sessions!A:G,6,FALSE),"")</f>
        <v>25</v>
      </c>
      <c r="K138" s="40">
        <v>10</v>
      </c>
      <c r="L138" s="40" t="s">
        <v>3</v>
      </c>
      <c r="M138" s="42" t="str">
        <f t="shared" si="5"/>
        <v>It's all set! 🎉 Here is a summary of your order:
*Number of Tickets*: 1
*Experience*: Soane Late
*Date*: 28/06/24
*Time*: 6:30pm
*Price*: 10 credits
We will issue your tickets on Evenbrite soon.
*Cancelation Policy*: 100% refund for cancelations 24h prior to event.</v>
      </c>
    </row>
    <row r="139" spans="1:13" ht="15.75" customHeight="1">
      <c r="A139" s="108" t="s">
        <v>27</v>
      </c>
      <c r="B139" s="46">
        <v>45463</v>
      </c>
      <c r="C139" s="45" t="s">
        <v>18</v>
      </c>
      <c r="D139" s="30">
        <v>26</v>
      </c>
      <c r="F139" s="26" t="str">
        <f>IFERROR(VLOOKUP(D139,Sessions!A:G,2,FALSE),"")</f>
        <v>Soane Late</v>
      </c>
      <c r="G139" s="27">
        <f>IFERROR(VLOOKUP(D139,Sessions!A:G,3,FALSE),"")</f>
        <v>45471</v>
      </c>
      <c r="H139" s="26" t="str">
        <f>IFERROR(VLOOKUP(D139,Sessions!A:G,4,FALSE),"")</f>
        <v>6:30pm</v>
      </c>
      <c r="I139" s="38">
        <f>IFERROR(VLOOKUP(D139,Sessions!A:G,5,FALSE),"")</f>
        <v>10</v>
      </c>
      <c r="J139" s="38">
        <f>IFERROR(VLOOKUP(D139,Sessions!A:G,6,FALSE),"")</f>
        <v>25</v>
      </c>
      <c r="K139" s="40">
        <v>10</v>
      </c>
      <c r="L139" s="40" t="s">
        <v>3</v>
      </c>
      <c r="M139" s="42" t="str">
        <f t="shared" si="5"/>
        <v>It's all set! 🎉 Here is a summary of your order:
*Number of Tickets*: 1
*Experience*: Soane Late
*Date*: 28/06/24
*Time*: 6:30pm
*Price*: 10 credits
We will issue your tickets on Evenbrite soon.
*Cancelation Policy*: 100% refund for cancelations 24h prior to event.</v>
      </c>
    </row>
    <row r="140" spans="1:13" ht="15.75" customHeight="1">
      <c r="A140" t="s">
        <v>79</v>
      </c>
      <c r="B140" s="46">
        <v>45463</v>
      </c>
      <c r="C140" s="45" t="s">
        <v>62</v>
      </c>
      <c r="D140" s="30">
        <v>26</v>
      </c>
      <c r="F140" s="26" t="str">
        <f>IFERROR(VLOOKUP(D140,Sessions!A:G,2,FALSE),"")</f>
        <v>Soane Late</v>
      </c>
      <c r="G140" s="27">
        <f>IFERROR(VLOOKUP(D140,Sessions!A:G,3,FALSE),"")</f>
        <v>45471</v>
      </c>
      <c r="H140" s="26" t="str">
        <f>IFERROR(VLOOKUP(D140,Sessions!A:G,4,FALSE),"")</f>
        <v>6:30pm</v>
      </c>
      <c r="I140" s="38">
        <f>IFERROR(VLOOKUP(D140,Sessions!A:G,5,FALSE),"")</f>
        <v>10</v>
      </c>
      <c r="J140" s="38">
        <f>IFERROR(VLOOKUP(D140,Sessions!A:G,6,FALSE),"")</f>
        <v>25</v>
      </c>
      <c r="K140" s="40">
        <v>0</v>
      </c>
      <c r="L140" s="40" t="s">
        <v>3</v>
      </c>
      <c r="M140" s="42" t="str">
        <f t="shared" si="5"/>
        <v>It's all set! 🎉 Here is a summary of your order:
*Number of Tickets*: 1
*Experience*: Soane Late
*Date*: 28/06/24
*Time*: 6:30pm
*Price*: 0 credits
We will issue your tickets on Evenbrite soon.
*Cancelation Policy*: 100% refund for cancelations 24h prior to event.</v>
      </c>
    </row>
    <row r="141" spans="1:13" ht="15.75" customHeight="1">
      <c r="A141" t="s">
        <v>80</v>
      </c>
      <c r="B141" s="46">
        <v>45467</v>
      </c>
      <c r="C141" s="45" t="s">
        <v>81</v>
      </c>
      <c r="D141" s="30">
        <v>26</v>
      </c>
      <c r="F141" s="26" t="str">
        <f>IFERROR(VLOOKUP(D141,Sessions!A:G,2,FALSE),"")</f>
        <v>Soane Late</v>
      </c>
      <c r="G141" s="27">
        <f>IFERROR(VLOOKUP(D141,Sessions!A:G,3,FALSE),"")</f>
        <v>45471</v>
      </c>
      <c r="H141" s="26" t="str">
        <f>IFERROR(VLOOKUP(D141,Sessions!A:G,4,FALSE),"")</f>
        <v>6:30pm</v>
      </c>
      <c r="I141" s="38">
        <f>IFERROR(VLOOKUP(D141,Sessions!A:G,5,FALSE),"")</f>
        <v>10</v>
      </c>
      <c r="J141" s="38">
        <f>IFERROR(VLOOKUP(D141,Sessions!A:G,6,FALSE),"")</f>
        <v>25</v>
      </c>
      <c r="K141" s="40">
        <v>0</v>
      </c>
      <c r="L141" s="40" t="s">
        <v>17</v>
      </c>
      <c r="M141" s="42" t="str">
        <f t="shared" si="5"/>
        <v>It's all set! 🎉 Here is a summary of your order:
*Number of Tickets*: 1
*Experience*: Soane Late
*Date*: 28/06/24
*Time*: 6:30pm
*Price*: 0 pounds
We will issue your tickets on Evenbrite soon.
*Cancelation Policy*: 100% refund for cancelations 24h prior to event.</v>
      </c>
    </row>
    <row r="142" spans="1:13" ht="15.75" customHeight="1">
      <c r="A142" t="s">
        <v>82</v>
      </c>
      <c r="B142" s="46">
        <v>45467</v>
      </c>
      <c r="C142" s="45" t="s">
        <v>83</v>
      </c>
      <c r="D142" s="30">
        <v>26</v>
      </c>
      <c r="F142" s="26" t="str">
        <f>IFERROR(VLOOKUP(D142,Sessions!A:G,2,FALSE),"")</f>
        <v>Soane Late</v>
      </c>
      <c r="G142" s="27">
        <f>IFERROR(VLOOKUP(D142,Sessions!A:G,3,FALSE),"")</f>
        <v>45471</v>
      </c>
      <c r="H142" s="26" t="str">
        <f>IFERROR(VLOOKUP(D142,Sessions!A:G,4,FALSE),"")</f>
        <v>6:30pm</v>
      </c>
      <c r="I142" s="38">
        <f>IFERROR(VLOOKUP(D142,Sessions!A:G,5,FALSE),"")</f>
        <v>10</v>
      </c>
      <c r="J142" s="38">
        <f>IFERROR(VLOOKUP(D142,Sessions!A:G,6,FALSE),"")</f>
        <v>25</v>
      </c>
      <c r="K142" s="40">
        <v>0</v>
      </c>
      <c r="L142" s="40" t="s">
        <v>17</v>
      </c>
      <c r="M142" s="42" t="str">
        <f t="shared" si="5"/>
        <v>It's all set! 🎉 Here is a summary of your order:
*Number of Tickets*: 1
*Experience*: Soane Late
*Date*: 28/06/24
*Time*: 6:30pm
*Price*: 0 pounds
We will issue your tickets on Evenbrite soon.
*Cancelation Policy*: 100% refund for cancelations 24h prior to event.</v>
      </c>
    </row>
    <row r="143" spans="1:13" ht="15.75" customHeight="1">
      <c r="B143" s="46">
        <v>45467</v>
      </c>
      <c r="C143" s="45" t="s">
        <v>30</v>
      </c>
      <c r="D143" s="30">
        <v>26</v>
      </c>
      <c r="F143" s="26" t="str">
        <f>IFERROR(VLOOKUP(D143,Sessions!A:G,2,FALSE),"")</f>
        <v>Soane Late</v>
      </c>
      <c r="G143" s="27">
        <f>IFERROR(VLOOKUP(D143,Sessions!A:G,3,FALSE),"")</f>
        <v>45471</v>
      </c>
      <c r="H143" s="26" t="str">
        <f>IFERROR(VLOOKUP(D143,Sessions!A:G,4,FALSE),"")</f>
        <v>6:30pm</v>
      </c>
      <c r="I143" s="38">
        <f>IFERROR(VLOOKUP(D143,Sessions!A:G,5,FALSE),"")</f>
        <v>10</v>
      </c>
      <c r="J143" s="38">
        <f>IFERROR(VLOOKUP(D143,Sessions!A:G,6,FALSE),"")</f>
        <v>25</v>
      </c>
      <c r="K143" s="40">
        <v>10</v>
      </c>
      <c r="L143" s="40" t="s">
        <v>3</v>
      </c>
      <c r="M143" s="42" t="str">
        <f t="shared" si="5"/>
        <v>It's all set! 🎉 Here is a summary of your order:
*Number of Tickets*: 1
*Experience*: Soane Late
*Date*: 28/06/24
*Time*: 6:30pm
*Price*: 10 credits
We will issue your tickets on Evenbrite soon.
*Cancelation Policy*: 100% refund for cancelations 24h prior to event.</v>
      </c>
    </row>
    <row r="144" spans="1:13" ht="15.75" customHeight="1">
      <c r="B144" s="46">
        <v>45469</v>
      </c>
      <c r="C144" s="45" t="s">
        <v>84</v>
      </c>
      <c r="D144" s="30">
        <v>26</v>
      </c>
      <c r="F144" s="26" t="str">
        <f>IFERROR(VLOOKUP(D144,Sessions!A:G,2,FALSE),"")</f>
        <v>Soane Late</v>
      </c>
      <c r="G144" s="27">
        <f>IFERROR(VLOOKUP(D144,Sessions!A:G,3,FALSE),"")</f>
        <v>45471</v>
      </c>
      <c r="H144" s="26" t="str">
        <f>IFERROR(VLOOKUP(D144,Sessions!A:G,4,FALSE),"")</f>
        <v>6:30pm</v>
      </c>
      <c r="I144" s="38">
        <f>IFERROR(VLOOKUP(D144,Sessions!A:G,5,FALSE),"")</f>
        <v>10</v>
      </c>
      <c r="J144" s="38">
        <f>IFERROR(VLOOKUP(D144,Sessions!A:G,6,FALSE),"")</f>
        <v>25</v>
      </c>
      <c r="K144" s="40">
        <v>25</v>
      </c>
      <c r="L144" s="40" t="s">
        <v>17</v>
      </c>
      <c r="M144" s="42" t="str">
        <f t="shared" si="5"/>
        <v>It's all set! 🎉 Here is a summary of your order:
*Number of Tickets*: 1
*Experience*: Soane Late
*Date*: 28/06/24
*Time*: 6:30pm
*Price*: 25 pounds
We will issue your tickets on Evenbrite soon.
*Cancelation Policy*: 100% refund for cancelations 24h prior to event.</v>
      </c>
    </row>
    <row r="145" spans="1:13" ht="15.75" customHeight="1">
      <c r="B145" s="46">
        <v>45470</v>
      </c>
      <c r="C145" s="45" t="s">
        <v>57</v>
      </c>
      <c r="D145" s="30">
        <v>26</v>
      </c>
      <c r="F145" s="26" t="str">
        <f>IFERROR(VLOOKUP(D145,Sessions!A:G,2,FALSE),"")</f>
        <v>Soane Late</v>
      </c>
      <c r="G145" s="27">
        <f>IFERROR(VLOOKUP(D145,Sessions!A:G,3,FALSE),"")</f>
        <v>45471</v>
      </c>
      <c r="H145" s="26" t="str">
        <f>IFERROR(VLOOKUP(D145,Sessions!A:G,4,FALSE),"")</f>
        <v>6:30pm</v>
      </c>
      <c r="I145" s="38">
        <f>IFERROR(VLOOKUP(D145,Sessions!A:G,5,FALSE),"")</f>
        <v>10</v>
      </c>
      <c r="J145" s="38">
        <f>IFERROR(VLOOKUP(D145,Sessions!A:G,6,FALSE),"")</f>
        <v>25</v>
      </c>
      <c r="K145" s="40">
        <v>10</v>
      </c>
      <c r="L145" s="40" t="s">
        <v>3</v>
      </c>
      <c r="M145" s="42" t="str">
        <f t="shared" si="5"/>
        <v>It's all set! 🎉 Here is a summary of your order:
*Number of Tickets*: 1
*Experience*: Soane Late
*Date*: 28/06/24
*Time*: 6:30pm
*Price*: 10 credits
We will issue your tickets on Evenbrite soon.
*Cancelation Policy*: 100% refund for cancelations 24h prior to event.</v>
      </c>
    </row>
    <row r="146" spans="1:13" ht="15.75" customHeight="1">
      <c r="A146" t="s">
        <v>82</v>
      </c>
      <c r="B146" s="46">
        <v>45469</v>
      </c>
      <c r="C146" s="45" t="s">
        <v>85</v>
      </c>
      <c r="D146" s="30">
        <v>26</v>
      </c>
      <c r="F146" s="26" t="str">
        <f>IFERROR(VLOOKUP(D146,Sessions!A:G,2,FALSE),"")</f>
        <v>Soane Late</v>
      </c>
      <c r="G146" s="27">
        <f>IFERROR(VLOOKUP(D146,Sessions!A:G,3,FALSE),"")</f>
        <v>45471</v>
      </c>
      <c r="H146" s="26" t="str">
        <f>IFERROR(VLOOKUP(D146,Sessions!A:G,4,FALSE),"")</f>
        <v>6:30pm</v>
      </c>
      <c r="I146" s="38">
        <f>IFERROR(VLOOKUP(D146,Sessions!A:G,5,FALSE),"")</f>
        <v>10</v>
      </c>
      <c r="J146" s="38">
        <f>IFERROR(VLOOKUP(D146,Sessions!A:G,6,FALSE),"")</f>
        <v>25</v>
      </c>
      <c r="K146" s="40">
        <v>0</v>
      </c>
      <c r="L146" s="40" t="s">
        <v>3</v>
      </c>
      <c r="M146" s="42" t="str">
        <f>"It's all set! 🎉 Here is a summary of your order:
*Number of Tickets*: 1
*Experience*: "&amp;F146&amp;"
*Date*: "&amp;TEXT(G146,"dd/mm/yy")&amp;"
*Time*: "&amp;H146&amp;"
*Price*: "&amp;K146&amp;" "&amp;L146&amp;"
We will issue your tickets on Eventbrite soon.
*Cancellation Policy*: 100% refund for cancellations 24h prior to event."</f>
        <v>It's all set! 🎉 Here is a summary of your order:
*Number of Tickets*: 1
*Experience*: Soane Late
*Date*: 28/06/24
*Time*: 6:30pm
*Price*: 0 credits
We will issue your tickets on Eventbrite soon.
*Cancellation Policy*: 100% refund for cancellations 24h prior to event.</v>
      </c>
    </row>
    <row r="147" spans="1:13" ht="15.75" customHeight="1">
      <c r="A147" t="s">
        <v>86</v>
      </c>
      <c r="B147" s="46">
        <v>45471</v>
      </c>
      <c r="C147" s="45" t="s">
        <v>87</v>
      </c>
      <c r="D147" s="30">
        <v>26</v>
      </c>
      <c r="F147" s="26" t="str">
        <f>IFERROR(VLOOKUP(D147,Sessions!A:G,2,FALSE),"")</f>
        <v>Soane Late</v>
      </c>
      <c r="G147" s="27">
        <f>IFERROR(VLOOKUP(D147,Sessions!A:G,3,FALSE),"")</f>
        <v>45471</v>
      </c>
      <c r="H147" s="26" t="str">
        <f>IFERROR(VLOOKUP(D147,Sessions!A:G,4,FALSE),"")</f>
        <v>6:30pm</v>
      </c>
      <c r="I147" s="38">
        <f>IFERROR(VLOOKUP(D147,Sessions!A:G,5,FALSE),"")</f>
        <v>10</v>
      </c>
      <c r="J147" s="38">
        <f>IFERROR(VLOOKUP(D147,Sessions!A:G,6,FALSE),"")</f>
        <v>25</v>
      </c>
      <c r="K147" s="40">
        <v>0</v>
      </c>
      <c r="L147" s="40" t="s">
        <v>3</v>
      </c>
      <c r="M147" s="42" t="str">
        <f>"It's all set! 🎉 Here is a summary of your order:
*Number of Tickets*: 1
*Experience*: "&amp;F147&amp;"
*Date*: "&amp;TEXT(G147,"dd/mm/yy")&amp;"
*Time*: "&amp;H147&amp;"
*Price*: "&amp;K147&amp;" "&amp;L147&amp;"
We will issue your tickets on Eventbrite soon.
*Cancellation Policy*: 100% refund for cancellations 24h prior to event."</f>
        <v>It's all set! 🎉 Here is a summary of your order:
*Number of Tickets*: 1
*Experience*: Soane Late
*Date*: 28/06/24
*Time*: 6:30pm
*Price*: 0 credits
We will issue your tickets on Eventbrite soon.
*Cancellation Policy*: 100% refund for cancellations 24h prior to event.</v>
      </c>
    </row>
    <row r="148" spans="1:13" ht="15.75" customHeight="1">
      <c r="B148" s="46">
        <v>45471</v>
      </c>
      <c r="C148" s="45" t="s">
        <v>21</v>
      </c>
      <c r="D148" s="30">
        <v>26</v>
      </c>
      <c r="F148" s="26" t="str">
        <f>IFERROR(VLOOKUP(D148,Sessions!A:G,2,FALSE),"")</f>
        <v>Soane Late</v>
      </c>
      <c r="G148" s="27">
        <f>IFERROR(VLOOKUP(D148,Sessions!A:G,3,FALSE),"")</f>
        <v>45471</v>
      </c>
      <c r="H148" s="26" t="str">
        <f>IFERROR(VLOOKUP(D148,Sessions!A:G,4,FALSE),"")</f>
        <v>6:30pm</v>
      </c>
      <c r="I148" s="38">
        <f>IFERROR(VLOOKUP(D148,Sessions!A:G,5,FALSE),"")</f>
        <v>10</v>
      </c>
      <c r="J148" s="38">
        <f>IFERROR(VLOOKUP(D148,Sessions!A:G,6,FALSE),"")</f>
        <v>25</v>
      </c>
      <c r="K148" s="40">
        <v>10</v>
      </c>
      <c r="L148" s="40" t="s">
        <v>3</v>
      </c>
      <c r="M148" s="42" t="str">
        <f>"It's all set! 🎉 Here is a summary of your order:
*Number of Tickets*: 1
*Experience*: "&amp;F148&amp;"
*Date*: "&amp;TEXT(G148,"dd/mm/yy")&amp;"
*Time*: "&amp;H148&amp;"
*Price*: "&amp;K148&amp;" "&amp;L148&amp;"
We will issue your tickets on Eventbrite soon.
*Cancellation Policy*: 100% refund for cancellations 24h prior to event."</f>
        <v>It's all set! 🎉 Here is a summary of your order:
*Number of Tickets*: 1
*Experience*: Soane Late
*Date*: 28/06/24
*Time*: 6:30pm
*Price*: 10 credits
We will issue your tickets on Eventbrite soon.
*Cancellation Policy*: 100% refund for cancellations 24h prior to event.</v>
      </c>
    </row>
    <row r="149" spans="1:13" ht="15.75" customHeight="1">
      <c r="B149" s="46">
        <v>45449</v>
      </c>
      <c r="C149" s="45" t="s">
        <v>64</v>
      </c>
      <c r="D149" s="30">
        <v>28</v>
      </c>
      <c r="F149" s="26" t="str">
        <f>IFERROR(VLOOKUP(D149,Sessions!A:G,2,FALSE),"")</f>
        <v>Social at Tate Late</v>
      </c>
      <c r="G149" s="27">
        <f>IFERROR(VLOOKUP(D149,Sessions!A:G,3,FALSE),"")</f>
        <v>45457</v>
      </c>
      <c r="H149" s="26" t="str">
        <f>IFERROR(VLOOKUP(D149,Sessions!A:G,4,FALSE),"")</f>
        <v>7:00pm</v>
      </c>
      <c r="I149" s="38">
        <f>IFERROR(VLOOKUP(D149,Sessions!A:G,5,FALSE),"")</f>
        <v>0</v>
      </c>
      <c r="J149" s="38">
        <f>IFERROR(VLOOKUP(D149,Sessions!A:G,6,FALSE),"")</f>
        <v>0</v>
      </c>
      <c r="K149" s="40">
        <v>0</v>
      </c>
      <c r="L149" s="40" t="s">
        <v>3</v>
      </c>
      <c r="M149" s="42" t="str">
        <f t="shared" ref="M149:M158" si="6">"It's all set! 🎉 Here is a summary of your order:
*Number of Tickets*: 1
*Experience*: "&amp;F149&amp;"
*Date*: "&amp;TEXT(G149,"dd/mm/yy")&amp;"
*Time*: "&amp;H149&amp;"
*Price*: "&amp;K149&amp;" "&amp;L149&amp;"
We will issue your tickets on Evenbrite soon.
*Cancelation Policy*: 100% refund for cancelations 24h prior to event."</f>
        <v>It's all set! 🎉 Here is a summary of your order:
*Number of Tickets*: 1
*Experience*: Social at Tate Late
*Date*: 14/06/24
*Time*: 7:00pm
*Price*: 0 credits
We will issue your tickets on Evenbrite soon.
*Cancelation Policy*: 100% refund for cancelations 24h prior to event.</v>
      </c>
    </row>
    <row r="150" spans="1:13" ht="15.75" customHeight="1">
      <c r="B150" s="46">
        <v>45449</v>
      </c>
      <c r="C150" s="45" t="s">
        <v>76</v>
      </c>
      <c r="D150" s="30">
        <v>28</v>
      </c>
      <c r="F150" s="26" t="str">
        <f>IFERROR(VLOOKUP(D150,Sessions!A:G,2,FALSE),"")</f>
        <v>Social at Tate Late</v>
      </c>
      <c r="G150" s="27">
        <f>IFERROR(VLOOKUP(D150,Sessions!A:G,3,FALSE),"")</f>
        <v>45457</v>
      </c>
      <c r="H150" s="26" t="str">
        <f>IFERROR(VLOOKUP(D150,Sessions!A:G,4,FALSE),"")</f>
        <v>7:00pm</v>
      </c>
      <c r="I150" s="38">
        <f>IFERROR(VLOOKUP(D150,Sessions!A:G,5,FALSE),"")</f>
        <v>0</v>
      </c>
      <c r="J150" s="38">
        <f>IFERROR(VLOOKUP(D150,Sessions!A:G,6,FALSE),"")</f>
        <v>0</v>
      </c>
      <c r="K150" s="40">
        <v>0</v>
      </c>
      <c r="L150" s="40" t="s">
        <v>3</v>
      </c>
      <c r="M150" s="42" t="str">
        <f t="shared" si="6"/>
        <v>It's all set! 🎉 Here is a summary of your order:
*Number of Tickets*: 1
*Experience*: Social at Tate Late
*Date*: 14/06/24
*Time*: 7:00pm
*Price*: 0 credits
We will issue your tickets on Evenbrite soon.
*Cancelation Policy*: 100% refund for cancelations 24h prior to event.</v>
      </c>
    </row>
    <row r="151" spans="1:13" ht="15.75" customHeight="1">
      <c r="A151" s="108" t="s">
        <v>77</v>
      </c>
      <c r="B151" s="46">
        <v>45447</v>
      </c>
      <c r="C151" s="45" t="s">
        <v>18</v>
      </c>
      <c r="D151" s="30">
        <v>28</v>
      </c>
      <c r="F151" s="26" t="str">
        <f>IFERROR(VLOOKUP(D151,Sessions!A:G,2,FALSE),"")</f>
        <v>Social at Tate Late</v>
      </c>
      <c r="G151" s="27">
        <f>IFERROR(VLOOKUP(D151,Sessions!A:G,3,FALSE),"")</f>
        <v>45457</v>
      </c>
      <c r="H151" s="26" t="str">
        <f>IFERROR(VLOOKUP(D151,Sessions!A:G,4,FALSE),"")</f>
        <v>7:00pm</v>
      </c>
      <c r="I151" s="38">
        <f>IFERROR(VLOOKUP(D151,Sessions!A:G,5,FALSE),"")</f>
        <v>0</v>
      </c>
      <c r="J151" s="38">
        <f>IFERROR(VLOOKUP(D151,Sessions!A:G,6,FALSE),"")</f>
        <v>0</v>
      </c>
      <c r="K151" s="40">
        <v>0</v>
      </c>
      <c r="L151" s="40" t="s">
        <v>3</v>
      </c>
      <c r="M151" s="42" t="str">
        <f t="shared" si="6"/>
        <v>It's all set! 🎉 Here is a summary of your order:
*Number of Tickets*: 1
*Experience*: Social at Tate Late
*Date*: 14/06/24
*Time*: 7:00pm
*Price*: 0 credits
We will issue your tickets on Evenbrite soon.
*Cancelation Policy*: 100% refund for cancelations 24h prior to event.</v>
      </c>
    </row>
    <row r="152" spans="1:13" ht="15.75" customHeight="1">
      <c r="B152" s="46">
        <v>45447</v>
      </c>
      <c r="C152" s="45" t="s">
        <v>30</v>
      </c>
      <c r="D152" s="30">
        <v>28</v>
      </c>
      <c r="F152" s="26" t="str">
        <f>IFERROR(VLOOKUP(D152,Sessions!A:G,2,FALSE),"")</f>
        <v>Social at Tate Late</v>
      </c>
      <c r="G152" s="27">
        <f>IFERROR(VLOOKUP(D152,Sessions!A:G,3,FALSE),"")</f>
        <v>45457</v>
      </c>
      <c r="H152" s="26" t="str">
        <f>IFERROR(VLOOKUP(D152,Sessions!A:G,4,FALSE),"")</f>
        <v>7:00pm</v>
      </c>
      <c r="I152" s="38">
        <f>IFERROR(VLOOKUP(D152,Sessions!A:G,5,FALSE),"")</f>
        <v>0</v>
      </c>
      <c r="J152" s="38">
        <f>IFERROR(VLOOKUP(D152,Sessions!A:G,6,FALSE),"")</f>
        <v>0</v>
      </c>
      <c r="M152" s="42" t="str">
        <f t="shared" si="6"/>
        <v>It's all set! 🎉 Here is a summary of your order:
*Number of Tickets*: 1
*Experience*: Social at Tate Late
*Date*: 14/06/24
*Time*: 7:00pm
*Price*:  
We will issue your tickets on Evenbrite soon.
*Cancelation Policy*: 100% refund for cancelations 24h prior to event.</v>
      </c>
    </row>
    <row r="153" spans="1:13" ht="15.75" customHeight="1">
      <c r="B153" s="46">
        <v>45447</v>
      </c>
      <c r="C153" s="45" t="s">
        <v>25</v>
      </c>
      <c r="D153" s="30">
        <v>28</v>
      </c>
      <c r="F153" s="26" t="str">
        <f>IFERROR(VLOOKUP(D153,Sessions!A:G,2,FALSE),"")</f>
        <v>Social at Tate Late</v>
      </c>
      <c r="G153" s="27">
        <f>IFERROR(VLOOKUP(D153,Sessions!A:G,3,FALSE),"")</f>
        <v>45457</v>
      </c>
      <c r="H153" s="26" t="str">
        <f>IFERROR(VLOOKUP(D153,Sessions!A:G,4,FALSE),"")</f>
        <v>7:00pm</v>
      </c>
      <c r="I153" s="38">
        <f>IFERROR(VLOOKUP(D153,Sessions!A:G,5,FALSE),"")</f>
        <v>0</v>
      </c>
      <c r="J153" s="38">
        <f>IFERROR(VLOOKUP(D153,Sessions!A:G,6,FALSE),"")</f>
        <v>0</v>
      </c>
      <c r="K153" s="40">
        <v>0</v>
      </c>
      <c r="L153" s="40" t="s">
        <v>3</v>
      </c>
      <c r="M153" s="42" t="str">
        <f t="shared" si="6"/>
        <v>It's all set! 🎉 Here is a summary of your order:
*Number of Tickets*: 1
*Experience*: Social at Tate Late
*Date*: 14/06/24
*Time*: 7:00pm
*Price*: 0 credits
We will issue your tickets on Evenbrite soon.
*Cancelation Policy*: 100% refund for cancelations 24h prior to event.</v>
      </c>
    </row>
    <row r="154" spans="1:13" ht="15.75" customHeight="1">
      <c r="B154" s="46">
        <v>45447</v>
      </c>
      <c r="C154" s="45" t="s">
        <v>36</v>
      </c>
      <c r="D154" s="30">
        <v>28</v>
      </c>
      <c r="F154" s="26" t="str">
        <f>IFERROR(VLOOKUP(D154,Sessions!A:G,2,FALSE),"")</f>
        <v>Social at Tate Late</v>
      </c>
      <c r="G154" s="27">
        <f>IFERROR(VLOOKUP(D154,Sessions!A:G,3,FALSE),"")</f>
        <v>45457</v>
      </c>
      <c r="H154" s="26" t="str">
        <f>IFERROR(VLOOKUP(D154,Sessions!A:G,4,FALSE),"")</f>
        <v>7:00pm</v>
      </c>
      <c r="I154" s="38">
        <f>IFERROR(VLOOKUP(D154,Sessions!A:G,5,FALSE),"")</f>
        <v>0</v>
      </c>
      <c r="J154" s="38">
        <f>IFERROR(VLOOKUP(D154,Sessions!A:G,6,FALSE),"")</f>
        <v>0</v>
      </c>
      <c r="K154" s="40">
        <v>0</v>
      </c>
      <c r="L154" s="40" t="s">
        <v>3</v>
      </c>
      <c r="M154" s="42" t="str">
        <f t="shared" si="6"/>
        <v>It's all set! 🎉 Here is a summary of your order:
*Number of Tickets*: 1
*Experience*: Social at Tate Late
*Date*: 14/06/24
*Time*: 7:00pm
*Price*: 0 credits
We will issue your tickets on Evenbrite soon.
*Cancelation Policy*: 100% refund for cancelations 24h prior to event.</v>
      </c>
    </row>
    <row r="155" spans="1:13" ht="15.75" customHeight="1">
      <c r="B155" s="46">
        <v>45454</v>
      </c>
      <c r="C155" s="45" t="s">
        <v>19</v>
      </c>
      <c r="D155" s="30">
        <v>28</v>
      </c>
      <c r="F155" s="26" t="str">
        <f>IFERROR(VLOOKUP(D155,Sessions!A:G,2,FALSE),"")</f>
        <v>Social at Tate Late</v>
      </c>
      <c r="G155" s="27">
        <f>IFERROR(VLOOKUP(D155,Sessions!A:G,3,FALSE),"")</f>
        <v>45457</v>
      </c>
      <c r="H155" s="26" t="str">
        <f>IFERROR(VLOOKUP(D155,Sessions!A:G,4,FALSE),"")</f>
        <v>7:00pm</v>
      </c>
      <c r="I155" s="38">
        <f>IFERROR(VLOOKUP(D155,Sessions!A:G,5,FALSE),"")</f>
        <v>0</v>
      </c>
      <c r="J155" s="38">
        <f>IFERROR(VLOOKUP(D155,Sessions!A:G,6,FALSE),"")</f>
        <v>0</v>
      </c>
      <c r="K155" s="40">
        <v>0</v>
      </c>
      <c r="L155" s="40" t="s">
        <v>3</v>
      </c>
      <c r="M155" s="42" t="str">
        <f t="shared" si="6"/>
        <v>It's all set! 🎉 Here is a summary of your order:
*Number of Tickets*: 1
*Experience*: Social at Tate Late
*Date*: 14/06/24
*Time*: 7:00pm
*Price*: 0 credits
We will issue your tickets on Evenbrite soon.
*Cancelation Policy*: 100% refund for cancelations 24h prior to event.</v>
      </c>
    </row>
    <row r="156" spans="1:13" ht="15.75" customHeight="1">
      <c r="A156" s="88"/>
      <c r="B156" s="46">
        <v>45432</v>
      </c>
      <c r="C156" s="45" t="s">
        <v>20</v>
      </c>
      <c r="D156" s="30">
        <v>20</v>
      </c>
      <c r="F156" s="26" t="str">
        <f>IFERROR(VLOOKUP(D156,Sessions!A:G,2,FALSE),"")</f>
        <v>Thomas Cameron  Studio + Shay Dinner</v>
      </c>
      <c r="G156" s="27">
        <f>IFERROR(VLOOKUP(D156,Sessions!A:G,3,FALSE),"")</f>
        <v>45433</v>
      </c>
      <c r="H156" s="26" t="str">
        <f>IFERROR(VLOOKUP(D156,Sessions!A:G,4,FALSE),"")</f>
        <v>6:30pm</v>
      </c>
      <c r="I156" s="38">
        <f>IFERROR(VLOOKUP(D156,Sessions!A:G,5,FALSE),"")</f>
        <v>0</v>
      </c>
      <c r="J156" s="38">
        <f>IFERROR(VLOOKUP(D156,Sessions!A:G,6,FALSE),"")</f>
        <v>0</v>
      </c>
      <c r="K156" s="40">
        <v>0</v>
      </c>
      <c r="L156" s="40" t="s">
        <v>3</v>
      </c>
      <c r="M156" s="42" t="str">
        <f t="shared" si="6"/>
        <v>It's all set! 🎉 Here is a summary of your order:
*Number of Tickets*: 1
*Experience*: Thomas Cameron  Studio + Shay Dinner
*Date*: 21/05/24
*Time*: 6:30pm
*Price*: 0 credits
We will issue your tickets on Evenbrite soon.
*Cancelation Policy*: 100% refund for cancelations 24h prior to event.</v>
      </c>
    </row>
    <row r="157" spans="1:13" ht="15.75" customHeight="1">
      <c r="A157" s="88"/>
      <c r="B157" s="46">
        <v>45432</v>
      </c>
      <c r="C157" s="45" t="s">
        <v>26</v>
      </c>
      <c r="D157" s="30">
        <v>20</v>
      </c>
      <c r="F157" s="26" t="str">
        <f>IFERROR(VLOOKUP(D157,Sessions!A:G,2,FALSE),"")</f>
        <v>Thomas Cameron  Studio + Shay Dinner</v>
      </c>
      <c r="G157" s="27">
        <f>IFERROR(VLOOKUP(D157,Sessions!A:G,3,FALSE),"")</f>
        <v>45433</v>
      </c>
      <c r="H157" s="26" t="str">
        <f>IFERROR(VLOOKUP(D157,Sessions!A:G,4,FALSE),"")</f>
        <v>6:30pm</v>
      </c>
      <c r="I157" s="38">
        <f>IFERROR(VLOOKUP(D157,Sessions!A:G,5,FALSE),"")</f>
        <v>0</v>
      </c>
      <c r="J157" s="38">
        <f>IFERROR(VLOOKUP(D157,Sessions!A:G,6,FALSE),"")</f>
        <v>0</v>
      </c>
      <c r="K157" s="40">
        <v>0</v>
      </c>
      <c r="L157" s="40" t="s">
        <v>3</v>
      </c>
      <c r="M157" s="42" t="str">
        <f t="shared" si="6"/>
        <v>It's all set! 🎉 Here is a summary of your order:
*Number of Tickets*: 1
*Experience*: Thomas Cameron  Studio + Shay Dinner
*Date*: 21/05/24
*Time*: 6:30pm
*Price*: 0 credits
We will issue your tickets on Evenbrite soon.
*Cancelation Policy*: 100% refund for cancelations 24h prior to event.</v>
      </c>
    </row>
    <row r="158" spans="1:13" ht="15.75" customHeight="1">
      <c r="A158" s="88"/>
      <c r="B158" s="46">
        <v>45432</v>
      </c>
      <c r="C158" s="45" t="s">
        <v>36</v>
      </c>
      <c r="D158" s="30">
        <v>20</v>
      </c>
      <c r="F158" s="26" t="str">
        <f>IFERROR(VLOOKUP(D158,Sessions!A:G,2,FALSE),"")</f>
        <v>Thomas Cameron  Studio + Shay Dinner</v>
      </c>
      <c r="G158" s="27">
        <f>IFERROR(VLOOKUP(D158,Sessions!A:G,3,FALSE),"")</f>
        <v>45433</v>
      </c>
      <c r="H158" s="26" t="str">
        <f>IFERROR(VLOOKUP(D158,Sessions!A:G,4,FALSE),"")</f>
        <v>6:30pm</v>
      </c>
      <c r="I158" s="38">
        <f>IFERROR(VLOOKUP(D158,Sessions!A:G,5,FALSE),"")</f>
        <v>0</v>
      </c>
      <c r="J158" s="38">
        <f>IFERROR(VLOOKUP(D158,Sessions!A:G,6,FALSE),"")</f>
        <v>0</v>
      </c>
      <c r="K158" s="40">
        <v>0</v>
      </c>
      <c r="L158" s="40" t="s">
        <v>3</v>
      </c>
      <c r="M158" s="42" t="str">
        <f t="shared" si="6"/>
        <v>It's all set! 🎉 Here is a summary of your order:
*Number of Tickets*: 1
*Experience*: Thomas Cameron  Studio + Shay Dinner
*Date*: 21/05/24
*Time*: 6:30pm
*Price*: 0 credits
We will issue your tickets on Evenbrite soon.
*Cancelation Policy*: 100% refund for cancelations 24h prior to event.</v>
      </c>
    </row>
    <row r="159" spans="1:13" ht="15.75" customHeight="1">
      <c r="A159" t="s">
        <v>77</v>
      </c>
      <c r="B159" s="46">
        <v>45502</v>
      </c>
      <c r="C159" s="45" t="s">
        <v>32</v>
      </c>
      <c r="D159" s="30">
        <v>39</v>
      </c>
      <c r="F159" s="26" t="str">
        <f>IFERROR(VLOOKUP(D159,Sessions!A:G,2,FALSE),"")</f>
        <v>Visiting the Fragile Beauty exhibition at V&amp;A</v>
      </c>
      <c r="G159" s="27">
        <f>IFERROR(VLOOKUP(D159,Sessions!A:G,3,FALSE),"")</f>
        <v>45522</v>
      </c>
      <c r="H159" s="26" t="str">
        <f>IFERROR(VLOOKUP(D159,Sessions!A:G,4,FALSE),"")</f>
        <v>1:30pm</v>
      </c>
      <c r="I159" s="38">
        <f>IFERROR(VLOOKUP(D159,Sessions!A:G,5,FALSE),"")</f>
        <v>0</v>
      </c>
      <c r="J159" s="38">
        <f>IFERROR(VLOOKUP(D159,Sessions!A:G,6,FALSE),"")</f>
        <v>22</v>
      </c>
      <c r="K159" s="40">
        <v>0</v>
      </c>
      <c r="L159" s="40" t="s">
        <v>3</v>
      </c>
      <c r="M159" s="42" t="str">
        <f>"It's all set! 🎉 Here is a summary of your order:
*Number of Tickets*: 1
*Experience*: "&amp;F159&amp;"
*Date*: "&amp;TEXT(G159,"dd/mm/yy")&amp;"
*Time*: "&amp;H159&amp;"
*Price*: "&amp;K159&amp;" "&amp;L159&amp;"
We will issue your tickets on Eventbrite soon.
*Cancellation Policy*: 100% refund for cancellations 24h prior to event."</f>
        <v>It's all set! 🎉 Here is a summary of your order:
*Number of Tickets*: 1
*Experience*: Visiting the Fragile Beauty exhibition at V&amp;A
*Date*: 18/08/24
*Time*: 1:30pm
*Price*: 0 credits
We will issue your tickets on Eventbrite soon.
*Cancellation Policy*: 100% refund for cancellations 24h prior to event.</v>
      </c>
    </row>
    <row r="160" spans="1:13" ht="15.75" customHeight="1">
      <c r="B160" s="46">
        <v>45503</v>
      </c>
      <c r="C160" s="45" t="s">
        <v>18</v>
      </c>
      <c r="D160" s="30">
        <v>39</v>
      </c>
      <c r="F160" s="26" t="str">
        <f>IFERROR(VLOOKUP(D160,Sessions!A:G,2,FALSE),"")</f>
        <v>Visiting the Fragile Beauty exhibition at V&amp;A</v>
      </c>
      <c r="G160" s="27">
        <f>IFERROR(VLOOKUP(D160,Sessions!A:G,3,FALSE),"")</f>
        <v>45522</v>
      </c>
      <c r="H160" s="26" t="str">
        <f>IFERROR(VLOOKUP(D160,Sessions!A:G,4,FALSE),"")</f>
        <v>1:30pm</v>
      </c>
      <c r="I160" s="38">
        <f>IFERROR(VLOOKUP(D160,Sessions!A:G,5,FALSE),"")</f>
        <v>0</v>
      </c>
      <c r="J160" s="38">
        <f>IFERROR(VLOOKUP(D160,Sessions!A:G,6,FALSE),"")</f>
        <v>22</v>
      </c>
      <c r="K160" s="40">
        <v>0</v>
      </c>
      <c r="L160" s="40" t="s">
        <v>3</v>
      </c>
      <c r="M160" s="42" t="str">
        <f>"It's all set! 🎉 Here is a summary of your order:
*Number of Tickets*: 1
*Experience*: "&amp;F160&amp;"
*Date*: "&amp;TEXT(G160,"dd/mm/yy")&amp;"
*Time*: "&amp;H160&amp;"
*Price*: "&amp;K160&amp;" "&amp;L160&amp;"
We will issue your tickets on Eventbrite soon.
*Cancellation Policy*: 100% refund for cancellations 24h prior to event."</f>
        <v>It's all set! 🎉 Here is a summary of your order:
*Number of Tickets*: 1
*Experience*: Visiting the Fragile Beauty exhibition at V&amp;A
*Date*: 18/08/24
*Time*: 1:30pm
*Price*: 0 credits
We will issue your tickets on Eventbrite soon.
*Cancellation Policy*: 100% refund for cancellations 24h prior to event.</v>
      </c>
    </row>
    <row r="161" spans="1:13" ht="15.75" customHeight="1">
      <c r="B161" s="46">
        <v>45504</v>
      </c>
      <c r="C161" s="45" t="s">
        <v>22</v>
      </c>
      <c r="D161" s="30">
        <v>39</v>
      </c>
      <c r="F161" s="26" t="str">
        <f>IFERROR(VLOOKUP(D161,Sessions!A:G,2,FALSE),"")</f>
        <v>Visiting the Fragile Beauty exhibition at V&amp;A</v>
      </c>
      <c r="G161" s="27">
        <f>IFERROR(VLOOKUP(D161,Sessions!A:G,3,FALSE),"")</f>
        <v>45522</v>
      </c>
      <c r="H161" s="26" t="str">
        <f>IFERROR(VLOOKUP(D161,Sessions!A:G,4,FALSE),"")</f>
        <v>1:30pm</v>
      </c>
      <c r="I161" s="38">
        <f>IFERROR(VLOOKUP(D161,Sessions!A:G,5,FALSE),"")</f>
        <v>0</v>
      </c>
      <c r="J161" s="38">
        <f>IFERROR(VLOOKUP(D161,Sessions!A:G,6,FALSE),"")</f>
        <v>22</v>
      </c>
      <c r="K161" s="40">
        <v>0</v>
      </c>
      <c r="L161" s="40" t="s">
        <v>3</v>
      </c>
      <c r="M161" s="42" t="str">
        <f>"It's all set! 🎉 Here is a summary of your order:
*Number of Tickets*: 1
*Experience*: "&amp;F161&amp;"
*Date*: "&amp;TEXT(G161,"dd/mm/yy")&amp;"
*Time*: "&amp;H161&amp;"
*Price*: "&amp;K161&amp;" "&amp;L161&amp;"
We will issue your tickets on Eventbrite soon.
*Cancellation Policy*: 100% refund for cancellations 24h prior to event."</f>
        <v>It's all set! 🎉 Here is a summary of your order:
*Number of Tickets*: 1
*Experience*: Visiting the Fragile Beauty exhibition at V&amp;A
*Date*: 18/08/24
*Time*: 1:30pm
*Price*: 0 credits
We will issue your tickets on Eventbrite soon.
*Cancellation Policy*: 100% refund for cancellations 24h prior to event.</v>
      </c>
    </row>
    <row r="162" spans="1:13" ht="15.75" customHeight="1">
      <c r="B162" s="46">
        <v>45505</v>
      </c>
      <c r="C162" s="45" t="s">
        <v>30</v>
      </c>
      <c r="D162" s="30">
        <v>39</v>
      </c>
      <c r="F162" s="26" t="str">
        <f>IFERROR(VLOOKUP(D162,Sessions!A:G,2,FALSE),"")</f>
        <v>Visiting the Fragile Beauty exhibition at V&amp;A</v>
      </c>
      <c r="G162" s="27">
        <f>IFERROR(VLOOKUP(D162,Sessions!A:G,3,FALSE),"")</f>
        <v>45522</v>
      </c>
      <c r="H162" s="26" t="str">
        <f>IFERROR(VLOOKUP(D162,Sessions!A:G,4,FALSE),"")</f>
        <v>1:30pm</v>
      </c>
      <c r="I162" s="38">
        <f>IFERROR(VLOOKUP(D162,Sessions!A:G,5,FALSE),"")</f>
        <v>0</v>
      </c>
      <c r="J162" s="38">
        <f>IFERROR(VLOOKUP(D162,Sessions!A:G,6,FALSE),"")</f>
        <v>22</v>
      </c>
      <c r="K162" s="40">
        <v>0</v>
      </c>
      <c r="L162" s="40" t="s">
        <v>3</v>
      </c>
      <c r="M162" s="42" t="str">
        <f>"It's all set! 🎉 Here is a summary of your order:
*Number of Tickets*: 1
*Experience*: "&amp;F162&amp;"
*Date*: "&amp;TEXT(G162,"dd/mm/yy")&amp;"
*Time*: "&amp;H162&amp;"
*Price*: "&amp;K162&amp;" "&amp;L162&amp;"
We will issue your tickets on Eventbrite soon.
*Cancellation Policy*: 100% refund for cancellations 24h prior to event."</f>
        <v>It's all set! 🎉 Here is a summary of your order:
*Number of Tickets*: 1
*Experience*: Visiting the Fragile Beauty exhibition at V&amp;A
*Date*: 18/08/24
*Time*: 1:30pm
*Price*: 0 credits
We will issue your tickets on Eventbrite soon.
*Cancellation Policy*: 100% refund for cancellations 24h prior to event.</v>
      </c>
    </row>
    <row r="163" spans="1:13" ht="15.75" customHeight="1">
      <c r="A163" t="s">
        <v>78</v>
      </c>
      <c r="B163" s="46">
        <v>45447</v>
      </c>
      <c r="C163" s="45" t="s">
        <v>18</v>
      </c>
      <c r="D163" s="61">
        <v>27</v>
      </c>
      <c r="F163" s="26" t="str">
        <f>IFERROR(VLOOKUP(D163,Sessions!A:G,2,FALSE),"")</f>
        <v>William Morris Gallery</v>
      </c>
      <c r="G163" s="27">
        <f>IFERROR(VLOOKUP(D163,Sessions!A:G,3,FALSE),"")</f>
        <v>45466</v>
      </c>
      <c r="H163" s="26" t="str">
        <f>IFERROR(VLOOKUP(D163,Sessions!A:G,4,FALSE),"")</f>
        <v>2:00pm</v>
      </c>
      <c r="I163" s="38">
        <f>IFERROR(VLOOKUP(D163,Sessions!A:G,5,FALSE),"")</f>
        <v>6</v>
      </c>
      <c r="J163" s="38">
        <f>IFERROR(VLOOKUP(D163,Sessions!A:G,6,FALSE),"")</f>
        <v>15</v>
      </c>
      <c r="K163" s="40">
        <v>6</v>
      </c>
      <c r="L163" s="40" t="s">
        <v>3</v>
      </c>
      <c r="M163" s="42" t="str">
        <f>"It's all set! 🎉 Here is a summary of your order:
*Number of Tickets*: 1
*Experience*: "&amp;F163&amp;"
*Date*: "&amp;TEXT(G163,"dd/mm/yy")&amp;"
*Time*: "&amp;H163&amp;"
*Price*: "&amp;K163&amp;" "&amp;L163&amp;"
We will issue your tickets on Evenbrite soon.
*Cancelation Policy*: 100% refund for cancelations 24h prior to event."</f>
        <v>It's all set! 🎉 Here is a summary of your order:
*Number of Tickets*: 1
*Experience*: William Morris Gallery
*Date*: 23/06/24
*Time*: 2:00pm
*Price*: 6 credits
We will issue your tickets on Evenbrite soon.
*Cancelation Policy*: 100% refund for cancelations 24h prior to event.</v>
      </c>
    </row>
    <row r="164" spans="1:13" ht="15.75" customHeight="1">
      <c r="B164" s="46">
        <v>45447</v>
      </c>
      <c r="C164" s="45" t="s">
        <v>25</v>
      </c>
      <c r="D164" s="30">
        <v>27</v>
      </c>
      <c r="E164" s="87" t="s">
        <v>88</v>
      </c>
      <c r="F164" s="26" t="str">
        <f>IFERROR(VLOOKUP(D164,Sessions!A:G,2,FALSE),"")</f>
        <v>William Morris Gallery</v>
      </c>
      <c r="G164" s="27">
        <f>IFERROR(VLOOKUP(D164,Sessions!A:G,3,FALSE),"")</f>
        <v>45466</v>
      </c>
      <c r="H164" s="26" t="str">
        <f>IFERROR(VLOOKUP(D164,Sessions!A:G,4,FALSE),"")</f>
        <v>2:00pm</v>
      </c>
      <c r="I164" s="38">
        <f>IFERROR(VLOOKUP(D164,Sessions!A:G,5,FALSE),"")</f>
        <v>6</v>
      </c>
      <c r="J164" s="38">
        <f>IFERROR(VLOOKUP(D164,Sessions!A:G,6,FALSE),"")</f>
        <v>15</v>
      </c>
      <c r="K164" s="40">
        <v>6</v>
      </c>
      <c r="L164" s="40" t="s">
        <v>3</v>
      </c>
      <c r="M164" s="42" t="str">
        <f>"It's all set! 🎉 Here is a summary of your order:
*Number of Tickets*: 1
*Experience*: "&amp;F164&amp;"
*Date*: "&amp;TEXT(G164,"dd/mm/yy")&amp;"
*Time*: "&amp;H164&amp;"
*Price*: "&amp;K164&amp;" "&amp;L164&amp;"
We will issue your tickets on Evenbrite soon.
*Cancelation Policy*: 100% refund for cancelations 24h prior to event."</f>
        <v>It's all set! 🎉 Here is a summary of your order:
*Number of Tickets*: 1
*Experience*: William Morris Gallery
*Date*: 23/06/24
*Time*: 2:00pm
*Price*: 6 credits
We will issue your tickets on Evenbrite soon.
*Cancelation Policy*: 100% refund for cancelations 24h prior to event.</v>
      </c>
    </row>
    <row r="165" spans="1:13" ht="15.75" customHeight="1">
      <c r="B165" s="46">
        <v>45454</v>
      </c>
      <c r="C165" s="45" t="s">
        <v>20</v>
      </c>
      <c r="D165" s="30">
        <v>27</v>
      </c>
      <c r="F165" s="26" t="str">
        <f>IFERROR(VLOOKUP(D165,Sessions!A:G,2,FALSE),"")</f>
        <v>William Morris Gallery</v>
      </c>
      <c r="G165" s="27">
        <f>IFERROR(VLOOKUP(D165,Sessions!A:G,3,FALSE),"")</f>
        <v>45466</v>
      </c>
      <c r="H165" s="26" t="str">
        <f>IFERROR(VLOOKUP(D165,Sessions!A:G,4,FALSE),"")</f>
        <v>2:00pm</v>
      </c>
      <c r="I165" s="38">
        <f>IFERROR(VLOOKUP(D165,Sessions!A:G,5,FALSE),"")</f>
        <v>6</v>
      </c>
      <c r="J165" s="38">
        <f>IFERROR(VLOOKUP(D165,Sessions!A:G,6,FALSE),"")</f>
        <v>15</v>
      </c>
      <c r="K165" s="40">
        <v>6</v>
      </c>
      <c r="L165" s="40" t="s">
        <v>3</v>
      </c>
      <c r="M165" s="42" t="str">
        <f>"It's all set! 🎉 Here is a summary of your order:
*Number of Tickets*: 1
*Experience*: "&amp;F165&amp;"
*Date*: "&amp;TEXT(G165,"dd/mm/yy")&amp;"
*Time*: "&amp;H165&amp;"
*Price*: "&amp;K165&amp;" "&amp;L165&amp;"
We will issue your tickets on Evenbrite soon.
*Cancelation Policy*: 100% refund for cancelations 24h prior to event."</f>
        <v>It's all set! 🎉 Here is a summary of your order:
*Number of Tickets*: 1
*Experience*: William Morris Gallery
*Date*: 23/06/24
*Time*: 2:00pm
*Price*: 6 credits
We will issue your tickets on Evenbrite soon.
*Cancelation Policy*: 100% refund for cancelations 24h prior to event.</v>
      </c>
    </row>
    <row r="166" spans="1:13" ht="15.75" customHeight="1">
      <c r="B166" s="46">
        <v>45454</v>
      </c>
      <c r="C166" s="45" t="s">
        <v>19</v>
      </c>
      <c r="D166" s="30">
        <v>27</v>
      </c>
      <c r="F166" s="26" t="str">
        <f>IFERROR(VLOOKUP(D166,Sessions!A:G,2,FALSE),"")</f>
        <v>William Morris Gallery</v>
      </c>
      <c r="G166" s="27">
        <f>IFERROR(VLOOKUP(D166,Sessions!A:G,3,FALSE),"")</f>
        <v>45466</v>
      </c>
      <c r="H166" s="26" t="str">
        <f>IFERROR(VLOOKUP(D166,Sessions!A:G,4,FALSE),"")</f>
        <v>2:00pm</v>
      </c>
      <c r="I166" s="38">
        <f>IFERROR(VLOOKUP(D166,Sessions!A:G,5,FALSE),"")</f>
        <v>6</v>
      </c>
      <c r="J166" s="38">
        <f>IFERROR(VLOOKUP(D166,Sessions!A:G,6,FALSE),"")</f>
        <v>15</v>
      </c>
      <c r="K166" s="40">
        <v>6</v>
      </c>
      <c r="L166" s="40" t="s">
        <v>3</v>
      </c>
      <c r="M166" s="42" t="str">
        <f>"It's all set! 🎉 Here is a summary of your order:
*Number of Tickets*: 1
*Experience*: "&amp;F166&amp;"
*Date*: "&amp;TEXT(G166,"dd/mm/yy")&amp;"
*Time*: "&amp;H166&amp;"
*Price*: "&amp;K166&amp;" "&amp;L166&amp;"
We will issue your tickets on Evenbrite soon.
*Cancelation Policy*: 100% refund for cancelations 24h prior to event."</f>
        <v>It's all set! 🎉 Here is a summary of your order:
*Number of Tickets*: 1
*Experience*: William Morris Gallery
*Date*: 23/06/24
*Time*: 2:00pm
*Price*: 6 credits
We will issue your tickets on Evenbrite soon.
*Cancelation Policy*: 100% refund for cancelations 24h prior to event.</v>
      </c>
    </row>
    <row r="167" spans="1:13" ht="15.75" customHeight="1">
      <c r="B167" s="46">
        <v>45461</v>
      </c>
      <c r="C167" s="45" t="s">
        <v>30</v>
      </c>
      <c r="D167" s="30">
        <v>27</v>
      </c>
      <c r="F167" s="26" t="str">
        <f>IFERROR(VLOOKUP(D167,Sessions!A:G,2,FALSE),"")</f>
        <v>William Morris Gallery</v>
      </c>
      <c r="G167" s="27">
        <f>IFERROR(VLOOKUP(D167,Sessions!A:G,3,FALSE),"")</f>
        <v>45466</v>
      </c>
      <c r="H167" s="26" t="str">
        <f>IFERROR(VLOOKUP(D167,Sessions!A:G,4,FALSE),"")</f>
        <v>2:00pm</v>
      </c>
      <c r="I167" s="38">
        <f>IFERROR(VLOOKUP(D167,Sessions!A:G,5,FALSE),"")</f>
        <v>6</v>
      </c>
      <c r="J167" s="38">
        <f>IFERROR(VLOOKUP(D167,Sessions!A:G,6,FALSE),"")</f>
        <v>15</v>
      </c>
      <c r="K167" s="40">
        <v>6</v>
      </c>
      <c r="L167" s="40" t="s">
        <v>3</v>
      </c>
      <c r="M167" s="42" t="str">
        <f>"It's all set! 🎉 Here is a summary of your order:
*Number of Tickets*: 1
*Experience*: "&amp;F167&amp;"
*Date*: "&amp;TEXT(G167,"dd/mm/yy")&amp;"
*Time*: "&amp;H167&amp;"
*Price*: "&amp;K167&amp;" "&amp;L167&amp;"
We will issue your tickets on Evenbrite soon.
*Cancelation Policy*: 100% refund for cancelations 24h prior to event."</f>
        <v>It's all set! 🎉 Here is a summary of your order:
*Number of Tickets*: 1
*Experience*: William Morris Gallery
*Date*: 23/06/24
*Time*: 2:00pm
*Price*: 6 credits
We will issue your tickets on Evenbrite soon.
*Cancelation Policy*: 100% refund for cancelations 24h prior to event.</v>
      </c>
    </row>
    <row r="168" spans="1:13" ht="15.75" customHeight="1">
      <c r="B168" s="46">
        <v>45481</v>
      </c>
      <c r="C168" s="45" t="s">
        <v>20</v>
      </c>
      <c r="D168" s="30">
        <v>36</v>
      </c>
      <c r="F168" s="26" t="str">
        <f>IFERROR(VLOOKUP(D168,Sessions!A:G,2,FALSE),"")</f>
        <v>William Morris Series: Red House visit</v>
      </c>
      <c r="G168" s="27">
        <f>IFERROR(VLOOKUP(D168,Sessions!A:G,3,FALSE),"")</f>
        <v>45514</v>
      </c>
      <c r="H168" s="26" t="str">
        <f>IFERROR(VLOOKUP(D168,Sessions!A:G,4,FALSE),"")</f>
        <v>1:30pm</v>
      </c>
      <c r="I168" s="38">
        <f>IFERROR(VLOOKUP(D168,Sessions!A:G,5,FALSE),"")</f>
        <v>6</v>
      </c>
      <c r="J168" s="38">
        <f>IFERROR(VLOOKUP(D168,Sessions!A:G,6,FALSE),"")</f>
        <v>17</v>
      </c>
      <c r="K168" s="40">
        <v>6</v>
      </c>
      <c r="L168" s="40" t="s">
        <v>3</v>
      </c>
      <c r="M168" s="42" t="str">
        <f>"It's all set! 🎉 Here is a summary of your order:
*Number of Tickets*: 1
*Experience*: "&amp;F168&amp;"
*Date*: "&amp;TEXT(G168,"dd/mm/yy")&amp;"
*Time*: "&amp;H168&amp;"
*Price*: "&amp;K168&amp;" "&amp;L168&amp;"
We will issue your tickets on Eventbrite soon.
*Cancellation Policy*: 100% refund for cancellations 24h prior to event."</f>
        <v>It's all set! 🎉 Here is a summary of your order:
*Number of Tickets*: 1
*Experience*: William Morris Series: Red House visit
*Date*: 10/08/24
*Time*: 1:30pm
*Price*: 6 credits
We will issue your tickets on Eventbrite soon.
*Cancellation Policy*: 100% refund for cancellations 24h prior to event.</v>
      </c>
    </row>
    <row r="169" spans="1:13" ht="15.75" customHeight="1">
      <c r="B169" s="46">
        <v>45508</v>
      </c>
      <c r="C169" s="45" t="s">
        <v>30</v>
      </c>
      <c r="D169" s="30">
        <v>36</v>
      </c>
      <c r="F169" s="26" t="str">
        <f>IFERROR(VLOOKUP(D169,Sessions!A:G,2,FALSE),"")</f>
        <v>William Morris Series: Red House visit</v>
      </c>
      <c r="G169" s="27">
        <f>IFERROR(VLOOKUP(D169,Sessions!A:G,3,FALSE),"")</f>
        <v>45514</v>
      </c>
      <c r="H169" s="26" t="str">
        <f>IFERROR(VLOOKUP(D169,Sessions!A:G,4,FALSE),"")</f>
        <v>1:30pm</v>
      </c>
      <c r="I169" s="38">
        <f>IFERROR(VLOOKUP(D169,Sessions!A:G,5,FALSE),"")</f>
        <v>6</v>
      </c>
      <c r="J169" s="38">
        <f>IFERROR(VLOOKUP(D169,Sessions!A:G,6,FALSE),"")</f>
        <v>17</v>
      </c>
      <c r="K169" s="40">
        <v>6</v>
      </c>
      <c r="L169" s="40" t="s">
        <v>3</v>
      </c>
      <c r="M169" s="42" t="str">
        <f>"It's all set! 🎉 Here is a summary of your order:
*Number of Tickets*: 1
*Experience*: "&amp;F169&amp;"
*Date*: "&amp;TEXT(G169,"dd/mm/yy")&amp;"
*Time*: "&amp;H169&amp;"
*Price*: "&amp;K169&amp;" "&amp;L169&amp;"
We will issue your tickets on Eventbrite soon.
*Cancellation Policy*: 100% refund for cancellations 24h prior to event."</f>
        <v>It's all set! 🎉 Here is a summary of your order:
*Number of Tickets*: 1
*Experience*: William Morris Series: Red House visit
*Date*: 10/08/24
*Time*: 1:30pm
*Price*: 6 credits
We will issue your tickets on Eventbrite soon.
*Cancellation Policy*: 100% refund for cancellations 24h prior to event.</v>
      </c>
    </row>
    <row r="170" spans="1:13" ht="15.75" customHeight="1">
      <c r="B170" s="46">
        <v>45508</v>
      </c>
      <c r="C170" s="45" t="s">
        <v>18</v>
      </c>
      <c r="D170" s="30">
        <v>36</v>
      </c>
      <c r="F170" s="26" t="str">
        <f>IFERROR(VLOOKUP(D170,Sessions!A:G,2,FALSE),"")</f>
        <v>William Morris Series: Red House visit</v>
      </c>
      <c r="G170" s="27">
        <f>IFERROR(VLOOKUP(D170,Sessions!A:G,3,FALSE),"")</f>
        <v>45514</v>
      </c>
      <c r="H170" s="26" t="str">
        <f>IFERROR(VLOOKUP(D170,Sessions!A:G,4,FALSE),"")</f>
        <v>1:30pm</v>
      </c>
      <c r="I170" s="38">
        <f>IFERROR(VLOOKUP(D170,Sessions!A:G,5,FALSE),"")</f>
        <v>6</v>
      </c>
      <c r="J170" s="38">
        <f>IFERROR(VLOOKUP(D170,Sessions!A:G,6,FALSE),"")</f>
        <v>17</v>
      </c>
      <c r="K170" s="40">
        <v>6</v>
      </c>
      <c r="L170" s="40" t="s">
        <v>3</v>
      </c>
      <c r="M170" s="42" t="str">
        <f>"It's all set! 🎉 Here is a summary of your order:
*Number of Tickets*: 1
*Experience*: "&amp;F170&amp;"
*Date*: "&amp;TEXT(G170,"dd/mm/yy")&amp;"
*Time*: "&amp;H170&amp;"
*Price*: "&amp;K170&amp;" "&amp;L170&amp;"
We will issue your tickets on Eventbrite soon.
*Cancellation Policy*: 100% refund for cancellations 24h prior to event."</f>
        <v>It's all set! 🎉 Here is a summary of your order:
*Number of Tickets*: 1
*Experience*: William Morris Series: Red House visit
*Date*: 10/08/24
*Time*: 1:30pm
*Price*: 6 credits
We will issue your tickets on Eventbrite soon.
*Cancellation Policy*: 100% refund for cancellations 24h prior to event.</v>
      </c>
    </row>
    <row r="171" spans="1:13" ht="15.75" customHeight="1">
      <c r="B171" s="46">
        <v>45516</v>
      </c>
      <c r="C171" s="45" t="s">
        <v>36</v>
      </c>
      <c r="D171" s="30">
        <v>42</v>
      </c>
      <c r="F171" s="26" t="str">
        <f>IFERROR(VLOOKUP(D171,Sessions!A:G,2,FALSE),"")</f>
        <v>Scavenger Hunt at the National Gallery</v>
      </c>
      <c r="G171" s="27">
        <f>IFERROR(VLOOKUP(D171,Sessions!A:G,3,FALSE),"")</f>
        <v>45520</v>
      </c>
      <c r="H171" s="26" t="str">
        <f>IFERROR(VLOOKUP(D171,Sessions!A:G,4,FALSE),"")</f>
        <v>6:00pm</v>
      </c>
      <c r="I171" s="38">
        <f>IFERROR(VLOOKUP(D171,Sessions!A:G,5,FALSE),"")</f>
        <v>2</v>
      </c>
      <c r="J171" s="38">
        <f>IFERROR(VLOOKUP(D171,Sessions!A:G,6,FALSE),"")</f>
        <v>5</v>
      </c>
      <c r="K171" s="40">
        <v>2</v>
      </c>
      <c r="L171" s="40" t="s">
        <v>3</v>
      </c>
      <c r="M171" s="42" t="str">
        <f t="shared" ref="M171:M179" si="7">"It's all set! 🎉 Here is a summary of your order:
*Number of Tickets*: 1
*Experience*: "&amp;F171&amp;"
*Date*: "&amp;TEXT(G171,"dd/mm/yy")&amp;"
*Time*: "&amp;H171&amp;"
*Price*: "&amp;K171&amp;" "&amp;L171&amp;"
We will issue your tickets on Eventbrite soon.
*Cancellation Policy*: 100% refund for cancellations 24h prior to event."</f>
        <v>It's all set! 🎉 Here is a summary of your order:
*Number of Tickets*: 1
*Experience*: Scavenger Hunt at the National Gallery
*Date*: 16/08/24
*Time*: 6:00pm
*Price*: 2 credits
We will issue your tickets on Eventbrite soon.
*Cancellation Policy*: 100% refund for cancellations 24h prior to event.</v>
      </c>
    </row>
    <row r="172" spans="1:13" ht="15.75" customHeight="1">
      <c r="B172" s="46">
        <v>45519</v>
      </c>
      <c r="C172" s="45" t="s">
        <v>18</v>
      </c>
      <c r="D172" s="30">
        <v>43</v>
      </c>
      <c r="F172" s="26" t="str">
        <f>IFERROR(VLOOKUP(D172,Sessions!A:G,2,FALSE),"")</f>
        <v xml:space="preserve"> Tavares Strachan Exhibition at the Hayward Gallery</v>
      </c>
      <c r="G172" s="27">
        <f>IFERROR(VLOOKUP(D172,Sessions!A:G,3,FALSE),"")</f>
        <v>45536</v>
      </c>
      <c r="H172" s="26" t="str">
        <f>IFERROR(VLOOKUP(D172,Sessions!A:G,4,FALSE),"")</f>
        <v>2:00pm</v>
      </c>
      <c r="I172" s="38">
        <f>IFERROR(VLOOKUP(D172,Sessions!A:G,5,FALSE),"")</f>
        <v>8</v>
      </c>
      <c r="J172" s="38">
        <f>IFERROR(VLOOKUP(D172,Sessions!A:G,6,FALSE),"")</f>
        <v>22</v>
      </c>
      <c r="K172" s="40">
        <v>8</v>
      </c>
      <c r="L172" s="40" t="s">
        <v>3</v>
      </c>
      <c r="M172" s="42" t="str">
        <f t="shared" si="7"/>
        <v>It's all set! 🎉 Here is a summary of your order:
*Number of Tickets*: 1
*Experience*:  Tavares Strachan Exhibition at the Hayward Gallery
*Date*: 01/09/24
*Time*: 2:00pm
*Price*: 8 credits
We will issue your tickets on Eventbrite soon.
*Cancellation Policy*: 100% refund for cancellations 24h prior to event.</v>
      </c>
    </row>
    <row r="173" spans="1:13" ht="15.75" customHeight="1">
      <c r="B173" s="46">
        <v>45524</v>
      </c>
      <c r="C173" s="45" t="s">
        <v>28</v>
      </c>
      <c r="D173" s="30">
        <v>43</v>
      </c>
      <c r="F173" s="26" t="str">
        <f>IFERROR(VLOOKUP(D173,Sessions!A:G,2,FALSE),"")</f>
        <v xml:space="preserve"> Tavares Strachan Exhibition at the Hayward Gallery</v>
      </c>
      <c r="G173" s="27">
        <f>IFERROR(VLOOKUP(D173,Sessions!A:G,3,FALSE),"")</f>
        <v>45536</v>
      </c>
      <c r="H173" s="26" t="str">
        <f>IFERROR(VLOOKUP(D173,Sessions!A:G,4,FALSE),"")</f>
        <v>2:00pm</v>
      </c>
      <c r="I173" s="38">
        <f>IFERROR(VLOOKUP(D173,Sessions!A:G,5,FALSE),"")</f>
        <v>8</v>
      </c>
      <c r="J173" s="38">
        <f>IFERROR(VLOOKUP(D173,Sessions!A:G,6,FALSE),"")</f>
        <v>22</v>
      </c>
      <c r="K173" s="40">
        <v>8</v>
      </c>
      <c r="L173" s="40" t="s">
        <v>3</v>
      </c>
      <c r="M173" s="42" t="str">
        <f t="shared" si="7"/>
        <v>It's all set! 🎉 Here is a summary of your order:
*Number of Tickets*: 1
*Experience*:  Tavares Strachan Exhibition at the Hayward Gallery
*Date*: 01/09/24
*Time*: 2:00pm
*Price*: 8 credits
We will issue your tickets on Eventbrite soon.
*Cancellation Policy*: 100% refund for cancellations 24h prior to event.</v>
      </c>
    </row>
    <row r="174" spans="1:13" ht="15.75" customHeight="1">
      <c r="B174" s="46">
        <v>45524</v>
      </c>
      <c r="C174" s="45" t="s">
        <v>36</v>
      </c>
      <c r="D174" s="30">
        <v>44</v>
      </c>
      <c r="F174" s="26" t="str">
        <f>IFERROR(VLOOKUP(D174,Sessions!A:G,2,FALSE),"")</f>
        <v>Exclusive After-Hours Tour of Sir John Soane's Museum</v>
      </c>
      <c r="G174" s="27">
        <f>IFERROR(VLOOKUP(D174,Sessions!A:G,3,FALSE),"")</f>
        <v>45535</v>
      </c>
      <c r="H174" s="26" t="str">
        <f>IFERROR(VLOOKUP(D174,Sessions!A:G,4,FALSE),"")</f>
        <v>5:15pm</v>
      </c>
      <c r="I174" s="38">
        <f>IFERROR(VLOOKUP(D174,Sessions!A:G,5,FALSE),"")</f>
        <v>10</v>
      </c>
      <c r="J174" s="38">
        <f>IFERROR(VLOOKUP(D174,Sessions!A:G,6,FALSE),"")</f>
        <v>25</v>
      </c>
      <c r="K174" s="58">
        <v>10</v>
      </c>
      <c r="L174" s="40" t="s">
        <v>3</v>
      </c>
      <c r="M174" s="42" t="str">
        <f t="shared" si="7"/>
        <v>It's all set! 🎉 Here is a summary of your order:
*Number of Tickets*: 1
*Experience*: Exclusive After-Hours Tour of Sir John Soane's Museum
*Date*: 31/08/24
*Time*: 5:15pm
*Price*: 10 credits
We will issue your tickets on Eventbrite soon.
*Cancellation Policy*: 100% refund for cancellations 24h prior to event.</v>
      </c>
    </row>
    <row r="175" spans="1:13" ht="15.75" customHeight="1">
      <c r="B175" s="46">
        <v>45524</v>
      </c>
      <c r="C175" s="45" t="s">
        <v>20</v>
      </c>
      <c r="D175" s="30">
        <v>44</v>
      </c>
      <c r="F175" s="26" t="str">
        <f>IFERROR(VLOOKUP(D175,Sessions!A:G,2,FALSE),"")</f>
        <v>Exclusive After-Hours Tour of Sir John Soane's Museum</v>
      </c>
      <c r="G175" s="27">
        <f>IFERROR(VLOOKUP(D175,Sessions!A:G,3,FALSE),"")</f>
        <v>45535</v>
      </c>
      <c r="H175" s="26" t="str">
        <f>IFERROR(VLOOKUP(D175,Sessions!A:G,4,FALSE),"")</f>
        <v>5:15pm</v>
      </c>
      <c r="I175" s="38">
        <f>IFERROR(VLOOKUP(D175,Sessions!A:G,5,FALSE),"")</f>
        <v>10</v>
      </c>
      <c r="J175" s="38">
        <f>IFERROR(VLOOKUP(D175,Sessions!A:G,6,FALSE),"")</f>
        <v>25</v>
      </c>
      <c r="K175" s="58">
        <v>10</v>
      </c>
      <c r="L175" s="40" t="s">
        <v>3</v>
      </c>
      <c r="M175" s="42" t="str">
        <f t="shared" si="7"/>
        <v>It's all set! 🎉 Here is a summary of your order:
*Number of Tickets*: 1
*Experience*: Exclusive After-Hours Tour of Sir John Soane's Museum
*Date*: 31/08/24
*Time*: 5:15pm
*Price*: 10 credits
We will issue your tickets on Eventbrite soon.
*Cancellation Policy*: 100% refund for cancellations 24h prior to event.</v>
      </c>
    </row>
    <row r="176" spans="1:13" ht="15.75" customHeight="1">
      <c r="B176" s="46">
        <v>45524</v>
      </c>
      <c r="C176" s="45" t="s">
        <v>25</v>
      </c>
      <c r="D176" s="30">
        <v>44</v>
      </c>
      <c r="F176" s="26" t="str">
        <f>IFERROR(VLOOKUP(D176,Sessions!A:G,2,FALSE),"")</f>
        <v>Exclusive After-Hours Tour of Sir John Soane's Museum</v>
      </c>
      <c r="G176" s="27">
        <f>IFERROR(VLOOKUP(D176,Sessions!A:G,3,FALSE),"")</f>
        <v>45535</v>
      </c>
      <c r="H176" s="26" t="str">
        <f>IFERROR(VLOOKUP(D176,Sessions!A:G,4,FALSE),"")</f>
        <v>5:15pm</v>
      </c>
      <c r="I176" s="38">
        <f>IFERROR(VLOOKUP(D176,Sessions!A:G,5,FALSE),"")</f>
        <v>10</v>
      </c>
      <c r="J176" s="38">
        <f>IFERROR(VLOOKUP(D176,Sessions!A:G,6,FALSE),"")</f>
        <v>25</v>
      </c>
      <c r="K176" s="58">
        <v>10</v>
      </c>
      <c r="L176" s="40" t="s">
        <v>3</v>
      </c>
      <c r="M176" s="42" t="str">
        <f t="shared" si="7"/>
        <v>It's all set! 🎉 Here is a summary of your order:
*Number of Tickets*: 1
*Experience*: Exclusive After-Hours Tour of Sir John Soane's Museum
*Date*: 31/08/24
*Time*: 5:15pm
*Price*: 10 credits
We will issue your tickets on Eventbrite soon.
*Cancellation Policy*: 100% refund for cancellations 24h prior to event.</v>
      </c>
    </row>
    <row r="177" spans="2:13" ht="15.75" customHeight="1">
      <c r="B177" s="46">
        <v>45524</v>
      </c>
      <c r="C177" s="45" t="s">
        <v>28</v>
      </c>
      <c r="D177" s="30">
        <v>44</v>
      </c>
      <c r="F177" s="26" t="str">
        <f>IFERROR(VLOOKUP(D177,Sessions!A:G,2,FALSE),"")</f>
        <v>Exclusive After-Hours Tour of Sir John Soane's Museum</v>
      </c>
      <c r="G177" s="27">
        <f>IFERROR(VLOOKUP(D177,Sessions!A:G,3,FALSE),"")</f>
        <v>45535</v>
      </c>
      <c r="H177" s="26" t="str">
        <f>IFERROR(VLOOKUP(D177,Sessions!A:G,4,FALSE),"")</f>
        <v>5:15pm</v>
      </c>
      <c r="I177" s="38">
        <f>IFERROR(VLOOKUP(D177,Sessions!A:G,5,FALSE),"")</f>
        <v>10</v>
      </c>
      <c r="J177" s="38">
        <f>IFERROR(VLOOKUP(D177,Sessions!A:G,6,FALSE),"")</f>
        <v>25</v>
      </c>
      <c r="K177" s="58">
        <v>10</v>
      </c>
      <c r="L177" s="40" t="s">
        <v>3</v>
      </c>
      <c r="M177" s="42" t="str">
        <f t="shared" si="7"/>
        <v>It's all set! 🎉 Here is a summary of your order:
*Number of Tickets*: 1
*Experience*: Exclusive After-Hours Tour of Sir John Soane's Museum
*Date*: 31/08/24
*Time*: 5:15pm
*Price*: 10 credits
We will issue your tickets on Eventbrite soon.
*Cancellation Policy*: 100% refund for cancellations 24h prior to event.</v>
      </c>
    </row>
    <row r="178" spans="2:13" ht="15.75" customHeight="1">
      <c r="B178" s="46">
        <v>45524</v>
      </c>
      <c r="C178" s="45" t="s">
        <v>60</v>
      </c>
      <c r="D178" s="30">
        <v>44</v>
      </c>
      <c r="F178" s="26" t="str">
        <f>IFERROR(VLOOKUP(D178,Sessions!A:G,2,FALSE),"")</f>
        <v>Exclusive After-Hours Tour of Sir John Soane's Museum</v>
      </c>
      <c r="G178" s="27">
        <f>IFERROR(VLOOKUP(D178,Sessions!A:G,3,FALSE),"")</f>
        <v>45535</v>
      </c>
      <c r="H178" s="26" t="str">
        <f>IFERROR(VLOOKUP(D178,Sessions!A:G,4,FALSE),"")</f>
        <v>5:15pm</v>
      </c>
      <c r="I178" s="38">
        <f>IFERROR(VLOOKUP(D178,Sessions!A:G,5,FALSE),"")</f>
        <v>10</v>
      </c>
      <c r="J178" s="38">
        <f>IFERROR(VLOOKUP(D178,Sessions!A:G,6,FALSE),"")</f>
        <v>25</v>
      </c>
      <c r="K178" s="58">
        <v>10</v>
      </c>
      <c r="L178" s="40" t="s">
        <v>3</v>
      </c>
      <c r="M178" s="42" t="str">
        <f t="shared" si="7"/>
        <v>It's all set! 🎉 Here is a summary of your order:
*Number of Tickets*: 1
*Experience*: Exclusive After-Hours Tour of Sir John Soane's Museum
*Date*: 31/08/24
*Time*: 5:15pm
*Price*: 10 credits
We will issue your tickets on Eventbrite soon.
*Cancellation Policy*: 100% refund for cancellations 24h prior to event.</v>
      </c>
    </row>
    <row r="179" spans="2:13" ht="15.75" customHeight="1">
      <c r="B179" s="46">
        <v>45524</v>
      </c>
      <c r="C179" s="45" t="s">
        <v>18</v>
      </c>
      <c r="D179" s="30">
        <v>44</v>
      </c>
      <c r="F179" s="26" t="str">
        <f>IFERROR(VLOOKUP(D179,Sessions!A:G,2,FALSE),"")</f>
        <v>Exclusive After-Hours Tour of Sir John Soane's Museum</v>
      </c>
      <c r="G179" s="27">
        <f>IFERROR(VLOOKUP(D179,Sessions!A:G,3,FALSE),"")</f>
        <v>45535</v>
      </c>
      <c r="H179" s="26" t="str">
        <f>IFERROR(VLOOKUP(D179,Sessions!A:G,4,FALSE),"")</f>
        <v>5:15pm</v>
      </c>
      <c r="I179" s="38">
        <f>IFERROR(VLOOKUP(D179,Sessions!A:G,5,FALSE),"")</f>
        <v>10</v>
      </c>
      <c r="J179" s="38">
        <f>IFERROR(VLOOKUP(D179,Sessions!A:G,6,FALSE),"")</f>
        <v>25</v>
      </c>
      <c r="K179" s="58">
        <v>10</v>
      </c>
      <c r="L179" s="40" t="s">
        <v>3</v>
      </c>
      <c r="M179" s="42" t="str">
        <f t="shared" si="7"/>
        <v>It's all set! 🎉 Here is a summary of your order:
*Number of Tickets*: 1
*Experience*: Exclusive After-Hours Tour of Sir John Soane's Museum
*Date*: 31/08/24
*Time*: 5:15pm
*Price*: 10 credits
We will issue your tickets on Eventbrite soon.
*Cancellation Policy*: 100% refund for cancellations 24h prior to event.</v>
      </c>
    </row>
    <row r="180" spans="2:13" ht="15.75" customHeight="1">
      <c r="B180" s="46">
        <v>45525</v>
      </c>
      <c r="C180" s="45" t="s">
        <v>18</v>
      </c>
      <c r="D180" s="30">
        <v>41</v>
      </c>
      <c r="F180" s="26" t="str">
        <f>IFERROR(VLOOKUP(D180,Sessions!A:G,2,FALSE),"")</f>
        <v>Garden Evening at Camden Arts Centre</v>
      </c>
      <c r="G180" s="27">
        <f>IFERROR(VLOOKUP(D180,Sessions!A:G,3,FALSE),"")</f>
        <v>45540</v>
      </c>
      <c r="H180" s="26" t="str">
        <f>IFERROR(VLOOKUP(D180,Sessions!A:G,4,FALSE),"")</f>
        <v>7:00pm</v>
      </c>
      <c r="I180" s="38">
        <f>IFERROR(VLOOKUP(D180,Sessions!A:G,5,FALSE),"")</f>
        <v>5</v>
      </c>
      <c r="J180" s="38">
        <f>IFERROR(VLOOKUP(D180,Sessions!A:G,6,FALSE),"")</f>
        <v>12</v>
      </c>
      <c r="K180" s="58">
        <v>5</v>
      </c>
      <c r="L180" s="40" t="s">
        <v>3</v>
      </c>
      <c r="M180" s="42" t="str">
        <f>"It's all set! 🎉 Here is a summary of your order:
*Number of Tickets*: 1
*Experience*: "&amp;F180&amp;"
*Date*: "&amp;TEXT(G180,"dd/mm/yy")&amp;"
*Time*: "&amp;H180&amp;"
*Price*: "&amp;K180&amp;" "&amp;L180&amp;"
Yu will receive a confirmation email soon.
*Cancellation Policy*: 100% refund for cancellations 24h prior to event."</f>
        <v>It's all set! 🎉 Here is a summary of your order:
*Number of Tickets*: 1
*Experience*: Garden Evening at Camden Arts Centre
*Date*: 05/09/24
*Time*: 7:00pm
*Price*: 5 credits
Yu will receive a confirmation email soon.
*Cancellation Policy*: 100% refund for cancellations 24h prior to event.</v>
      </c>
    </row>
    <row r="181" spans="2:13" ht="15.75" customHeight="1">
      <c r="B181" s="46">
        <v>45525</v>
      </c>
      <c r="C181" s="45" t="s">
        <v>23</v>
      </c>
      <c r="D181" s="30">
        <v>44</v>
      </c>
      <c r="F181" s="26" t="str">
        <f>IFERROR(VLOOKUP(D181,Sessions!A:G,2,FALSE),"")</f>
        <v>Exclusive After-Hours Tour of Sir John Soane's Museum</v>
      </c>
      <c r="G181" s="27">
        <f>IFERROR(VLOOKUP(D181,Sessions!A:G,3,FALSE),"")</f>
        <v>45535</v>
      </c>
      <c r="H181" s="26" t="str">
        <f>IFERROR(VLOOKUP(D181,Sessions!A:G,4,FALSE),"")</f>
        <v>5:15pm</v>
      </c>
      <c r="I181" s="38">
        <f>IFERROR(VLOOKUP(D181,Sessions!A:G,5,FALSE),"")</f>
        <v>10</v>
      </c>
      <c r="J181" s="38">
        <f>IFERROR(VLOOKUP(D181,Sessions!A:G,6,FALSE),"")</f>
        <v>25</v>
      </c>
      <c r="K181" s="58">
        <v>10</v>
      </c>
      <c r="L181" s="40" t="s">
        <v>3</v>
      </c>
      <c r="M181" s="42" t="str">
        <f>"It's all set! 🎉 Here is a summary of your order:
*Number of Tickets*: 1
*Experience*: "&amp;F181&amp;"
*Date*: "&amp;TEXT(G181,"dd/mm/yy")&amp;"
*Time*: "&amp;H181&amp;"
*Price*: "&amp;K181&amp;" "&amp;L181&amp;"
Yu will receive a confirmation email soon.
*Cancellation Policy*: 100% refund for cancellations 24h prior to event."</f>
        <v>It's all set! 🎉 Here is a summary of your order:
*Number of Tickets*: 1
*Experience*: Exclusive After-Hours Tour of Sir John Soane's Museum
*Date*: 31/08/24
*Time*: 5:15pm
*Price*: 10 credits
Yu will receive a confirmation email soon.
*Cancellation Policy*: 100% refund for cancellations 24h prior to event.</v>
      </c>
    </row>
    <row r="182" spans="2:13" ht="15.75" customHeight="1">
      <c r="F182" s="26" t="str">
        <f>IFERROR(VLOOKUP(D182,Sessions!A:G,2,FALSE),"")</f>
        <v/>
      </c>
      <c r="G182" s="27" t="str">
        <f>IFERROR(VLOOKUP(D182,Sessions!A:G,3,FALSE),"")</f>
        <v/>
      </c>
      <c r="H182" s="26" t="str">
        <f>IFERROR(VLOOKUP(D182,Sessions!A:G,4,FALSE),"")</f>
        <v/>
      </c>
      <c r="I182" s="38" t="str">
        <f>IFERROR(VLOOKUP(D182,Sessions!A:G,5,FALSE),"")</f>
        <v/>
      </c>
      <c r="J182" s="38" t="str">
        <f>IFERROR(VLOOKUP(D182,Sessions!A:G,6,FALSE),"")</f>
        <v/>
      </c>
      <c r="K182" s="58"/>
      <c r="L182" s="40" t="s">
        <v>3</v>
      </c>
      <c r="M182" s="42" t="str">
        <f>"It's all set! 🎉 Here is a summary of your order:
*Number of Tickets*: 1
*Experience*: "&amp;F182&amp;"
*Date*: "&amp;TEXT(G182,"dd/mm/yy")&amp;"
*Time*: "&amp;H182&amp;"
*Price*: "&amp;K182&amp;" "&amp;L182&amp;"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183" spans="2:13" ht="15.75" customHeight="1">
      <c r="F183" s="26" t="str">
        <f>IFERROR(VLOOKUP(D183,Sessions!A:G,2,FALSE),"")</f>
        <v/>
      </c>
      <c r="G183" s="27" t="str">
        <f>IFERROR(VLOOKUP(D183,Sessions!A:G,3,FALSE),"")</f>
        <v/>
      </c>
      <c r="H183" s="26" t="str">
        <f>IFERROR(VLOOKUP(D183,Sessions!A:G,4,FALSE),"")</f>
        <v/>
      </c>
      <c r="I183" s="38" t="str">
        <f>IFERROR(VLOOKUP(D183,Sessions!A:G,5,FALSE),"")</f>
        <v/>
      </c>
      <c r="J183" s="38" t="str">
        <f>IFERROR(VLOOKUP(D183,Sessions!A:G,6,FALSE),"")</f>
        <v/>
      </c>
      <c r="K183" s="58"/>
      <c r="L183" s="40" t="s">
        <v>3</v>
      </c>
      <c r="M183" s="42" t="str">
        <f>"It's all set! 🎉 Here is a summary of your order:
*Number of Tickets*: 1
*Experience*: "&amp;F183&amp;"
*Date*: "&amp;TEXT(G183,"dd/mm/yy")&amp;"
*Time*: "&amp;H183&amp;"
*Price*: "&amp;K183&amp;" "&amp;L183&amp;"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184" spans="2:13" ht="15.75" customHeight="1">
      <c r="F184" s="26" t="str">
        <f>IFERROR(VLOOKUP(D184,Sessions!A:G,2,FALSE),"")</f>
        <v/>
      </c>
      <c r="G184" s="27" t="str">
        <f>IFERROR(VLOOKUP(D184,Sessions!A:G,3,FALSE),"")</f>
        <v/>
      </c>
      <c r="H184" s="26" t="str">
        <f>IFERROR(VLOOKUP(D184,Sessions!A:G,4,FALSE),"")</f>
        <v/>
      </c>
      <c r="I184" s="38" t="str">
        <f>IFERROR(VLOOKUP(D184,Sessions!A:G,5,FALSE),"")</f>
        <v/>
      </c>
      <c r="J184" s="38" t="str">
        <f>IFERROR(VLOOKUP(D184,Sessions!A:G,6,FALSE),"")</f>
        <v/>
      </c>
      <c r="K184" s="58"/>
      <c r="L184" s="40" t="s">
        <v>3</v>
      </c>
      <c r="M184" s="42" t="str">
        <f>"It's all set! 🎉 Here is a summary of your order:
*Number of Tickets*: 1
*Experience*: "&amp;F184&amp;"
*Date*: "&amp;TEXT(G184,"dd/mm/yy")&amp;"
*Time*: "&amp;H184&amp;"
*Price*: "&amp;K184&amp;" "&amp;L184&amp;"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185" spans="2:13" ht="15.75" customHeight="1">
      <c r="F185" s="26" t="str">
        <f>IFERROR(VLOOKUP(D185,Sessions!A:G,2,FALSE),"")</f>
        <v/>
      </c>
      <c r="G185" s="27" t="str">
        <f>IFERROR(VLOOKUP(D185,Sessions!A:G,3,FALSE),"")</f>
        <v/>
      </c>
      <c r="H185" s="26" t="str">
        <f>IFERROR(VLOOKUP(D185,Sessions!A:G,4,FALSE),"")</f>
        <v/>
      </c>
      <c r="I185" s="38" t="str">
        <f>IFERROR(VLOOKUP(D185,Sessions!A:G,5,FALSE),"")</f>
        <v/>
      </c>
      <c r="J185" s="38" t="str">
        <f>IFERROR(VLOOKUP(D185,Sessions!A:G,6,FALSE),"")</f>
        <v/>
      </c>
      <c r="K185" s="58"/>
      <c r="L185" s="40" t="s">
        <v>3</v>
      </c>
      <c r="M185" s="42" t="str">
        <f>"It's all set! 🎉 Here is a summary of your order:
*Number of Tickets*: 1
*Experience*: "&amp;F185&amp;"
*Date*: "&amp;TEXT(G185,"dd/mm/yy")&amp;"
*Time*: "&amp;H185&amp;"
*Price*: "&amp;K185&amp;" "&amp;L185&amp;"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186" spans="2:13" ht="15.75" customHeight="1">
      <c r="F186" s="26" t="str">
        <f>IFERROR(VLOOKUP(D186,Sessions!A:G,2,FALSE),"")</f>
        <v/>
      </c>
      <c r="G186" s="27" t="str">
        <f>IFERROR(VLOOKUP(D186,Sessions!A:G,3,FALSE),"")</f>
        <v/>
      </c>
      <c r="H186" s="26" t="str">
        <f>IFERROR(VLOOKUP(D186,Sessions!A:G,4,FALSE),"")</f>
        <v/>
      </c>
      <c r="I186" s="38" t="str">
        <f>IFERROR(VLOOKUP(D186,Sessions!A:G,5,FALSE),"")</f>
        <v/>
      </c>
      <c r="J186" s="38" t="str">
        <f>IFERROR(VLOOKUP(D186,Sessions!A:G,6,FALSE),"")</f>
        <v/>
      </c>
      <c r="K186" s="58"/>
      <c r="L186" s="40" t="s">
        <v>3</v>
      </c>
      <c r="M186" s="42" t="str">
        <f>"It's all set! 🎉 Here is a summary of your order:
*Number of Tickets*: 1
*Experience*: "&amp;F186&amp;"
*Date*: "&amp;TEXT(G186,"dd/mm/yy")&amp;"
*Time*: "&amp;H186&amp;"
*Price*: "&amp;K186&amp;" "&amp;L186&amp;"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187" spans="2:13" ht="15.75" customHeight="1">
      <c r="F187" s="26" t="str">
        <f>IFERROR(VLOOKUP(D187,Sessions!A:G,2,FALSE),"")</f>
        <v/>
      </c>
      <c r="G187" s="27" t="str">
        <f>IFERROR(VLOOKUP(D187,Sessions!A:G,3,FALSE),"")</f>
        <v/>
      </c>
      <c r="H187" s="26" t="str">
        <f>IFERROR(VLOOKUP(D187,Sessions!A:G,4,FALSE),"")</f>
        <v/>
      </c>
      <c r="I187" s="38" t="str">
        <f>IFERROR(VLOOKUP(D187,Sessions!A:G,5,FALSE),"")</f>
        <v/>
      </c>
      <c r="J187" s="38" t="str">
        <f>IFERROR(VLOOKUP(D187,Sessions!A:G,6,FALSE),"")</f>
        <v/>
      </c>
      <c r="K187" s="58"/>
      <c r="L187" s="40" t="s">
        <v>3</v>
      </c>
      <c r="M187" s="42" t="str">
        <f>"It's all set! 🎉 Here is a summary of your order:
*Number of Tickets*: 1
*Experience*: "&amp;F187&amp;"
*Date*: "&amp;TEXT(G187,"dd/mm/yy")&amp;"
*Time*: "&amp;H187&amp;"
*Price*: "&amp;K187&amp;" "&amp;L187&amp;"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188" spans="2:13" ht="15.75" customHeight="1">
      <c r="F188" s="26" t="str">
        <f>IFERROR(VLOOKUP(D188,Sessions!A:G,2,FALSE),"")</f>
        <v/>
      </c>
      <c r="G188" s="27" t="str">
        <f>IFERROR(VLOOKUP(D188,Sessions!A:G,3,FALSE),"")</f>
        <v/>
      </c>
      <c r="H188" s="26" t="str">
        <f>IFERROR(VLOOKUP(D188,Sessions!A:G,4,FALSE),"")</f>
        <v/>
      </c>
      <c r="I188" s="38" t="str">
        <f>IFERROR(VLOOKUP(D188,Sessions!A:G,5,FALSE),"")</f>
        <v/>
      </c>
      <c r="J188" s="38" t="str">
        <f>IFERROR(VLOOKUP(D188,Sessions!A:G,6,FALSE),"")</f>
        <v/>
      </c>
      <c r="K188" s="58"/>
      <c r="L188" s="40" t="s">
        <v>3</v>
      </c>
      <c r="M188" s="42" t="str">
        <f>"It's all set! 🎉 Here is a summary of your order:
*Number of Tickets*: 1
*Experience*: "&amp;F188&amp;"
*Date*: "&amp;TEXT(G188,"dd/mm/yy")&amp;"
*Time*: "&amp;H188&amp;"
*Price*: "&amp;K188&amp;" "&amp;L188&amp;"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189" spans="2:13" ht="15.75" customHeight="1">
      <c r="F189" s="26" t="str">
        <f>IFERROR(VLOOKUP(D189,Sessions!A:G,2,FALSE),"")</f>
        <v/>
      </c>
      <c r="G189" s="27" t="str">
        <f>IFERROR(VLOOKUP(D189,Sessions!A:G,3,FALSE),"")</f>
        <v/>
      </c>
      <c r="H189" s="26" t="str">
        <f>IFERROR(VLOOKUP(D189,Sessions!A:G,4,FALSE),"")</f>
        <v/>
      </c>
      <c r="I189" s="38" t="str">
        <f>IFERROR(VLOOKUP(D189,Sessions!A:G,5,FALSE),"")</f>
        <v/>
      </c>
      <c r="J189" s="38" t="str">
        <f>IFERROR(VLOOKUP(D189,Sessions!A:G,6,FALSE),"")</f>
        <v/>
      </c>
      <c r="K189" s="58"/>
      <c r="L189" s="40" t="s">
        <v>3</v>
      </c>
      <c r="M189" s="42" t="str">
        <f>"It's all set! 🎉 Here is a summary of your order:
*Number of Tickets*: 1
*Experience*: "&amp;F189&amp;"
*Date*: "&amp;TEXT(G189,"dd/mm/yy")&amp;"
*Time*: "&amp;H189&amp;"
*Price*: "&amp;K189&amp;" "&amp;L189&amp;"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190" spans="2:13" ht="15.75" customHeight="1">
      <c r="F190" s="26" t="str">
        <f>IFERROR(VLOOKUP(D190,Sessions!A:G,2,FALSE),"")</f>
        <v/>
      </c>
      <c r="G190" s="27" t="str">
        <f>IFERROR(VLOOKUP(D190,Sessions!A:G,3,FALSE),"")</f>
        <v/>
      </c>
      <c r="H190" s="26" t="str">
        <f>IFERROR(VLOOKUP(D190,Sessions!A:G,4,FALSE),"")</f>
        <v/>
      </c>
      <c r="I190" s="38" t="str">
        <f>IFERROR(VLOOKUP(D190,Sessions!A:G,5,FALSE),"")</f>
        <v/>
      </c>
      <c r="J190" s="38" t="str">
        <f>IFERROR(VLOOKUP(D190,Sessions!A:G,6,FALSE),"")</f>
        <v/>
      </c>
      <c r="K190" s="58"/>
      <c r="L190" s="40" t="s">
        <v>3</v>
      </c>
      <c r="M190" s="42" t="str">
        <f>"It's all set! 🎉 Here is a summary of your order:
*Number of Tickets*: 1
*Experience*: "&amp;F190&amp;"
*Date*: "&amp;TEXT(G190,"dd/mm/yy")&amp;"
*Time*: "&amp;H190&amp;"
*Price*: "&amp;K190&amp;" "&amp;L190&amp;"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191" spans="2:13" ht="15.75" customHeight="1">
      <c r="F191" s="26" t="str">
        <f>IFERROR(VLOOKUP(D191,Sessions!A:G,2,FALSE),"")</f>
        <v/>
      </c>
      <c r="G191" s="27" t="str">
        <f>IFERROR(VLOOKUP(D191,Sessions!A:G,3,FALSE),"")</f>
        <v/>
      </c>
      <c r="H191" s="26" t="str">
        <f>IFERROR(VLOOKUP(D191,Sessions!A:G,4,FALSE),"")</f>
        <v/>
      </c>
      <c r="I191" s="38" t="str">
        <f>IFERROR(VLOOKUP(D191,Sessions!A:G,5,FALSE),"")</f>
        <v/>
      </c>
      <c r="J191" s="38" t="str">
        <f>IFERROR(VLOOKUP(D191,Sessions!A:G,6,FALSE),"")</f>
        <v/>
      </c>
      <c r="K191" s="58"/>
      <c r="L191" s="40" t="s">
        <v>3</v>
      </c>
      <c r="M191" s="42" t="str">
        <f>"It's all set! 🎉 Here is a summary of your order:
*Number of Tickets*: 1
*Experience*: "&amp;F191&amp;"
*Date*: "&amp;TEXT(G191,"dd/mm/yy")&amp;"
*Time*: "&amp;H191&amp;"
*Price*: "&amp;K191&amp;" "&amp;L191&amp;"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192" spans="2:13" ht="15.75" customHeight="1">
      <c r="F192" s="26" t="str">
        <f>IFERROR(VLOOKUP(D192,Sessions!A:G,2,FALSE),"")</f>
        <v/>
      </c>
      <c r="G192" s="27" t="str">
        <f>IFERROR(VLOOKUP(D192,Sessions!A:G,3,FALSE),"")</f>
        <v/>
      </c>
      <c r="H192" s="26" t="str">
        <f>IFERROR(VLOOKUP(D192,Sessions!A:G,4,FALSE),"")</f>
        <v/>
      </c>
      <c r="I192" s="38" t="str">
        <f>IFERROR(VLOOKUP(D192,Sessions!A:G,5,FALSE),"")</f>
        <v/>
      </c>
      <c r="J192" s="38" t="str">
        <f>IFERROR(VLOOKUP(D192,Sessions!A:G,6,FALSE),"")</f>
        <v/>
      </c>
      <c r="K192" s="58"/>
      <c r="L192" s="40" t="s">
        <v>3</v>
      </c>
      <c r="M192" s="42" t="str">
        <f>"It's all set! 🎉 Here is a summary of your order:
*Number of Tickets*: 1
*Experience*: "&amp;F192&amp;"
*Date*: "&amp;TEXT(G192,"dd/mm/yy")&amp;"
*Time*: "&amp;H192&amp;"
*Price*: "&amp;K192&amp;" "&amp;L192&amp;"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193" spans="6:13" ht="15.75" customHeight="1">
      <c r="F193" s="26" t="str">
        <f>IFERROR(VLOOKUP(D193,Sessions!A:G,2,FALSE),"")</f>
        <v/>
      </c>
      <c r="G193" s="27" t="str">
        <f>IFERROR(VLOOKUP(D193,Sessions!A:G,3,FALSE),"")</f>
        <v/>
      </c>
      <c r="H193" s="26" t="str">
        <f>IFERROR(VLOOKUP(D193,Sessions!A:G,4,FALSE),"")</f>
        <v/>
      </c>
      <c r="I193" s="38" t="str">
        <f>IFERROR(VLOOKUP(D193,Sessions!A:G,5,FALSE),"")</f>
        <v/>
      </c>
      <c r="J193" s="38" t="str">
        <f>IFERROR(VLOOKUP(D193,Sessions!A:G,6,FALSE),"")</f>
        <v/>
      </c>
      <c r="K193" s="58"/>
      <c r="L193" s="40" t="s">
        <v>3</v>
      </c>
      <c r="M193" s="42" t="str">
        <f>"It's all set! 🎉 Here is a summary of your order:
*Number of Tickets*: 1
*Experience*: "&amp;F193&amp;"
*Date*: "&amp;TEXT(G193,"dd/mm/yy")&amp;"
*Time*: "&amp;H193&amp;"
*Price*: "&amp;K193&amp;" "&amp;L193&amp;"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194" spans="6:13" ht="15.75" customHeight="1">
      <c r="F194" s="26" t="str">
        <f>IFERROR(VLOOKUP(D194,Sessions!A:G,2,FALSE),"")</f>
        <v/>
      </c>
      <c r="G194" s="27" t="str">
        <f>IFERROR(VLOOKUP(D194,Sessions!A:G,3,FALSE),"")</f>
        <v/>
      </c>
      <c r="H194" s="26" t="str">
        <f>IFERROR(VLOOKUP(D194,Sessions!A:G,4,FALSE),"")</f>
        <v/>
      </c>
      <c r="I194" s="38" t="str">
        <f>IFERROR(VLOOKUP(D194,Sessions!A:G,5,FALSE),"")</f>
        <v/>
      </c>
      <c r="J194" s="38" t="str">
        <f>IFERROR(VLOOKUP(D194,Sessions!A:G,6,FALSE),"")</f>
        <v/>
      </c>
      <c r="K194" s="58"/>
      <c r="L194" s="40" t="s">
        <v>3</v>
      </c>
      <c r="M194" s="42" t="str">
        <f>"It's all set! 🎉 Here is a summary of your order:
*Number of Tickets*: 1
*Experience*: "&amp;F194&amp;"
*Date*: "&amp;TEXT(G194,"dd/mm/yy")&amp;"
*Time*: "&amp;H194&amp;"
*Price*: "&amp;K194&amp;" "&amp;L194&amp;"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195" spans="6:13" ht="15.75" customHeight="1">
      <c r="F195" s="26" t="str">
        <f>IFERROR(VLOOKUP(D195,Sessions!A:G,2,FALSE),"")</f>
        <v/>
      </c>
      <c r="G195" s="27" t="str">
        <f>IFERROR(VLOOKUP(D195,Sessions!A:G,3,FALSE),"")</f>
        <v/>
      </c>
      <c r="H195" s="26" t="str">
        <f>IFERROR(VLOOKUP(D195,Sessions!A:G,4,FALSE),"")</f>
        <v/>
      </c>
      <c r="I195" s="38" t="str">
        <f>IFERROR(VLOOKUP(D195,Sessions!A:G,5,FALSE),"")</f>
        <v/>
      </c>
      <c r="J195" s="38" t="str">
        <f>IFERROR(VLOOKUP(D195,Sessions!A:G,6,FALSE),"")</f>
        <v/>
      </c>
      <c r="K195" s="58"/>
      <c r="L195" s="40" t="s">
        <v>3</v>
      </c>
      <c r="M195" s="42" t="str">
        <f>"It's all set! 🎉 Here is a summary of your order:
*Number of Tickets*: 1
*Experience*: "&amp;F195&amp;"
*Date*: "&amp;TEXT(G195,"dd/mm/yy")&amp;"
*Time*: "&amp;H195&amp;"
*Price*: "&amp;K195&amp;" "&amp;L195&amp;"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196" spans="6:13" ht="15.75" customHeight="1">
      <c r="F196" s="26" t="str">
        <f>IFERROR(VLOOKUP(D196,Sessions!A:G,2,FALSE),"")</f>
        <v/>
      </c>
      <c r="G196" s="27" t="str">
        <f>IFERROR(VLOOKUP(D196,Sessions!A:G,3,FALSE),"")</f>
        <v/>
      </c>
      <c r="H196" s="26" t="str">
        <f>IFERROR(VLOOKUP(D196,Sessions!A:G,4,FALSE),"")</f>
        <v/>
      </c>
      <c r="I196" s="38" t="str">
        <f>IFERROR(VLOOKUP(D196,Sessions!A:G,5,FALSE),"")</f>
        <v/>
      </c>
      <c r="J196" s="38" t="str">
        <f>IFERROR(VLOOKUP(D196,Sessions!A:G,6,FALSE),"")</f>
        <v/>
      </c>
      <c r="K196" s="58"/>
      <c r="L196" s="40" t="s">
        <v>3</v>
      </c>
      <c r="M196" s="42" t="str">
        <f>"It's all set! 🎉 Here is a summary of your order:
*Number of Tickets*: 1
*Experience*: "&amp;F196&amp;"
*Date*: "&amp;TEXT(G196,"dd/mm/yy")&amp;"
*Time*: "&amp;H196&amp;"
*Price*: "&amp;K196&amp;" "&amp;L196&amp;"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197" spans="6:13" ht="15.75" customHeight="1">
      <c r="F197" s="26" t="str">
        <f>IFERROR(VLOOKUP(D197,Sessions!A:G,2,FALSE),"")</f>
        <v/>
      </c>
      <c r="G197" s="27" t="str">
        <f>IFERROR(VLOOKUP(D197,Sessions!A:G,3,FALSE),"")</f>
        <v/>
      </c>
      <c r="H197" s="26" t="str">
        <f>IFERROR(VLOOKUP(D197,Sessions!A:G,4,FALSE),"")</f>
        <v/>
      </c>
      <c r="I197" s="38" t="str">
        <f>IFERROR(VLOOKUP(D197,Sessions!A:G,5,FALSE),"")</f>
        <v/>
      </c>
      <c r="J197" s="38" t="str">
        <f>IFERROR(VLOOKUP(D197,Sessions!A:G,6,FALSE),"")</f>
        <v/>
      </c>
      <c r="K197" s="58"/>
      <c r="L197" s="40" t="s">
        <v>3</v>
      </c>
      <c r="M197" s="42" t="str">
        <f>"It's all set! 🎉 Here is a summary of your order:
*Number of Tickets*: 1
*Experience*: "&amp;F197&amp;"
*Date*: "&amp;TEXT(G197,"dd/mm/yy")&amp;"
*Time*: "&amp;H197&amp;"
*Price*: "&amp;K197&amp;" "&amp;L197&amp;"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198" spans="6:13" ht="15.75" customHeight="1">
      <c r="F198" s="26" t="str">
        <f>IFERROR(VLOOKUP(D198,Sessions!A:G,2,FALSE),"")</f>
        <v/>
      </c>
      <c r="G198" s="27" t="str">
        <f>IFERROR(VLOOKUP(D198,Sessions!A:G,3,FALSE),"")</f>
        <v/>
      </c>
      <c r="H198" s="26" t="str">
        <f>IFERROR(VLOOKUP(D198,Sessions!A:G,4,FALSE),"")</f>
        <v/>
      </c>
      <c r="I198" s="38" t="str">
        <f>IFERROR(VLOOKUP(D198,Sessions!A:G,5,FALSE),"")</f>
        <v/>
      </c>
      <c r="J198" s="38" t="str">
        <f>IFERROR(VLOOKUP(D198,Sessions!A:G,6,FALSE),"")</f>
        <v/>
      </c>
      <c r="K198" s="58"/>
      <c r="L198" s="40" t="s">
        <v>3</v>
      </c>
      <c r="M198" s="42" t="str">
        <f>"It's all set! 🎉 Here is a summary of your order:
*Number of Tickets*: 1
*Experience*: "&amp;F198&amp;"
*Date*: "&amp;TEXT(G198,"dd/mm/yy")&amp;"
*Time*: "&amp;H198&amp;"
*Price*: "&amp;K198&amp;" "&amp;L198&amp;"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199" spans="6:13" ht="15.75" customHeight="1">
      <c r="F199" s="26" t="str">
        <f>IFERROR(VLOOKUP(D199,Sessions!A:G,2,FALSE),"")</f>
        <v/>
      </c>
      <c r="G199" s="27" t="str">
        <f>IFERROR(VLOOKUP(D199,Sessions!A:G,3,FALSE),"")</f>
        <v/>
      </c>
      <c r="H199" s="26" t="str">
        <f>IFERROR(VLOOKUP(D199,Sessions!A:G,4,FALSE),"")</f>
        <v/>
      </c>
      <c r="I199" s="38" t="str">
        <f>IFERROR(VLOOKUP(D199,Sessions!A:G,5,FALSE),"")</f>
        <v/>
      </c>
      <c r="J199" s="38" t="str">
        <f>IFERROR(VLOOKUP(D199,Sessions!A:G,6,FALSE),"")</f>
        <v/>
      </c>
      <c r="K199" s="58"/>
      <c r="L199" s="40" t="s">
        <v>3</v>
      </c>
      <c r="M199" s="42" t="str">
        <f>"It's all set! 🎉 Here is a summary of your order:
*Number of Tickets*: 1
*Experience*: "&amp;F199&amp;"
*Date*: "&amp;TEXT(G199,"dd/mm/yy")&amp;"
*Time*: "&amp;H199&amp;"
*Price*: "&amp;K199&amp;" "&amp;L199&amp;"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00" spans="6:13" ht="15.75" customHeight="1">
      <c r="F200" s="26" t="str">
        <f>IFERROR(VLOOKUP(D200,Sessions!A:G,2,FALSE),"")</f>
        <v/>
      </c>
      <c r="G200" s="27" t="str">
        <f>IFERROR(VLOOKUP(D200,Sessions!A:G,3,FALSE),"")</f>
        <v/>
      </c>
      <c r="H200" s="26" t="str">
        <f>IFERROR(VLOOKUP(D200,Sessions!A:G,4,FALSE),"")</f>
        <v/>
      </c>
      <c r="I200" s="38" t="str">
        <f>IFERROR(VLOOKUP(D200,Sessions!A:G,5,FALSE),"")</f>
        <v/>
      </c>
      <c r="J200" s="38" t="str">
        <f>IFERROR(VLOOKUP(D200,Sessions!A:G,6,FALSE),"")</f>
        <v/>
      </c>
      <c r="K200" s="58"/>
      <c r="L200" s="40" t="s">
        <v>3</v>
      </c>
      <c r="M200" s="42" t="str">
        <f>"It's all set! 🎉 Here is a summary of your order:
*Number of Tickets*: 1
*Experience*: "&amp;F200&amp;"
*Date*: "&amp;TEXT(G200,"dd/mm/yy")&amp;"
*Time*: "&amp;H200&amp;"
*Price*: "&amp;K200&amp;" "&amp;L200&amp;"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01" spans="6:13" ht="15.75" customHeight="1">
      <c r="F201" s="26" t="str">
        <f>IFERROR(VLOOKUP(D201,Sessions!A:G,2,FALSE),"")</f>
        <v/>
      </c>
      <c r="G201" s="27" t="str">
        <f>IFERROR(VLOOKUP(D201,Sessions!A:G,3,FALSE),"")</f>
        <v/>
      </c>
      <c r="H201" s="26" t="str">
        <f>IFERROR(VLOOKUP(D201,Sessions!A:G,4,FALSE),"")</f>
        <v/>
      </c>
      <c r="I201" s="38" t="str">
        <f>IFERROR(VLOOKUP(D201,Sessions!A:G,5,FALSE),"")</f>
        <v/>
      </c>
      <c r="J201" s="38" t="str">
        <f>IFERROR(VLOOKUP(D201,Sessions!A:G,6,FALSE),"")</f>
        <v/>
      </c>
      <c r="K201" s="58"/>
      <c r="L201" s="40" t="s">
        <v>3</v>
      </c>
      <c r="M201" s="42" t="str">
        <f>"It's all set! 🎉 Here is a summary of your order:
*Number of Tickets*: 1
*Experience*: "&amp;F201&amp;"
*Date*: "&amp;TEXT(G201,"dd/mm/yy")&amp;"
*Time*: "&amp;H201&amp;"
*Price*: "&amp;K201&amp;" "&amp;L201&amp;"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02" spans="6:13" ht="15.75" customHeight="1">
      <c r="F202" s="26" t="str">
        <f>IFERROR(VLOOKUP(D202,Sessions!A:G,2,FALSE),"")</f>
        <v/>
      </c>
      <c r="G202" s="27" t="str">
        <f>IFERROR(VLOOKUP(D202,Sessions!A:G,3,FALSE),"")</f>
        <v/>
      </c>
      <c r="H202" s="26" t="str">
        <f>IFERROR(VLOOKUP(D202,Sessions!A:G,4,FALSE),"")</f>
        <v/>
      </c>
      <c r="I202" s="38" t="str">
        <f>IFERROR(VLOOKUP(D202,Sessions!A:G,5,FALSE),"")</f>
        <v/>
      </c>
      <c r="J202" s="38" t="str">
        <f>IFERROR(VLOOKUP(D202,Sessions!A:G,6,FALSE),"")</f>
        <v/>
      </c>
      <c r="K202" s="58"/>
      <c r="L202" s="40" t="s">
        <v>3</v>
      </c>
      <c r="M202" s="42" t="str">
        <f>"It's all set! 🎉 Here is a summary of your order:
*Number of Tickets*: 1
*Experience*: "&amp;F202&amp;"
*Date*: "&amp;TEXT(G202,"dd/mm/yy")&amp;"
*Time*: "&amp;H202&amp;"
*Price*: "&amp;K202&amp;" "&amp;L202&amp;"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03" spans="6:13" ht="15.75" customHeight="1">
      <c r="F203" s="26" t="str">
        <f>IFERROR(VLOOKUP(D203,Sessions!A:G,2,FALSE),"")</f>
        <v/>
      </c>
      <c r="G203" s="27" t="str">
        <f>IFERROR(VLOOKUP(D203,Sessions!A:G,3,FALSE),"")</f>
        <v/>
      </c>
      <c r="H203" s="26" t="str">
        <f>IFERROR(VLOOKUP(D203,Sessions!A:G,4,FALSE),"")</f>
        <v/>
      </c>
      <c r="I203" s="38" t="str">
        <f>IFERROR(VLOOKUP(D203,Sessions!A:G,5,FALSE),"")</f>
        <v/>
      </c>
      <c r="J203" s="38" t="str">
        <f>IFERROR(VLOOKUP(D203,Sessions!A:G,6,FALSE),"")</f>
        <v/>
      </c>
      <c r="K203" s="58"/>
      <c r="L203" s="40" t="s">
        <v>3</v>
      </c>
      <c r="M203" s="42" t="str">
        <f>"It's all set! 🎉 Here is a summary of your order:
*Number of Tickets*: 1
*Experience*: "&amp;F203&amp;"
*Date*: "&amp;TEXT(G203,"dd/mm/yy")&amp;"
*Time*: "&amp;H203&amp;"
*Price*: "&amp;K203&amp;" "&amp;L203&amp;"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04" spans="6:13" ht="15.75" customHeight="1">
      <c r="F204" s="26" t="str">
        <f>IFERROR(VLOOKUP(D204,Sessions!A:G,2,FALSE),"")</f>
        <v/>
      </c>
      <c r="G204" s="27" t="str">
        <f>IFERROR(VLOOKUP(D204,Sessions!A:G,3,FALSE),"")</f>
        <v/>
      </c>
      <c r="H204" s="26" t="str">
        <f>IFERROR(VLOOKUP(D204,Sessions!A:G,4,FALSE),"")</f>
        <v/>
      </c>
      <c r="I204" s="38" t="str">
        <f>IFERROR(VLOOKUP(D204,Sessions!A:G,5,FALSE),"")</f>
        <v/>
      </c>
      <c r="J204" s="38" t="str">
        <f>IFERROR(VLOOKUP(D204,Sessions!A:G,6,FALSE),"")</f>
        <v/>
      </c>
      <c r="K204" s="58"/>
      <c r="L204" s="40" t="s">
        <v>3</v>
      </c>
      <c r="M204" s="42" t="str">
        <f>"It's all set! 🎉 Here is a summary of your order:
*Number of Tickets*: 1
*Experience*: "&amp;F204&amp;"
*Date*: "&amp;TEXT(G204,"dd/mm/yy")&amp;"
*Time*: "&amp;H204&amp;"
*Price*: "&amp;K204&amp;" "&amp;L204&amp;"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05" spans="6:13" ht="15.75" customHeight="1">
      <c r="F205" s="26" t="str">
        <f>IFERROR(VLOOKUP(D205,Sessions!A:G,2,FALSE),"")</f>
        <v/>
      </c>
      <c r="G205" s="27" t="str">
        <f>IFERROR(VLOOKUP(D205,Sessions!A:G,3,FALSE),"")</f>
        <v/>
      </c>
      <c r="H205" s="26" t="str">
        <f>IFERROR(VLOOKUP(D205,Sessions!A:G,4,FALSE),"")</f>
        <v/>
      </c>
      <c r="I205" s="38" t="str">
        <f>IFERROR(VLOOKUP(D205,Sessions!A:G,5,FALSE),"")</f>
        <v/>
      </c>
      <c r="J205" s="38" t="str">
        <f>IFERROR(VLOOKUP(D205,Sessions!A:G,6,FALSE),"")</f>
        <v/>
      </c>
      <c r="K205" s="58"/>
      <c r="L205" s="40" t="s">
        <v>3</v>
      </c>
      <c r="M205" s="42" t="str">
        <f>"It's all set! 🎉 Here is a summary of your order:
*Number of Tickets*: 1
*Experience*: "&amp;F205&amp;"
*Date*: "&amp;TEXT(G205,"dd/mm/yy")&amp;"
*Time*: "&amp;H205&amp;"
*Price*: "&amp;K205&amp;" "&amp;L205&amp;"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06" spans="6:13" ht="15.75" customHeight="1">
      <c r="F206" s="26" t="str">
        <f>IFERROR(VLOOKUP(D206,Sessions!A:G,2,FALSE),"")</f>
        <v/>
      </c>
      <c r="G206" s="27" t="str">
        <f>IFERROR(VLOOKUP(D206,Sessions!A:G,3,FALSE),"")</f>
        <v/>
      </c>
      <c r="H206" s="26" t="str">
        <f>IFERROR(VLOOKUP(D206,Sessions!A:G,4,FALSE),"")</f>
        <v/>
      </c>
      <c r="I206" s="38" t="str">
        <f>IFERROR(VLOOKUP(D206,Sessions!A:G,5,FALSE),"")</f>
        <v/>
      </c>
      <c r="J206" s="38" t="str">
        <f>IFERROR(VLOOKUP(D206,Sessions!A:G,6,FALSE),"")</f>
        <v/>
      </c>
      <c r="K206" s="58"/>
      <c r="L206" s="40" t="s">
        <v>3</v>
      </c>
      <c r="M206" s="42" t="str">
        <f>"It's all set! 🎉 Here is a summary of your order:
*Number of Tickets*: 1
*Experience*: "&amp;F206&amp;"
*Date*: "&amp;TEXT(G206,"dd/mm/yy")&amp;"
*Time*: "&amp;H206&amp;"
*Price*: "&amp;K206&amp;" "&amp;L206&amp;"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07" spans="6:13" ht="15.75" customHeight="1">
      <c r="F207" s="26" t="str">
        <f>IFERROR(VLOOKUP(D207,Sessions!A:G,2,FALSE),"")</f>
        <v/>
      </c>
      <c r="G207" s="27" t="str">
        <f>IFERROR(VLOOKUP(D207,Sessions!A:G,3,FALSE),"")</f>
        <v/>
      </c>
      <c r="H207" s="26" t="str">
        <f>IFERROR(VLOOKUP(D207,Sessions!A:G,4,FALSE),"")</f>
        <v/>
      </c>
      <c r="I207" s="38" t="str">
        <f>IFERROR(VLOOKUP(D207,Sessions!A:G,5,FALSE),"")</f>
        <v/>
      </c>
      <c r="J207" s="38" t="str">
        <f>IFERROR(VLOOKUP(D207,Sessions!A:G,6,FALSE),"")</f>
        <v/>
      </c>
      <c r="K207" s="58"/>
      <c r="L207" s="40" t="s">
        <v>3</v>
      </c>
      <c r="M207" s="42" t="str">
        <f>"It's all set! 🎉 Here is a summary of your order:
*Number of Tickets*: 1
*Experience*: "&amp;F207&amp;"
*Date*: "&amp;TEXT(G207,"dd/mm/yy")&amp;"
*Time*: "&amp;H207&amp;"
*Price*: "&amp;K207&amp;" "&amp;L207&amp;"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08" spans="6:13" ht="15.75" customHeight="1">
      <c r="F208" s="26" t="str">
        <f>IFERROR(VLOOKUP(D208,Sessions!A:G,2,FALSE),"")</f>
        <v/>
      </c>
      <c r="G208" s="27" t="str">
        <f>IFERROR(VLOOKUP(D208,Sessions!A:G,3,FALSE),"")</f>
        <v/>
      </c>
      <c r="H208" s="26" t="str">
        <f>IFERROR(VLOOKUP(D208,Sessions!A:G,4,FALSE),"")</f>
        <v/>
      </c>
      <c r="I208" s="38" t="str">
        <f>IFERROR(VLOOKUP(D208,Sessions!A:G,5,FALSE),"")</f>
        <v/>
      </c>
      <c r="J208" s="38" t="str">
        <f>IFERROR(VLOOKUP(D208,Sessions!A:G,6,FALSE),"")</f>
        <v/>
      </c>
      <c r="K208" s="58"/>
      <c r="L208" s="40" t="s">
        <v>3</v>
      </c>
      <c r="M208" s="42" t="str">
        <f>"It's all set! 🎉 Here is a summary of your order:
*Number of Tickets*: 1
*Experience*: "&amp;F208&amp;"
*Date*: "&amp;TEXT(G208,"dd/mm/yy")&amp;"
*Time*: "&amp;H208&amp;"
*Price*: "&amp;K208&amp;" "&amp;L208&amp;"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09" spans="6:13" ht="15.75" customHeight="1">
      <c r="F209" s="26" t="str">
        <f>IFERROR(VLOOKUP(D209,Sessions!A:G,2,FALSE),"")</f>
        <v/>
      </c>
      <c r="G209" s="27" t="str">
        <f>IFERROR(VLOOKUP(D209,Sessions!A:G,3,FALSE),"")</f>
        <v/>
      </c>
      <c r="H209" s="26" t="str">
        <f>IFERROR(VLOOKUP(D209,Sessions!A:G,4,FALSE),"")</f>
        <v/>
      </c>
      <c r="I209" s="38" t="str">
        <f>IFERROR(VLOOKUP(D209,Sessions!A:G,5,FALSE),"")</f>
        <v/>
      </c>
      <c r="J209" s="38" t="str">
        <f>IFERROR(VLOOKUP(D209,Sessions!A:G,6,FALSE),"")</f>
        <v/>
      </c>
      <c r="K209" s="58"/>
      <c r="L209" s="40" t="s">
        <v>3</v>
      </c>
      <c r="M209" s="42" t="str">
        <f>"It's all set! 🎉 Here is a summary of your order:
*Number of Tickets*: 1
*Experience*: "&amp;F209&amp;"
*Date*: "&amp;TEXT(G209,"dd/mm/yy")&amp;"
*Time*: "&amp;H209&amp;"
*Price*: "&amp;K209&amp;" "&amp;L209&amp;"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10" spans="6:13" ht="15.75" customHeight="1">
      <c r="F210" s="26" t="str">
        <f>IFERROR(VLOOKUP(D210,Sessions!A:G,2,FALSE),"")</f>
        <v/>
      </c>
      <c r="G210" s="27" t="str">
        <f>IFERROR(VLOOKUP(D210,Sessions!A:G,3,FALSE),"")</f>
        <v/>
      </c>
      <c r="H210" s="26" t="str">
        <f>IFERROR(VLOOKUP(D210,Sessions!A:G,4,FALSE),"")</f>
        <v/>
      </c>
      <c r="I210" s="38" t="str">
        <f>IFERROR(VLOOKUP(D210,Sessions!A:G,5,FALSE),"")</f>
        <v/>
      </c>
      <c r="J210" s="38" t="str">
        <f>IFERROR(VLOOKUP(D210,Sessions!A:G,6,FALSE),"")</f>
        <v/>
      </c>
      <c r="K210" s="58"/>
      <c r="L210" s="40" t="s">
        <v>3</v>
      </c>
      <c r="M210" s="42" t="str">
        <f>"It's all set! 🎉 Here is a summary of your order:
*Number of Tickets*: 1
*Experience*: "&amp;F210&amp;"
*Date*: "&amp;TEXT(G210,"dd/mm/yy")&amp;"
*Time*: "&amp;H210&amp;"
*Price*: "&amp;K210&amp;" "&amp;L210&amp;"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11" spans="6:13" ht="15.75" customHeight="1">
      <c r="F211" s="26" t="str">
        <f>IFERROR(VLOOKUP(D211,Sessions!A:G,2,FALSE),"")</f>
        <v/>
      </c>
      <c r="G211" s="27" t="str">
        <f>IFERROR(VLOOKUP(D211,Sessions!A:G,3,FALSE),"")</f>
        <v/>
      </c>
      <c r="H211" s="26" t="str">
        <f>IFERROR(VLOOKUP(D211,Sessions!A:G,4,FALSE),"")</f>
        <v/>
      </c>
      <c r="I211" s="38" t="str">
        <f>IFERROR(VLOOKUP(D211,Sessions!A:G,5,FALSE),"")</f>
        <v/>
      </c>
      <c r="J211" s="38" t="str">
        <f>IFERROR(VLOOKUP(D211,Sessions!A:G,6,FALSE),"")</f>
        <v/>
      </c>
      <c r="K211" s="58"/>
      <c r="L211" s="40" t="s">
        <v>3</v>
      </c>
      <c r="M211" s="42" t="str">
        <f>"It's all set! 🎉 Here is a summary of your order:
*Number of Tickets*: 1
*Experience*: "&amp;F211&amp;"
*Date*: "&amp;TEXT(G211,"dd/mm/yy")&amp;"
*Time*: "&amp;H211&amp;"
*Price*: "&amp;K211&amp;" "&amp;L211&amp;"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12" spans="6:13" ht="15.75" customHeight="1">
      <c r="F212" s="26" t="str">
        <f>IFERROR(VLOOKUP(D212,Sessions!A:G,2,FALSE),"")</f>
        <v/>
      </c>
      <c r="G212" s="27" t="str">
        <f>IFERROR(VLOOKUP(D212,Sessions!A:G,3,FALSE),"")</f>
        <v/>
      </c>
      <c r="H212" s="26" t="str">
        <f>IFERROR(VLOOKUP(D212,Sessions!A:G,4,FALSE),"")</f>
        <v/>
      </c>
      <c r="I212" s="38" t="str">
        <f>IFERROR(VLOOKUP(D212,Sessions!A:G,5,FALSE),"")</f>
        <v/>
      </c>
      <c r="J212" s="38" t="str">
        <f>IFERROR(VLOOKUP(D212,Sessions!A:G,6,FALSE),"")</f>
        <v/>
      </c>
      <c r="K212" s="58"/>
      <c r="L212" s="40" t="s">
        <v>3</v>
      </c>
      <c r="M212" s="42" t="str">
        <f>"It's all set! 🎉 Here is a summary of your order:
*Number of Tickets*: 1
*Experience*: "&amp;F212&amp;"
*Date*: "&amp;TEXT(G212,"dd/mm/yy")&amp;"
*Time*: "&amp;H212&amp;"
*Price*: "&amp;K212&amp;" "&amp;L212&amp;"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13" spans="6:13" ht="15.75" customHeight="1">
      <c r="F213" s="26" t="str">
        <f>IFERROR(VLOOKUP(D213,Sessions!A:G,2,FALSE),"")</f>
        <v/>
      </c>
      <c r="G213" s="27" t="str">
        <f>IFERROR(VLOOKUP(D213,Sessions!A:G,3,FALSE),"")</f>
        <v/>
      </c>
      <c r="H213" s="26" t="str">
        <f>IFERROR(VLOOKUP(D213,Sessions!A:G,4,FALSE),"")</f>
        <v/>
      </c>
      <c r="I213" s="38" t="str">
        <f>IFERROR(VLOOKUP(D213,Sessions!A:G,5,FALSE),"")</f>
        <v/>
      </c>
      <c r="J213" s="38" t="str">
        <f>IFERROR(VLOOKUP(D213,Sessions!A:G,6,FALSE),"")</f>
        <v/>
      </c>
      <c r="K213" s="58"/>
      <c r="L213" s="40" t="s">
        <v>3</v>
      </c>
      <c r="M213" s="42" t="str">
        <f>"It's all set! 🎉 Here is a summary of your order:
*Number of Tickets*: 1
*Experience*: "&amp;F213&amp;"
*Date*: "&amp;TEXT(G213,"dd/mm/yy")&amp;"
*Time*: "&amp;H213&amp;"
*Price*: "&amp;K213&amp;" "&amp;L213&amp;"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14" spans="6:13" ht="15.75" customHeight="1">
      <c r="F214" s="26" t="str">
        <f>IFERROR(VLOOKUP(D214,Sessions!A:G,2,FALSE),"")</f>
        <v/>
      </c>
      <c r="G214" s="27" t="str">
        <f>IFERROR(VLOOKUP(D214,Sessions!A:G,3,FALSE),"")</f>
        <v/>
      </c>
      <c r="H214" s="26" t="str">
        <f>IFERROR(VLOOKUP(D214,Sessions!A:G,4,FALSE),"")</f>
        <v/>
      </c>
      <c r="I214" s="38" t="str">
        <f>IFERROR(VLOOKUP(D214,Sessions!A:G,5,FALSE),"")</f>
        <v/>
      </c>
      <c r="J214" s="38" t="str">
        <f>IFERROR(VLOOKUP(D214,Sessions!A:G,6,FALSE),"")</f>
        <v/>
      </c>
      <c r="K214" s="58"/>
      <c r="L214" s="40" t="s">
        <v>3</v>
      </c>
      <c r="M214" s="42" t="str">
        <f>"It's all set! 🎉 Here is a summary of your order:
*Number of Tickets*: 1
*Experience*: "&amp;F214&amp;"
*Date*: "&amp;TEXT(G214,"dd/mm/yy")&amp;"
*Time*: "&amp;H214&amp;"
*Price*: "&amp;K214&amp;" "&amp;L214&amp;"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15" spans="6:13" ht="15.75" customHeight="1">
      <c r="F215" s="26" t="str">
        <f>IFERROR(VLOOKUP(D215,Sessions!A:G,2,FALSE),"")</f>
        <v/>
      </c>
      <c r="G215" s="27" t="str">
        <f>IFERROR(VLOOKUP(D215,Sessions!A:G,3,FALSE),"")</f>
        <v/>
      </c>
      <c r="H215" s="26" t="str">
        <f>IFERROR(VLOOKUP(D215,Sessions!A:G,4,FALSE),"")</f>
        <v/>
      </c>
      <c r="I215" s="38" t="str">
        <f>IFERROR(VLOOKUP(D215,Sessions!A:G,5,FALSE),"")</f>
        <v/>
      </c>
      <c r="J215" s="38" t="str">
        <f>IFERROR(VLOOKUP(D215,Sessions!A:G,6,FALSE),"")</f>
        <v/>
      </c>
      <c r="K215" s="58"/>
      <c r="L215" s="40" t="s">
        <v>3</v>
      </c>
      <c r="M215" s="42" t="str">
        <f>"It's all set! 🎉 Here is a summary of your order:
*Number of Tickets*: 1
*Experience*: "&amp;F215&amp;"
*Date*: "&amp;TEXT(G215,"dd/mm/yy")&amp;"
*Time*: "&amp;H215&amp;"
*Price*: "&amp;K215&amp;" "&amp;L215&amp;"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16" spans="6:13" ht="15.75" customHeight="1">
      <c r="F216" s="26" t="str">
        <f>IFERROR(VLOOKUP(D216,Sessions!A:G,2,FALSE),"")</f>
        <v/>
      </c>
      <c r="G216" s="27" t="str">
        <f>IFERROR(VLOOKUP(D216,Sessions!A:G,3,FALSE),"")</f>
        <v/>
      </c>
      <c r="H216" s="26" t="str">
        <f>IFERROR(VLOOKUP(D216,Sessions!A:G,4,FALSE),"")</f>
        <v/>
      </c>
      <c r="I216" s="38" t="str">
        <f>IFERROR(VLOOKUP(D216,Sessions!A:G,5,FALSE),"")</f>
        <v/>
      </c>
      <c r="J216" s="38" t="str">
        <f>IFERROR(VLOOKUP(D216,Sessions!A:G,6,FALSE),"")</f>
        <v/>
      </c>
      <c r="K216" s="58"/>
      <c r="L216" s="40" t="s">
        <v>3</v>
      </c>
      <c r="M216" s="42" t="str">
        <f>"It's all set! 🎉 Here is a summary of your order:
*Number of Tickets*: 1
*Experience*: "&amp;F216&amp;"
*Date*: "&amp;TEXT(G216,"dd/mm/yy")&amp;"
*Time*: "&amp;H216&amp;"
*Price*: "&amp;K216&amp;" "&amp;L216&amp;"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17" spans="6:13" ht="15.75" customHeight="1">
      <c r="F217" s="26" t="str">
        <f>IFERROR(VLOOKUP(D217,Sessions!A:G,2,FALSE),"")</f>
        <v/>
      </c>
      <c r="G217" s="27" t="str">
        <f>IFERROR(VLOOKUP(D217,Sessions!A:G,3,FALSE),"")</f>
        <v/>
      </c>
      <c r="H217" s="26" t="str">
        <f>IFERROR(VLOOKUP(D217,Sessions!A:G,4,FALSE),"")</f>
        <v/>
      </c>
      <c r="I217" s="38" t="str">
        <f>IFERROR(VLOOKUP(D217,Sessions!A:G,5,FALSE),"")</f>
        <v/>
      </c>
      <c r="J217" s="38" t="str">
        <f>IFERROR(VLOOKUP(D217,Sessions!A:G,6,FALSE),"")</f>
        <v/>
      </c>
      <c r="K217" s="58"/>
      <c r="L217" s="40" t="s">
        <v>3</v>
      </c>
      <c r="M217" s="42" t="str">
        <f>"It's all set! 🎉 Here is a summary of your order:
*Number of Tickets*: 1
*Experience*: "&amp;F217&amp;"
*Date*: "&amp;TEXT(G217,"dd/mm/yy")&amp;"
*Time*: "&amp;H217&amp;"
*Price*: "&amp;K217&amp;" "&amp;L217&amp;"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18" spans="6:13" ht="15.75" customHeight="1">
      <c r="F218" s="26" t="str">
        <f>IFERROR(VLOOKUP(D218,Sessions!A:G,2,FALSE),"")</f>
        <v/>
      </c>
      <c r="G218" s="27" t="str">
        <f>IFERROR(VLOOKUP(D218,Sessions!A:G,3,FALSE),"")</f>
        <v/>
      </c>
      <c r="H218" s="26" t="str">
        <f>IFERROR(VLOOKUP(D218,Sessions!A:G,4,FALSE),"")</f>
        <v/>
      </c>
      <c r="I218" s="38" t="str">
        <f>IFERROR(VLOOKUP(D218,Sessions!A:G,5,FALSE),"")</f>
        <v/>
      </c>
      <c r="J218" s="38" t="str">
        <f>IFERROR(VLOOKUP(D218,Sessions!A:G,6,FALSE),"")</f>
        <v/>
      </c>
      <c r="K218" s="58"/>
      <c r="L218" s="40" t="s">
        <v>3</v>
      </c>
      <c r="M218" s="42" t="str">
        <f>"It's all set! 🎉 Here is a summary of your order:
*Number of Tickets*: 1
*Experience*: "&amp;F218&amp;"
*Date*: "&amp;TEXT(G218,"dd/mm/yy")&amp;"
*Time*: "&amp;H218&amp;"
*Price*: "&amp;K218&amp;" "&amp;L218&amp;"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19" spans="6:13" ht="15.75" customHeight="1">
      <c r="F219" s="26" t="str">
        <f>IFERROR(VLOOKUP(D219,Sessions!A:G,2,FALSE),"")</f>
        <v/>
      </c>
      <c r="G219" s="27" t="str">
        <f>IFERROR(VLOOKUP(D219,Sessions!A:G,3,FALSE),"")</f>
        <v/>
      </c>
      <c r="H219" s="26" t="str">
        <f>IFERROR(VLOOKUP(D219,Sessions!A:G,4,FALSE),"")</f>
        <v/>
      </c>
      <c r="I219" s="38" t="str">
        <f>IFERROR(VLOOKUP(D219,Sessions!A:G,5,FALSE),"")</f>
        <v/>
      </c>
      <c r="J219" s="38" t="str">
        <f>IFERROR(VLOOKUP(D219,Sessions!A:G,6,FALSE),"")</f>
        <v/>
      </c>
      <c r="K219" s="58"/>
      <c r="L219" s="40" t="s">
        <v>3</v>
      </c>
      <c r="M219" s="42" t="str">
        <f>"It's all set! 🎉 Here is a summary of your order:
*Number of Tickets*: 1
*Experience*: "&amp;F219&amp;"
*Date*: "&amp;TEXT(G219,"dd/mm/yy")&amp;"
*Time*: "&amp;H219&amp;"
*Price*: "&amp;K219&amp;" "&amp;L219&amp;"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20" spans="6:13" ht="15.75" customHeight="1">
      <c r="F220" s="26" t="str">
        <f>IFERROR(VLOOKUP(D220,Sessions!A:G,2,FALSE),"")</f>
        <v/>
      </c>
      <c r="G220" s="27" t="str">
        <f>IFERROR(VLOOKUP(D220,Sessions!A:G,3,FALSE),"")</f>
        <v/>
      </c>
      <c r="H220" s="26" t="str">
        <f>IFERROR(VLOOKUP(D220,Sessions!A:G,4,FALSE),"")</f>
        <v/>
      </c>
      <c r="I220" s="38" t="str">
        <f>IFERROR(VLOOKUP(D220,Sessions!A:G,5,FALSE),"")</f>
        <v/>
      </c>
      <c r="J220" s="38" t="str">
        <f>IFERROR(VLOOKUP(D220,Sessions!A:G,6,FALSE),"")</f>
        <v/>
      </c>
      <c r="K220" s="58"/>
      <c r="L220" s="40" t="s">
        <v>3</v>
      </c>
      <c r="M220" s="42" t="str">
        <f>"It's all set! 🎉 Here is a summary of your order:
*Number of Tickets*: 1
*Experience*: "&amp;F220&amp;"
*Date*: "&amp;TEXT(G220,"dd/mm/yy")&amp;"
*Time*: "&amp;H220&amp;"
*Price*: "&amp;K220&amp;" "&amp;L220&amp;"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21" spans="6:13" ht="15.75" customHeight="1">
      <c r="F221" s="26" t="str">
        <f>IFERROR(VLOOKUP(D221,Sessions!A:G,2,FALSE),"")</f>
        <v/>
      </c>
      <c r="G221" s="27" t="str">
        <f>IFERROR(VLOOKUP(D221,Sessions!A:G,3,FALSE),"")</f>
        <v/>
      </c>
      <c r="H221" s="26" t="str">
        <f>IFERROR(VLOOKUP(D221,Sessions!A:G,4,FALSE),"")</f>
        <v/>
      </c>
      <c r="I221" s="38" t="str">
        <f>IFERROR(VLOOKUP(D221,Sessions!A:G,5,FALSE),"")</f>
        <v/>
      </c>
      <c r="J221" s="38" t="str">
        <f>IFERROR(VLOOKUP(D221,Sessions!A:G,6,FALSE),"")</f>
        <v/>
      </c>
      <c r="K221" s="58"/>
      <c r="L221" s="40" t="s">
        <v>3</v>
      </c>
      <c r="M221" s="42" t="str">
        <f>"It's all set! 🎉 Here is a summary of your order:
*Number of Tickets*: 1
*Experience*: "&amp;F221&amp;"
*Date*: "&amp;TEXT(G221,"dd/mm/yy")&amp;"
*Time*: "&amp;H221&amp;"
*Price*: "&amp;K221&amp;" "&amp;L221&amp;"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22" spans="6:13" ht="15.75" customHeight="1">
      <c r="F222" s="26" t="str">
        <f>IFERROR(VLOOKUP(D222,Sessions!A:G,2,FALSE),"")</f>
        <v/>
      </c>
      <c r="G222" s="27" t="str">
        <f>IFERROR(VLOOKUP(D222,Sessions!A:G,3,FALSE),"")</f>
        <v/>
      </c>
      <c r="H222" s="26" t="str">
        <f>IFERROR(VLOOKUP(D222,Sessions!A:G,4,FALSE),"")</f>
        <v/>
      </c>
      <c r="I222" s="38" t="str">
        <f>IFERROR(VLOOKUP(D222,Sessions!A:G,5,FALSE),"")</f>
        <v/>
      </c>
      <c r="J222" s="38" t="str">
        <f>IFERROR(VLOOKUP(D222,Sessions!A:G,6,FALSE),"")</f>
        <v/>
      </c>
      <c r="K222" s="58"/>
      <c r="L222" s="40" t="s">
        <v>3</v>
      </c>
      <c r="M222" s="42" t="str">
        <f>"It's all set! 🎉 Here is a summary of your order:
*Number of Tickets*: 1
*Experience*: "&amp;F222&amp;"
*Date*: "&amp;TEXT(G222,"dd/mm/yy")&amp;"
*Time*: "&amp;H222&amp;"
*Price*: "&amp;K222&amp;" "&amp;L222&amp;"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23" spans="6:13" ht="15.75" customHeight="1">
      <c r="F223" s="26" t="str">
        <f>IFERROR(VLOOKUP(D223,Sessions!A:G,2,FALSE),"")</f>
        <v/>
      </c>
      <c r="G223" s="27" t="str">
        <f>IFERROR(VLOOKUP(D223,Sessions!A:G,3,FALSE),"")</f>
        <v/>
      </c>
      <c r="H223" s="26" t="str">
        <f>IFERROR(VLOOKUP(D223,Sessions!A:G,4,FALSE),"")</f>
        <v/>
      </c>
      <c r="I223" s="38" t="str">
        <f>IFERROR(VLOOKUP(D223,Sessions!A:G,5,FALSE),"")</f>
        <v/>
      </c>
      <c r="J223" s="38" t="str">
        <f>IFERROR(VLOOKUP(D223,Sessions!A:G,6,FALSE),"")</f>
        <v/>
      </c>
      <c r="K223" s="58"/>
      <c r="L223" s="40" t="s">
        <v>3</v>
      </c>
      <c r="M223" s="42" t="str">
        <f>"It's all set! 🎉 Here is a summary of your order:
*Number of Tickets*: 1
*Experience*: "&amp;F223&amp;"
*Date*: "&amp;TEXT(G223,"dd/mm/yy")&amp;"
*Time*: "&amp;H223&amp;"
*Price*: "&amp;K223&amp;" "&amp;L223&amp;"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24" spans="6:13" ht="15.75" customHeight="1">
      <c r="F224" s="26" t="str">
        <f>IFERROR(VLOOKUP(D224,Sessions!A:G,2,FALSE),"")</f>
        <v/>
      </c>
      <c r="G224" s="27" t="str">
        <f>IFERROR(VLOOKUP(D224,Sessions!A:G,3,FALSE),"")</f>
        <v/>
      </c>
      <c r="H224" s="26" t="str">
        <f>IFERROR(VLOOKUP(D224,Sessions!A:G,4,FALSE),"")</f>
        <v/>
      </c>
      <c r="I224" s="38" t="str">
        <f>IFERROR(VLOOKUP(D224,Sessions!A:G,5,FALSE),"")</f>
        <v/>
      </c>
      <c r="J224" s="38" t="str">
        <f>IFERROR(VLOOKUP(D224,Sessions!A:G,6,FALSE),"")</f>
        <v/>
      </c>
      <c r="K224" s="58"/>
      <c r="L224" s="40" t="s">
        <v>3</v>
      </c>
      <c r="M224" s="42" t="str">
        <f>"It's all set! 🎉 Here is a summary of your order:
*Number of Tickets*: 1
*Experience*: "&amp;F224&amp;"
*Date*: "&amp;TEXT(G224,"dd/mm/yy")&amp;"
*Time*: "&amp;H224&amp;"
*Price*: "&amp;K224&amp;" "&amp;L224&amp;"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25" spans="6:13" ht="15.75" customHeight="1">
      <c r="F225" s="26" t="str">
        <f>IFERROR(VLOOKUP(D225,Sessions!A:G,2,FALSE),"")</f>
        <v/>
      </c>
      <c r="G225" s="27" t="str">
        <f>IFERROR(VLOOKUP(D225,Sessions!A:G,3,FALSE),"")</f>
        <v/>
      </c>
      <c r="H225" s="26" t="str">
        <f>IFERROR(VLOOKUP(D225,Sessions!A:G,4,FALSE),"")</f>
        <v/>
      </c>
      <c r="I225" s="38" t="str">
        <f>IFERROR(VLOOKUP(D225,Sessions!A:G,5,FALSE),"")</f>
        <v/>
      </c>
      <c r="J225" s="38" t="str">
        <f>IFERROR(VLOOKUP(D225,Sessions!A:G,6,FALSE),"")</f>
        <v/>
      </c>
      <c r="K225" s="58"/>
      <c r="L225" s="40" t="s">
        <v>3</v>
      </c>
      <c r="M225" s="42" t="str">
        <f>"It's all set! 🎉 Here is a summary of your order:
*Number of Tickets*: 1
*Experience*: "&amp;F225&amp;"
*Date*: "&amp;TEXT(G225,"dd/mm/yy")&amp;"
*Time*: "&amp;H225&amp;"
*Price*: "&amp;K225&amp;" "&amp;L225&amp;"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26" spans="6:13" ht="15.75" customHeight="1">
      <c r="F226" s="26" t="str">
        <f>IFERROR(VLOOKUP(D226,Sessions!A:G,2,FALSE),"")</f>
        <v/>
      </c>
      <c r="G226" s="27" t="str">
        <f>IFERROR(VLOOKUP(D226,Sessions!A:G,3,FALSE),"")</f>
        <v/>
      </c>
      <c r="H226" s="26" t="str">
        <f>IFERROR(VLOOKUP(D226,Sessions!A:G,4,FALSE),"")</f>
        <v/>
      </c>
      <c r="I226" s="38" t="str">
        <f>IFERROR(VLOOKUP(D226,Sessions!A:G,5,FALSE),"")</f>
        <v/>
      </c>
      <c r="J226" s="38" t="str">
        <f>IFERROR(VLOOKUP(D226,Sessions!A:G,6,FALSE),"")</f>
        <v/>
      </c>
      <c r="K226" s="58"/>
      <c r="L226" s="40" t="s">
        <v>3</v>
      </c>
      <c r="M226" s="42" t="str">
        <f>"It's all set! 🎉 Here is a summary of your order:
*Number of Tickets*: 1
*Experience*: "&amp;F226&amp;"
*Date*: "&amp;TEXT(G226,"dd/mm/yy")&amp;"
*Time*: "&amp;H226&amp;"
*Price*: "&amp;K226&amp;" "&amp;L226&amp;"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27" spans="6:13" ht="15.75" customHeight="1">
      <c r="F227" s="26" t="str">
        <f>IFERROR(VLOOKUP(D227,Sessions!A:G,2,FALSE),"")</f>
        <v/>
      </c>
      <c r="G227" s="27" t="str">
        <f>IFERROR(VLOOKUP(D227,Sessions!A:G,3,FALSE),"")</f>
        <v/>
      </c>
      <c r="H227" s="26" t="str">
        <f>IFERROR(VLOOKUP(D227,Sessions!A:G,4,FALSE),"")</f>
        <v/>
      </c>
      <c r="I227" s="38" t="str">
        <f>IFERROR(VLOOKUP(D227,Sessions!A:G,5,FALSE),"")</f>
        <v/>
      </c>
      <c r="J227" s="38" t="str">
        <f>IFERROR(VLOOKUP(D227,Sessions!A:G,6,FALSE),"")</f>
        <v/>
      </c>
      <c r="K227" s="58"/>
      <c r="L227" s="40" t="s">
        <v>3</v>
      </c>
      <c r="M227" s="42" t="str">
        <f>"It's all set! 🎉 Here is a summary of your order:
*Number of Tickets*: 1
*Experience*: "&amp;F227&amp;"
*Date*: "&amp;TEXT(G227,"dd/mm/yy")&amp;"
*Time*: "&amp;H227&amp;"
*Price*: "&amp;K227&amp;" "&amp;L227&amp;"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28" spans="6:13" ht="15.75" customHeight="1">
      <c r="F228" s="26" t="str">
        <f>IFERROR(VLOOKUP(D228,Sessions!A:G,2,FALSE),"")</f>
        <v/>
      </c>
      <c r="G228" s="27" t="str">
        <f>IFERROR(VLOOKUP(D228,Sessions!A:G,3,FALSE),"")</f>
        <v/>
      </c>
      <c r="H228" s="26" t="str">
        <f>IFERROR(VLOOKUP(D228,Sessions!A:G,4,FALSE),"")</f>
        <v/>
      </c>
      <c r="I228" s="38" t="str">
        <f>IFERROR(VLOOKUP(D228,Sessions!A:G,5,FALSE),"")</f>
        <v/>
      </c>
      <c r="J228" s="38" t="str">
        <f>IFERROR(VLOOKUP(D228,Sessions!A:G,6,FALSE),"")</f>
        <v/>
      </c>
      <c r="K228" s="58"/>
      <c r="L228" s="40" t="s">
        <v>3</v>
      </c>
      <c r="M228" s="42" t="str">
        <f>"It's all set! 🎉 Here is a summary of your order:
*Number of Tickets*: 1
*Experience*: "&amp;F228&amp;"
*Date*: "&amp;TEXT(G228,"dd/mm/yy")&amp;"
*Time*: "&amp;H228&amp;"
*Price*: "&amp;K228&amp;" "&amp;L228&amp;"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29" spans="6:13" ht="15.75" customHeight="1">
      <c r="F229" s="26" t="str">
        <f>IFERROR(VLOOKUP(D229,Sessions!A:G,2,FALSE),"")</f>
        <v/>
      </c>
      <c r="G229" s="27" t="str">
        <f>IFERROR(VLOOKUP(D229,Sessions!A:G,3,FALSE),"")</f>
        <v/>
      </c>
      <c r="H229" s="26" t="str">
        <f>IFERROR(VLOOKUP(D229,Sessions!A:G,4,FALSE),"")</f>
        <v/>
      </c>
      <c r="I229" s="38" t="str">
        <f>IFERROR(VLOOKUP(D229,Sessions!A:G,5,FALSE),"")</f>
        <v/>
      </c>
      <c r="J229" s="38" t="str">
        <f>IFERROR(VLOOKUP(D229,Sessions!A:G,6,FALSE),"")</f>
        <v/>
      </c>
      <c r="K229" s="58"/>
      <c r="L229" s="40" t="s">
        <v>3</v>
      </c>
      <c r="M229" s="42" t="str">
        <f>"It's all set! 🎉 Here is a summary of your order:
*Number of Tickets*: 1
*Experience*: "&amp;F229&amp;"
*Date*: "&amp;TEXT(G229,"dd/mm/yy")&amp;"
*Time*: "&amp;H229&amp;"
*Price*: "&amp;K229&amp;" "&amp;L229&amp;"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30" spans="6:13" ht="15.75" customHeight="1">
      <c r="F230" s="26" t="str">
        <f>IFERROR(VLOOKUP(D230,Sessions!A:G,2,FALSE),"")</f>
        <v/>
      </c>
      <c r="G230" s="27" t="str">
        <f>IFERROR(VLOOKUP(D230,Sessions!A:G,3,FALSE),"")</f>
        <v/>
      </c>
      <c r="H230" s="26" t="str">
        <f>IFERROR(VLOOKUP(D230,Sessions!A:G,4,FALSE),"")</f>
        <v/>
      </c>
      <c r="I230" s="38" t="str">
        <f>IFERROR(VLOOKUP(D230,Sessions!A:G,5,FALSE),"")</f>
        <v/>
      </c>
      <c r="J230" s="38" t="str">
        <f>IFERROR(VLOOKUP(D230,Sessions!A:G,6,FALSE),"")</f>
        <v/>
      </c>
      <c r="K230" s="58"/>
      <c r="L230" s="40" t="s">
        <v>3</v>
      </c>
      <c r="M230" s="42" t="str">
        <f>"It's all set! 🎉 Here is a summary of your order:
*Number of Tickets*: 1
*Experience*: "&amp;F230&amp;"
*Date*: "&amp;TEXT(G230,"dd/mm/yy")&amp;"
*Time*: "&amp;H230&amp;"
*Price*: "&amp;K230&amp;" "&amp;L230&amp;"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31" spans="6:13" ht="15.75" customHeight="1">
      <c r="F231" s="26" t="str">
        <f>IFERROR(VLOOKUP(D231,Sessions!A:G,2,FALSE),"")</f>
        <v/>
      </c>
      <c r="G231" s="27" t="str">
        <f>IFERROR(VLOOKUP(D231,Sessions!A:G,3,FALSE),"")</f>
        <v/>
      </c>
      <c r="H231" s="26" t="str">
        <f>IFERROR(VLOOKUP(D231,Sessions!A:G,4,FALSE),"")</f>
        <v/>
      </c>
      <c r="I231" s="38" t="str">
        <f>IFERROR(VLOOKUP(D231,Sessions!A:G,5,FALSE),"")</f>
        <v/>
      </c>
      <c r="J231" s="38" t="str">
        <f>IFERROR(VLOOKUP(D231,Sessions!A:G,6,FALSE),"")</f>
        <v/>
      </c>
      <c r="K231" s="58"/>
      <c r="L231" s="40" t="s">
        <v>3</v>
      </c>
      <c r="M231" s="42" t="str">
        <f>"It's all set! 🎉 Here is a summary of your order:
*Number of Tickets*: 1
*Experience*: "&amp;F231&amp;"
*Date*: "&amp;TEXT(G231,"dd/mm/yy")&amp;"
*Time*: "&amp;H231&amp;"
*Price*: "&amp;K231&amp;" "&amp;L231&amp;"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32" spans="6:13" ht="15.75" customHeight="1">
      <c r="F232" s="26" t="str">
        <f>IFERROR(VLOOKUP(D232,Sessions!A:G,2,FALSE),"")</f>
        <v/>
      </c>
      <c r="G232" s="27" t="str">
        <f>IFERROR(VLOOKUP(D232,Sessions!A:G,3,FALSE),"")</f>
        <v/>
      </c>
      <c r="H232" s="26" t="str">
        <f>IFERROR(VLOOKUP(D232,Sessions!A:G,4,FALSE),"")</f>
        <v/>
      </c>
      <c r="I232" s="38" t="str">
        <f>IFERROR(VLOOKUP(D232,Sessions!A:G,5,FALSE),"")</f>
        <v/>
      </c>
      <c r="J232" s="38" t="str">
        <f>IFERROR(VLOOKUP(D232,Sessions!A:G,6,FALSE),"")</f>
        <v/>
      </c>
      <c r="K232" s="58"/>
      <c r="L232" s="40" t="s">
        <v>3</v>
      </c>
      <c r="M232" s="42" t="str">
        <f>"It's all set! 🎉 Here is a summary of your order:
*Number of Tickets*: 1
*Experience*: "&amp;F232&amp;"
*Date*: "&amp;TEXT(G232,"dd/mm/yy")&amp;"
*Time*: "&amp;H232&amp;"
*Price*: "&amp;K232&amp;" "&amp;L232&amp;"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33" spans="6:13" ht="15.75" customHeight="1">
      <c r="F233" s="26" t="str">
        <f>IFERROR(VLOOKUP(D233,Sessions!A:G,2,FALSE),"")</f>
        <v/>
      </c>
      <c r="G233" s="27" t="str">
        <f>IFERROR(VLOOKUP(D233,Sessions!A:G,3,FALSE),"")</f>
        <v/>
      </c>
      <c r="H233" s="26" t="str">
        <f>IFERROR(VLOOKUP(D233,Sessions!A:G,4,FALSE),"")</f>
        <v/>
      </c>
      <c r="I233" s="38" t="str">
        <f>IFERROR(VLOOKUP(D233,Sessions!A:G,5,FALSE),"")</f>
        <v/>
      </c>
      <c r="J233" s="38" t="str">
        <f>IFERROR(VLOOKUP(D233,Sessions!A:G,6,FALSE),"")</f>
        <v/>
      </c>
      <c r="K233" s="58"/>
      <c r="L233" s="40" t="s">
        <v>3</v>
      </c>
      <c r="M233" s="42" t="str">
        <f>"It's all set! 🎉 Here is a summary of your order:
*Number of Tickets*: 1
*Experience*: "&amp;F233&amp;"
*Date*: "&amp;TEXT(G233,"dd/mm/yy")&amp;"
*Time*: "&amp;H233&amp;"
*Price*: "&amp;K233&amp;" "&amp;L233&amp;"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34" spans="6:13" ht="15.75" customHeight="1">
      <c r="F234" s="26" t="str">
        <f>IFERROR(VLOOKUP(D234,Sessions!A:G,2,FALSE),"")</f>
        <v/>
      </c>
      <c r="G234" s="27" t="str">
        <f>IFERROR(VLOOKUP(D234,Sessions!A:G,3,FALSE),"")</f>
        <v/>
      </c>
      <c r="H234" s="26" t="str">
        <f>IFERROR(VLOOKUP(D234,Sessions!A:G,4,FALSE),"")</f>
        <v/>
      </c>
      <c r="I234" s="38" t="str">
        <f>IFERROR(VLOOKUP(D234,Sessions!A:G,5,FALSE),"")</f>
        <v/>
      </c>
      <c r="J234" s="38" t="str">
        <f>IFERROR(VLOOKUP(D234,Sessions!A:G,6,FALSE),"")</f>
        <v/>
      </c>
      <c r="K234" s="58"/>
      <c r="L234" s="40" t="s">
        <v>3</v>
      </c>
      <c r="M234" s="42" t="str">
        <f>"It's all set! 🎉 Here is a summary of your order:
*Number of Tickets*: 1
*Experience*: "&amp;F234&amp;"
*Date*: "&amp;TEXT(G234,"dd/mm/yy")&amp;"
*Time*: "&amp;H234&amp;"
*Price*: "&amp;K234&amp;" "&amp;L234&amp;"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35" spans="6:13" ht="15.75" customHeight="1">
      <c r="F235" s="26" t="str">
        <f>IFERROR(VLOOKUP(D235,Sessions!A:G,2,FALSE),"")</f>
        <v/>
      </c>
      <c r="G235" s="27" t="str">
        <f>IFERROR(VLOOKUP(D235,Sessions!A:G,3,FALSE),"")</f>
        <v/>
      </c>
      <c r="H235" s="26" t="str">
        <f>IFERROR(VLOOKUP(D235,Sessions!A:G,4,FALSE),"")</f>
        <v/>
      </c>
      <c r="I235" s="38" t="str">
        <f>IFERROR(VLOOKUP(D235,Sessions!A:G,5,FALSE),"")</f>
        <v/>
      </c>
      <c r="J235" s="38" t="str">
        <f>IFERROR(VLOOKUP(D235,Sessions!A:G,6,FALSE),"")</f>
        <v/>
      </c>
      <c r="K235" s="58"/>
      <c r="L235" s="40" t="s">
        <v>3</v>
      </c>
      <c r="M235" s="42" t="str">
        <f>"It's all set! 🎉 Here is a summary of your order:
*Number of Tickets*: 1
*Experience*: "&amp;F235&amp;"
*Date*: "&amp;TEXT(G235,"dd/mm/yy")&amp;"
*Time*: "&amp;H235&amp;"
*Price*: "&amp;K235&amp;" "&amp;L235&amp;"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36" spans="6:13" ht="15.75" customHeight="1">
      <c r="F236" s="26" t="str">
        <f>IFERROR(VLOOKUP(D236,Sessions!A:G,2,FALSE),"")</f>
        <v/>
      </c>
      <c r="G236" s="27" t="str">
        <f>IFERROR(VLOOKUP(D236,Sessions!A:G,3,FALSE),"")</f>
        <v/>
      </c>
      <c r="H236" s="26" t="str">
        <f>IFERROR(VLOOKUP(D236,Sessions!A:G,4,FALSE),"")</f>
        <v/>
      </c>
      <c r="I236" s="38" t="str">
        <f>IFERROR(VLOOKUP(D236,Sessions!A:G,5,FALSE),"")</f>
        <v/>
      </c>
      <c r="J236" s="38" t="str">
        <f>IFERROR(VLOOKUP(D236,Sessions!A:G,6,FALSE),"")</f>
        <v/>
      </c>
      <c r="K236" s="58"/>
      <c r="L236" s="40" t="s">
        <v>3</v>
      </c>
      <c r="M236" s="42" t="str">
        <f>"It's all set! 🎉 Here is a summary of your order:
*Number of Tickets*: 1
*Experience*: "&amp;F236&amp;"
*Date*: "&amp;TEXT(G236,"dd/mm/yy")&amp;"
*Time*: "&amp;H236&amp;"
*Price*: "&amp;K236&amp;" "&amp;L236&amp;"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37" spans="6:13" ht="15.75" customHeight="1">
      <c r="F237" s="26" t="str">
        <f>IFERROR(VLOOKUP(D237,Sessions!A:G,2,FALSE),"")</f>
        <v/>
      </c>
      <c r="G237" s="27" t="str">
        <f>IFERROR(VLOOKUP(D237,Sessions!A:G,3,FALSE),"")</f>
        <v/>
      </c>
      <c r="H237" s="26" t="str">
        <f>IFERROR(VLOOKUP(D237,Sessions!A:G,4,FALSE),"")</f>
        <v/>
      </c>
      <c r="I237" s="38" t="str">
        <f>IFERROR(VLOOKUP(D237,Sessions!A:G,5,FALSE),"")</f>
        <v/>
      </c>
      <c r="J237" s="38" t="str">
        <f>IFERROR(VLOOKUP(D237,Sessions!A:G,6,FALSE),"")</f>
        <v/>
      </c>
      <c r="K237" s="58"/>
      <c r="L237" s="40" t="s">
        <v>3</v>
      </c>
      <c r="M237" s="42" t="str">
        <f>"It's all set! 🎉 Here is a summary of your order:
*Number of Tickets*: 1
*Experience*: "&amp;F237&amp;"
*Date*: "&amp;TEXT(G237,"dd/mm/yy")&amp;"
*Time*: "&amp;H237&amp;"
*Price*: "&amp;K237&amp;" "&amp;L237&amp;"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38" spans="6:13" ht="15.75" customHeight="1">
      <c r="F238" s="26" t="str">
        <f>IFERROR(VLOOKUP(D238,Sessions!A:G,2,FALSE),"")</f>
        <v/>
      </c>
      <c r="G238" s="27" t="str">
        <f>IFERROR(VLOOKUP(D238,Sessions!A:G,3,FALSE),"")</f>
        <v/>
      </c>
      <c r="H238" s="26" t="str">
        <f>IFERROR(VLOOKUP(D238,Sessions!A:G,4,FALSE),"")</f>
        <v/>
      </c>
      <c r="I238" s="38" t="str">
        <f>IFERROR(VLOOKUP(D238,Sessions!A:G,5,FALSE),"")</f>
        <v/>
      </c>
      <c r="J238" s="38" t="str">
        <f>IFERROR(VLOOKUP(D238,Sessions!A:G,6,FALSE),"")</f>
        <v/>
      </c>
      <c r="K238" s="58"/>
      <c r="L238" s="40" t="s">
        <v>3</v>
      </c>
      <c r="M238" s="42" t="str">
        <f>"It's all set! 🎉 Here is a summary of your order:
*Number of Tickets*: 1
*Experience*: "&amp;F238&amp;"
*Date*: "&amp;TEXT(G238,"dd/mm/yy")&amp;"
*Time*: "&amp;H238&amp;"
*Price*: "&amp;K238&amp;" "&amp;L238&amp;"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39" spans="6:13" ht="15.75" customHeight="1">
      <c r="F239" s="26" t="str">
        <f>IFERROR(VLOOKUP(D239,Sessions!A:G,2,FALSE),"")</f>
        <v/>
      </c>
      <c r="G239" s="27" t="str">
        <f>IFERROR(VLOOKUP(D239,Sessions!A:G,3,FALSE),"")</f>
        <v/>
      </c>
      <c r="H239" s="26" t="str">
        <f>IFERROR(VLOOKUP(D239,Sessions!A:G,4,FALSE),"")</f>
        <v/>
      </c>
      <c r="I239" s="38" t="str">
        <f>IFERROR(VLOOKUP(D239,Sessions!A:G,5,FALSE),"")</f>
        <v/>
      </c>
      <c r="J239" s="38" t="str">
        <f>IFERROR(VLOOKUP(D239,Sessions!A:G,6,FALSE),"")</f>
        <v/>
      </c>
      <c r="K239" s="58"/>
      <c r="L239" s="40" t="s">
        <v>3</v>
      </c>
      <c r="M239" s="42" t="str">
        <f>"It's all set! 🎉 Here is a summary of your order:
*Number of Tickets*: 1
*Experience*: "&amp;F239&amp;"
*Date*: "&amp;TEXT(G239,"dd/mm/yy")&amp;"
*Time*: "&amp;H239&amp;"
*Price*: "&amp;K239&amp;" "&amp;L239&amp;"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40" spans="6:13" ht="15.75" customHeight="1">
      <c r="F240" s="26" t="str">
        <f>IFERROR(VLOOKUP(D240,Sessions!A:G,2,FALSE),"")</f>
        <v/>
      </c>
      <c r="G240" s="27" t="str">
        <f>IFERROR(VLOOKUP(D240,Sessions!A:G,3,FALSE),"")</f>
        <v/>
      </c>
      <c r="H240" s="26" t="str">
        <f>IFERROR(VLOOKUP(D240,Sessions!A:G,4,FALSE),"")</f>
        <v/>
      </c>
      <c r="I240" s="38" t="str">
        <f>IFERROR(VLOOKUP(D240,Sessions!A:G,5,FALSE),"")</f>
        <v/>
      </c>
      <c r="J240" s="38" t="str">
        <f>IFERROR(VLOOKUP(D240,Sessions!A:G,6,FALSE),"")</f>
        <v/>
      </c>
      <c r="K240" s="58"/>
      <c r="L240" s="40" t="s">
        <v>3</v>
      </c>
      <c r="M240" s="42" t="str">
        <f>"It's all set! 🎉 Here is a summary of your order:
*Number of Tickets*: 1
*Experience*: "&amp;F240&amp;"
*Date*: "&amp;TEXT(G240,"dd/mm/yy")&amp;"
*Time*: "&amp;H240&amp;"
*Price*: "&amp;K240&amp;" "&amp;L240&amp;"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41" spans="6:13" ht="15.75" customHeight="1">
      <c r="F241" s="26" t="str">
        <f>IFERROR(VLOOKUP(D241,Sessions!A:G,2,FALSE),"")</f>
        <v/>
      </c>
      <c r="G241" s="27" t="str">
        <f>IFERROR(VLOOKUP(D241,Sessions!A:G,3,FALSE),"")</f>
        <v/>
      </c>
      <c r="H241" s="26" t="str">
        <f>IFERROR(VLOOKUP(D241,Sessions!A:G,4,FALSE),"")</f>
        <v/>
      </c>
      <c r="I241" s="38" t="str">
        <f>IFERROR(VLOOKUP(D241,Sessions!A:G,5,FALSE),"")</f>
        <v/>
      </c>
      <c r="J241" s="38" t="str">
        <f>IFERROR(VLOOKUP(D241,Sessions!A:G,6,FALSE),"")</f>
        <v/>
      </c>
      <c r="K241" s="58"/>
      <c r="L241" s="40" t="s">
        <v>3</v>
      </c>
      <c r="M241" s="42" t="str">
        <f>"It's all set! 🎉 Here is a summary of your order:
*Number of Tickets*: 1
*Experience*: "&amp;F241&amp;"
*Date*: "&amp;TEXT(G241,"dd/mm/yy")&amp;"
*Time*: "&amp;H241&amp;"
*Price*: "&amp;K241&amp;" "&amp;L241&amp;"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42" spans="6:13" ht="15.75" customHeight="1">
      <c r="F242" s="26" t="str">
        <f>IFERROR(VLOOKUP(D242,Sessions!A:G,2,FALSE),"")</f>
        <v/>
      </c>
      <c r="G242" s="27" t="str">
        <f>IFERROR(VLOOKUP(D242,Sessions!A:G,3,FALSE),"")</f>
        <v/>
      </c>
      <c r="H242" s="26" t="str">
        <f>IFERROR(VLOOKUP(D242,Sessions!A:G,4,FALSE),"")</f>
        <v/>
      </c>
      <c r="I242" s="38" t="str">
        <f>IFERROR(VLOOKUP(D242,Sessions!A:G,5,FALSE),"")</f>
        <v/>
      </c>
      <c r="J242" s="38" t="str">
        <f>IFERROR(VLOOKUP(D242,Sessions!A:G,6,FALSE),"")</f>
        <v/>
      </c>
      <c r="K242" s="58"/>
      <c r="L242" s="40" t="s">
        <v>3</v>
      </c>
      <c r="M242" s="42" t="str">
        <f>"It's all set! 🎉 Here is a summary of your order:
*Number of Tickets*: 1
*Experience*: "&amp;F242&amp;"
*Date*: "&amp;TEXT(G242,"dd/mm/yy")&amp;"
*Time*: "&amp;H242&amp;"
*Price*: "&amp;K242&amp;" "&amp;L242&amp;"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43" spans="6:13" ht="15.75" customHeight="1">
      <c r="F243" s="26" t="str">
        <f>IFERROR(VLOOKUP(D243,Sessions!A:G,2,FALSE),"")</f>
        <v/>
      </c>
      <c r="G243" s="27" t="str">
        <f>IFERROR(VLOOKUP(D243,Sessions!A:G,3,FALSE),"")</f>
        <v/>
      </c>
      <c r="H243" s="26" t="str">
        <f>IFERROR(VLOOKUP(D243,Sessions!A:G,4,FALSE),"")</f>
        <v/>
      </c>
      <c r="I243" s="38" t="str">
        <f>IFERROR(VLOOKUP(D243,Sessions!A:G,5,FALSE),"")</f>
        <v/>
      </c>
      <c r="J243" s="38" t="str">
        <f>IFERROR(VLOOKUP(D243,Sessions!A:G,6,FALSE),"")</f>
        <v/>
      </c>
      <c r="K243" s="58"/>
      <c r="L243" s="40" t="s">
        <v>3</v>
      </c>
      <c r="M243" s="42" t="str">
        <f>"It's all set! 🎉 Here is a summary of your order:
*Number of Tickets*: 1
*Experience*: "&amp;F243&amp;"
*Date*: "&amp;TEXT(G243,"dd/mm/yy")&amp;"
*Time*: "&amp;H243&amp;"
*Price*: "&amp;K243&amp;" "&amp;L243&amp;"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44" spans="6:13" ht="15.75" customHeight="1">
      <c r="F244" s="26" t="str">
        <f>IFERROR(VLOOKUP(D244,Sessions!A:G,2,FALSE),"")</f>
        <v/>
      </c>
      <c r="G244" s="27" t="str">
        <f>IFERROR(VLOOKUP(D244,Sessions!A:G,3,FALSE),"")</f>
        <v/>
      </c>
      <c r="H244" s="26" t="str">
        <f>IFERROR(VLOOKUP(D244,Sessions!A:G,4,FALSE),"")</f>
        <v/>
      </c>
      <c r="I244" s="38" t="str">
        <f>IFERROR(VLOOKUP(D244,Sessions!A:G,5,FALSE),"")</f>
        <v/>
      </c>
      <c r="J244" s="38" t="str">
        <f>IFERROR(VLOOKUP(D244,Sessions!A:G,6,FALSE),"")</f>
        <v/>
      </c>
      <c r="K244" s="58"/>
      <c r="L244" s="40" t="s">
        <v>3</v>
      </c>
      <c r="M244" s="42" t="str">
        <f>"It's all set! 🎉 Here is a summary of your order:
*Number of Tickets*: 1
*Experience*: "&amp;F244&amp;"
*Date*: "&amp;TEXT(G244,"dd/mm/yy")&amp;"
*Time*: "&amp;H244&amp;"
*Price*: "&amp;K244&amp;" "&amp;L244&amp;"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45" spans="6:13" ht="15.75" customHeight="1">
      <c r="F245" s="26" t="str">
        <f>IFERROR(VLOOKUP(D245,Sessions!A:G,2,FALSE),"")</f>
        <v/>
      </c>
      <c r="G245" s="27" t="str">
        <f>IFERROR(VLOOKUP(D245,Sessions!A:G,3,FALSE),"")</f>
        <v/>
      </c>
      <c r="H245" s="26" t="str">
        <f>IFERROR(VLOOKUP(D245,Sessions!A:G,4,FALSE),"")</f>
        <v/>
      </c>
      <c r="I245" s="38" t="str">
        <f>IFERROR(VLOOKUP(D245,Sessions!A:G,5,FALSE),"")</f>
        <v/>
      </c>
      <c r="J245" s="38" t="str">
        <f>IFERROR(VLOOKUP(D245,Sessions!A:G,6,FALSE),"")</f>
        <v/>
      </c>
      <c r="K245" s="58"/>
      <c r="L245" s="40" t="s">
        <v>3</v>
      </c>
      <c r="M245" s="42" t="str">
        <f>"It's all set! 🎉 Here is a summary of your order:
*Number of Tickets*: 1
*Experience*: "&amp;F245&amp;"
*Date*: "&amp;TEXT(G245,"dd/mm/yy")&amp;"
*Time*: "&amp;H245&amp;"
*Price*: "&amp;K245&amp;" "&amp;L245&amp;"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46" spans="6:13" ht="15.75" customHeight="1">
      <c r="F246" s="26" t="str">
        <f>IFERROR(VLOOKUP(D246,Sessions!A:G,2,FALSE),"")</f>
        <v/>
      </c>
      <c r="G246" s="27" t="str">
        <f>IFERROR(VLOOKUP(D246,Sessions!A:G,3,FALSE),"")</f>
        <v/>
      </c>
      <c r="H246" s="26" t="str">
        <f>IFERROR(VLOOKUP(D246,Sessions!A:G,4,FALSE),"")</f>
        <v/>
      </c>
      <c r="I246" s="38" t="str">
        <f>IFERROR(VLOOKUP(D246,Sessions!A:G,5,FALSE),"")</f>
        <v/>
      </c>
      <c r="J246" s="38" t="str">
        <f>IFERROR(VLOOKUP(D246,Sessions!A:G,6,FALSE),"")</f>
        <v/>
      </c>
      <c r="K246" s="58"/>
      <c r="L246" s="40" t="s">
        <v>3</v>
      </c>
      <c r="M246" s="42" t="str">
        <f>"It's all set! 🎉 Here is a summary of your order:
*Number of Tickets*: 1
*Experience*: "&amp;F246&amp;"
*Date*: "&amp;TEXT(G246,"dd/mm/yy")&amp;"
*Time*: "&amp;H246&amp;"
*Price*: "&amp;K246&amp;" "&amp;L246&amp;"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47" spans="6:13" ht="15.75" customHeight="1">
      <c r="F247" s="26" t="str">
        <f>IFERROR(VLOOKUP(D247,Sessions!A:G,2,FALSE),"")</f>
        <v/>
      </c>
      <c r="G247" s="27" t="str">
        <f>IFERROR(VLOOKUP(D247,Sessions!A:G,3,FALSE),"")</f>
        <v/>
      </c>
      <c r="H247" s="26" t="str">
        <f>IFERROR(VLOOKUP(D247,Sessions!A:G,4,FALSE),"")</f>
        <v/>
      </c>
      <c r="I247" s="38" t="str">
        <f>IFERROR(VLOOKUP(D247,Sessions!A:G,5,FALSE),"")</f>
        <v/>
      </c>
      <c r="J247" s="38" t="str">
        <f>IFERROR(VLOOKUP(D247,Sessions!A:G,6,FALSE),"")</f>
        <v/>
      </c>
      <c r="K247" s="58"/>
      <c r="L247" s="40" t="s">
        <v>3</v>
      </c>
      <c r="M247" s="42" t="str">
        <f>"It's all set! 🎉 Here is a summary of your order:
*Number of Tickets*: 1
*Experience*: "&amp;F247&amp;"
*Date*: "&amp;TEXT(G247,"dd/mm/yy")&amp;"
*Time*: "&amp;H247&amp;"
*Price*: "&amp;K247&amp;" "&amp;L247&amp;"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48" spans="6:13" ht="15.75" customHeight="1">
      <c r="F248" s="26" t="str">
        <f>IFERROR(VLOOKUP(D248,Sessions!A:G,2,FALSE),"")</f>
        <v/>
      </c>
      <c r="G248" s="27" t="str">
        <f>IFERROR(VLOOKUP(D248,Sessions!A:G,3,FALSE),"")</f>
        <v/>
      </c>
      <c r="H248" s="26" t="str">
        <f>IFERROR(VLOOKUP(D248,Sessions!A:G,4,FALSE),"")</f>
        <v/>
      </c>
      <c r="I248" s="38" t="str">
        <f>IFERROR(VLOOKUP(D248,Sessions!A:G,5,FALSE),"")</f>
        <v/>
      </c>
      <c r="J248" s="38" t="str">
        <f>IFERROR(VLOOKUP(D248,Sessions!A:G,6,FALSE),"")</f>
        <v/>
      </c>
      <c r="K248" s="58"/>
      <c r="L248" s="40" t="s">
        <v>3</v>
      </c>
      <c r="M248" s="42" t="str">
        <f>"It's all set! 🎉 Here is a summary of your order:
*Number of Tickets*: 1
*Experience*: "&amp;F248&amp;"
*Date*: "&amp;TEXT(G248,"dd/mm/yy")&amp;"
*Time*: "&amp;H248&amp;"
*Price*: "&amp;K248&amp;" "&amp;L248&amp;"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49" spans="6:13" ht="15.75" customHeight="1">
      <c r="F249" s="26" t="str">
        <f>IFERROR(VLOOKUP(D249,Sessions!A:G,2,FALSE),"")</f>
        <v/>
      </c>
      <c r="G249" s="27" t="str">
        <f>IFERROR(VLOOKUP(D249,Sessions!A:G,3,FALSE),"")</f>
        <v/>
      </c>
      <c r="H249" s="26" t="str">
        <f>IFERROR(VLOOKUP(D249,Sessions!A:G,4,FALSE),"")</f>
        <v/>
      </c>
      <c r="I249" s="38" t="str">
        <f>IFERROR(VLOOKUP(D249,Sessions!A:G,5,FALSE),"")</f>
        <v/>
      </c>
      <c r="J249" s="38" t="str">
        <f>IFERROR(VLOOKUP(D249,Sessions!A:G,6,FALSE),"")</f>
        <v/>
      </c>
      <c r="K249" s="58"/>
      <c r="L249" s="40" t="s">
        <v>3</v>
      </c>
      <c r="M249" s="42" t="str">
        <f>"It's all set! 🎉 Here is a summary of your order:
*Number of Tickets*: 1
*Experience*: "&amp;F249&amp;"
*Date*: "&amp;TEXT(G249,"dd/mm/yy")&amp;"
*Time*: "&amp;H249&amp;"
*Price*: "&amp;K249&amp;" "&amp;L249&amp;"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50" spans="6:13" ht="15.75" customHeight="1">
      <c r="F250" s="26" t="str">
        <f>IFERROR(VLOOKUP(D250,Sessions!A:G,2,FALSE),"")</f>
        <v/>
      </c>
      <c r="G250" s="27" t="str">
        <f>IFERROR(VLOOKUP(D250,Sessions!A:G,3,FALSE),"")</f>
        <v/>
      </c>
      <c r="H250" s="26" t="str">
        <f>IFERROR(VLOOKUP(D250,Sessions!A:G,4,FALSE),"")</f>
        <v/>
      </c>
      <c r="I250" s="38" t="str">
        <f>IFERROR(VLOOKUP(D250,Sessions!A:G,5,FALSE),"")</f>
        <v/>
      </c>
      <c r="J250" s="38" t="str">
        <f>IFERROR(VLOOKUP(D250,Sessions!A:G,6,FALSE),"")</f>
        <v/>
      </c>
      <c r="K250" s="58"/>
      <c r="L250" s="40" t="s">
        <v>3</v>
      </c>
      <c r="M250" s="42" t="str">
        <f>"It's all set! 🎉 Here is a summary of your order:
*Number of Tickets*: 1
*Experience*: "&amp;F250&amp;"
*Date*: "&amp;TEXT(G250,"dd/mm/yy")&amp;"
*Time*: "&amp;H250&amp;"
*Price*: "&amp;K250&amp;" "&amp;L250&amp;"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51" spans="6:13" ht="15.75" customHeight="1">
      <c r="F251" s="26" t="str">
        <f>IFERROR(VLOOKUP(D251,Sessions!A:G,2,FALSE),"")</f>
        <v/>
      </c>
      <c r="G251" s="27" t="str">
        <f>IFERROR(VLOOKUP(D251,Sessions!A:G,3,FALSE),"")</f>
        <v/>
      </c>
      <c r="H251" s="26" t="str">
        <f>IFERROR(VLOOKUP(D251,Sessions!A:G,4,FALSE),"")</f>
        <v/>
      </c>
      <c r="I251" s="38" t="str">
        <f>IFERROR(VLOOKUP(D251,Sessions!A:G,5,FALSE),"")</f>
        <v/>
      </c>
      <c r="J251" s="38" t="str">
        <f>IFERROR(VLOOKUP(D251,Sessions!A:G,6,FALSE),"")</f>
        <v/>
      </c>
      <c r="K251" s="58"/>
      <c r="L251" s="40" t="s">
        <v>3</v>
      </c>
      <c r="M251" s="42" t="str">
        <f>"It's all set! 🎉 Here is a summary of your order:
*Number of Tickets*: 1
*Experience*: "&amp;F251&amp;"
*Date*: "&amp;TEXT(G251,"dd/mm/yy")&amp;"
*Time*: "&amp;H251&amp;"
*Price*: "&amp;K251&amp;" "&amp;L251&amp;"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52" spans="6:13" ht="15.75" customHeight="1">
      <c r="F252" s="26" t="str">
        <f>IFERROR(VLOOKUP(D252,Sessions!A:G,2,FALSE),"")</f>
        <v/>
      </c>
      <c r="G252" s="27" t="str">
        <f>IFERROR(VLOOKUP(D252,Sessions!A:G,3,FALSE),"")</f>
        <v/>
      </c>
      <c r="H252" s="26" t="str">
        <f>IFERROR(VLOOKUP(D252,Sessions!A:G,4,FALSE),"")</f>
        <v/>
      </c>
      <c r="I252" s="38" t="str">
        <f>IFERROR(VLOOKUP(D252,Sessions!A:G,5,FALSE),"")</f>
        <v/>
      </c>
      <c r="J252" s="38" t="str">
        <f>IFERROR(VLOOKUP(D252,Sessions!A:G,6,FALSE),"")</f>
        <v/>
      </c>
      <c r="K252" s="58"/>
      <c r="L252" s="40" t="s">
        <v>3</v>
      </c>
      <c r="M252" s="42" t="str">
        <f>"It's all set! 🎉 Here is a summary of your order:
*Number of Tickets*: 1
*Experience*: "&amp;F252&amp;"
*Date*: "&amp;TEXT(G252,"dd/mm/yy")&amp;"
*Time*: "&amp;H252&amp;"
*Price*: "&amp;K252&amp;" "&amp;L252&amp;"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53" spans="6:13" ht="15.75" customHeight="1">
      <c r="F253" s="26" t="str">
        <f>IFERROR(VLOOKUP(D253,Sessions!A:G,2,FALSE),"")</f>
        <v/>
      </c>
      <c r="G253" s="27" t="str">
        <f>IFERROR(VLOOKUP(D253,Sessions!A:G,3,FALSE),"")</f>
        <v/>
      </c>
      <c r="H253" s="26" t="str">
        <f>IFERROR(VLOOKUP(D253,Sessions!A:G,4,FALSE),"")</f>
        <v/>
      </c>
      <c r="I253" s="38" t="str">
        <f>IFERROR(VLOOKUP(D253,Sessions!A:G,5,FALSE),"")</f>
        <v/>
      </c>
      <c r="J253" s="38" t="str">
        <f>IFERROR(VLOOKUP(D253,Sessions!A:G,6,FALSE),"")</f>
        <v/>
      </c>
      <c r="K253" s="58"/>
      <c r="L253" s="40" t="s">
        <v>3</v>
      </c>
      <c r="M253" s="42" t="str">
        <f>"It's all set! 🎉 Here is a summary of your order:
*Number of Tickets*: 1
*Experience*: "&amp;F253&amp;"
*Date*: "&amp;TEXT(G253,"dd/mm/yy")&amp;"
*Time*: "&amp;H253&amp;"
*Price*: "&amp;K253&amp;" "&amp;L253&amp;"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54" spans="6:13" ht="15.75" customHeight="1">
      <c r="F254" s="26" t="str">
        <f>IFERROR(VLOOKUP(D254,Sessions!A:G,2,FALSE),"")</f>
        <v/>
      </c>
      <c r="G254" s="27" t="str">
        <f>IFERROR(VLOOKUP(D254,Sessions!A:G,3,FALSE),"")</f>
        <v/>
      </c>
      <c r="H254" s="26" t="str">
        <f>IFERROR(VLOOKUP(D254,Sessions!A:G,4,FALSE),"")</f>
        <v/>
      </c>
      <c r="I254" s="38" t="str">
        <f>IFERROR(VLOOKUP(D254,Sessions!A:G,5,FALSE),"")</f>
        <v/>
      </c>
      <c r="J254" s="38" t="str">
        <f>IFERROR(VLOOKUP(D254,Sessions!A:G,6,FALSE),"")</f>
        <v/>
      </c>
      <c r="K254" s="58"/>
      <c r="L254" s="40" t="s">
        <v>3</v>
      </c>
      <c r="M254" s="42" t="str">
        <f>"It's all set! 🎉 Here is a summary of your order:
*Number of Tickets*: 1
*Experience*: "&amp;F254&amp;"
*Date*: "&amp;TEXT(G254,"dd/mm/yy")&amp;"
*Time*: "&amp;H254&amp;"
*Price*: "&amp;K254&amp;" "&amp;L254&amp;"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55" spans="6:13" ht="15.75" customHeight="1">
      <c r="F255" s="26" t="str">
        <f>IFERROR(VLOOKUP(D255,Sessions!A:G,2,FALSE),"")</f>
        <v/>
      </c>
      <c r="G255" s="27" t="str">
        <f>IFERROR(VLOOKUP(D255,Sessions!A:G,3,FALSE),"")</f>
        <v/>
      </c>
      <c r="H255" s="26" t="str">
        <f>IFERROR(VLOOKUP(D255,Sessions!A:G,4,FALSE),"")</f>
        <v/>
      </c>
      <c r="I255" s="38" t="str">
        <f>IFERROR(VLOOKUP(D255,Sessions!A:G,5,FALSE),"")</f>
        <v/>
      </c>
      <c r="J255" s="38" t="str">
        <f>IFERROR(VLOOKUP(D255,Sessions!A:G,6,FALSE),"")</f>
        <v/>
      </c>
      <c r="K255" s="58"/>
      <c r="L255" s="40" t="s">
        <v>3</v>
      </c>
      <c r="M255" s="42" t="str">
        <f>"It's all set! 🎉 Here is a summary of your order:
*Number of Tickets*: 1
*Experience*: "&amp;F255&amp;"
*Date*: "&amp;TEXT(G255,"dd/mm/yy")&amp;"
*Time*: "&amp;H255&amp;"
*Price*: "&amp;K255&amp;" "&amp;L255&amp;"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56" spans="6:13" ht="15.75" customHeight="1">
      <c r="F256" s="26" t="str">
        <f>IFERROR(VLOOKUP(D256,Sessions!A:G,2,FALSE),"")</f>
        <v/>
      </c>
      <c r="G256" s="27" t="str">
        <f>IFERROR(VLOOKUP(D256,Sessions!A:G,3,FALSE),"")</f>
        <v/>
      </c>
      <c r="H256" s="26" t="str">
        <f>IFERROR(VLOOKUP(D256,Sessions!A:G,4,FALSE),"")</f>
        <v/>
      </c>
      <c r="I256" s="38" t="str">
        <f>IFERROR(VLOOKUP(D256,Sessions!A:G,5,FALSE),"")</f>
        <v/>
      </c>
      <c r="J256" s="38" t="str">
        <f>IFERROR(VLOOKUP(D256,Sessions!A:G,6,FALSE),"")</f>
        <v/>
      </c>
      <c r="K256" s="58"/>
      <c r="L256" s="40" t="s">
        <v>3</v>
      </c>
      <c r="M256" s="42" t="str">
        <f>"It's all set! 🎉 Here is a summary of your order:
*Number of Tickets*: 1
*Experience*: "&amp;F256&amp;"
*Date*: "&amp;TEXT(G256,"dd/mm/yy")&amp;"
*Time*: "&amp;H256&amp;"
*Price*: "&amp;K256&amp;" "&amp;L256&amp;"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57" spans="6:13" ht="15.75" customHeight="1">
      <c r="F257" s="26" t="str">
        <f>IFERROR(VLOOKUP(D257,Sessions!A:G,2,FALSE),"")</f>
        <v/>
      </c>
      <c r="G257" s="27" t="str">
        <f>IFERROR(VLOOKUP(D257,Sessions!A:G,3,FALSE),"")</f>
        <v/>
      </c>
      <c r="H257" s="26" t="str">
        <f>IFERROR(VLOOKUP(D257,Sessions!A:G,4,FALSE),"")</f>
        <v/>
      </c>
      <c r="I257" s="38" t="str">
        <f>IFERROR(VLOOKUP(D257,Sessions!A:G,5,FALSE),"")</f>
        <v/>
      </c>
      <c r="J257" s="38" t="str">
        <f>IFERROR(VLOOKUP(D257,Sessions!A:G,6,FALSE),"")</f>
        <v/>
      </c>
      <c r="K257" s="58"/>
      <c r="L257" s="40" t="s">
        <v>3</v>
      </c>
      <c r="M257" s="42" t="str">
        <f>"It's all set! 🎉 Here is a summary of your order:
*Number of Tickets*: 1
*Experience*: "&amp;F257&amp;"
*Date*: "&amp;TEXT(G257,"dd/mm/yy")&amp;"
*Time*: "&amp;H257&amp;"
*Price*: "&amp;K257&amp;" "&amp;L257&amp;"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58" spans="6:13" ht="15.75" customHeight="1">
      <c r="F258" s="26" t="str">
        <f>IFERROR(VLOOKUP(D258,Sessions!A:G,2,FALSE),"")</f>
        <v/>
      </c>
      <c r="G258" s="27" t="str">
        <f>IFERROR(VLOOKUP(D258,Sessions!A:G,3,FALSE),"")</f>
        <v/>
      </c>
      <c r="H258" s="26" t="str">
        <f>IFERROR(VLOOKUP(D258,Sessions!A:G,4,FALSE),"")</f>
        <v/>
      </c>
      <c r="I258" s="38" t="str">
        <f>IFERROR(VLOOKUP(D258,Sessions!A:G,5,FALSE),"")</f>
        <v/>
      </c>
      <c r="J258" s="38" t="str">
        <f>IFERROR(VLOOKUP(D258,Sessions!A:G,6,FALSE),"")</f>
        <v/>
      </c>
      <c r="K258" s="58"/>
      <c r="L258" s="40" t="s">
        <v>3</v>
      </c>
      <c r="M258" s="42" t="str">
        <f>"It's all set! 🎉 Here is a summary of your order:
*Number of Tickets*: 1
*Experience*: "&amp;F258&amp;"
*Date*: "&amp;TEXT(G258,"dd/mm/yy")&amp;"
*Time*: "&amp;H258&amp;"
*Price*: "&amp;K258&amp;" "&amp;L258&amp;"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59" spans="6:13" ht="15.75" customHeight="1">
      <c r="F259" s="26" t="str">
        <f>IFERROR(VLOOKUP(D259,Sessions!A:G,2,FALSE),"")</f>
        <v/>
      </c>
      <c r="G259" s="27" t="str">
        <f>IFERROR(VLOOKUP(D259,Sessions!A:G,3,FALSE),"")</f>
        <v/>
      </c>
      <c r="H259" s="26" t="str">
        <f>IFERROR(VLOOKUP(D259,Sessions!A:G,4,FALSE),"")</f>
        <v/>
      </c>
      <c r="I259" s="38" t="str">
        <f>IFERROR(VLOOKUP(D259,Sessions!A:G,5,FALSE),"")</f>
        <v/>
      </c>
      <c r="J259" s="38" t="str">
        <f>IFERROR(VLOOKUP(D259,Sessions!A:G,6,FALSE),"")</f>
        <v/>
      </c>
      <c r="K259" s="58"/>
      <c r="L259" s="40" t="s">
        <v>3</v>
      </c>
      <c r="M259" s="42" t="str">
        <f>"It's all set! 🎉 Here is a summary of your order:
*Number of Tickets*: 1
*Experience*: "&amp;F259&amp;"
*Date*: "&amp;TEXT(G259,"dd/mm/yy")&amp;"
*Time*: "&amp;H259&amp;"
*Price*: "&amp;K259&amp;" "&amp;L259&amp;"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60" spans="6:13" ht="15.75" customHeight="1">
      <c r="F260" s="26" t="str">
        <f>IFERROR(VLOOKUP(D260,Sessions!A:G,2,FALSE),"")</f>
        <v/>
      </c>
      <c r="G260" s="27" t="str">
        <f>IFERROR(VLOOKUP(D260,Sessions!A:G,3,FALSE),"")</f>
        <v/>
      </c>
      <c r="H260" s="26" t="str">
        <f>IFERROR(VLOOKUP(D260,Sessions!A:G,4,FALSE),"")</f>
        <v/>
      </c>
      <c r="I260" s="38" t="str">
        <f>IFERROR(VLOOKUP(D260,Sessions!A:G,5,FALSE),"")</f>
        <v/>
      </c>
      <c r="J260" s="38" t="str">
        <f>IFERROR(VLOOKUP(D260,Sessions!A:G,6,FALSE),"")</f>
        <v/>
      </c>
      <c r="K260" s="58"/>
      <c r="L260" s="40" t="s">
        <v>3</v>
      </c>
      <c r="M260" s="42" t="str">
        <f>"It's all set! 🎉 Here is a summary of your order:
*Number of Tickets*: 1
*Experience*: "&amp;F260&amp;"
*Date*: "&amp;TEXT(G260,"dd/mm/yy")&amp;"
*Time*: "&amp;H260&amp;"
*Price*: "&amp;K260&amp;" "&amp;L260&amp;"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61" spans="6:13" ht="15.75" customHeight="1">
      <c r="F261" s="26" t="str">
        <f>IFERROR(VLOOKUP(D261,Sessions!A:G,2,FALSE),"")</f>
        <v/>
      </c>
      <c r="G261" s="27" t="str">
        <f>IFERROR(VLOOKUP(D261,Sessions!A:G,3,FALSE),"")</f>
        <v/>
      </c>
      <c r="H261" s="26" t="str">
        <f>IFERROR(VLOOKUP(D261,Sessions!A:G,4,FALSE),"")</f>
        <v/>
      </c>
      <c r="I261" s="38" t="str">
        <f>IFERROR(VLOOKUP(D261,Sessions!A:G,5,FALSE),"")</f>
        <v/>
      </c>
      <c r="J261" s="38" t="str">
        <f>IFERROR(VLOOKUP(D261,Sessions!A:G,6,FALSE),"")</f>
        <v/>
      </c>
      <c r="K261" s="58"/>
      <c r="L261" s="40" t="s">
        <v>3</v>
      </c>
      <c r="M261" s="42" t="str">
        <f>"It's all set! 🎉 Here is a summary of your order:
*Number of Tickets*: 1
*Experience*: "&amp;F261&amp;"
*Date*: "&amp;TEXT(G261,"dd/mm/yy")&amp;"
*Time*: "&amp;H261&amp;"
*Price*: "&amp;K261&amp;" "&amp;L261&amp;"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62" spans="6:13" ht="15.75" customHeight="1">
      <c r="F262" s="26" t="str">
        <f>IFERROR(VLOOKUP(D262,Sessions!A:G,2,FALSE),"")</f>
        <v/>
      </c>
      <c r="G262" s="27" t="str">
        <f>IFERROR(VLOOKUP(D262,Sessions!A:G,3,FALSE),"")</f>
        <v/>
      </c>
      <c r="H262" s="26" t="str">
        <f>IFERROR(VLOOKUP(D262,Sessions!A:G,4,FALSE),"")</f>
        <v/>
      </c>
      <c r="I262" s="38" t="str">
        <f>IFERROR(VLOOKUP(D262,Sessions!A:G,5,FALSE),"")</f>
        <v/>
      </c>
      <c r="J262" s="38" t="str">
        <f>IFERROR(VLOOKUP(D262,Sessions!A:G,6,FALSE),"")</f>
        <v/>
      </c>
      <c r="K262" s="58"/>
      <c r="L262" s="40" t="s">
        <v>3</v>
      </c>
      <c r="M262" s="42" t="str">
        <f>"It's all set! 🎉 Here is a summary of your order:
*Number of Tickets*: 1
*Experience*: "&amp;F262&amp;"
*Date*: "&amp;TEXT(G262,"dd/mm/yy")&amp;"
*Time*: "&amp;H262&amp;"
*Price*: "&amp;K262&amp;" "&amp;L262&amp;"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63" spans="6:13" ht="15.75" customHeight="1">
      <c r="F263" s="26" t="str">
        <f>IFERROR(VLOOKUP(D263,Sessions!A:G,2,FALSE),"")</f>
        <v/>
      </c>
      <c r="G263" s="27" t="str">
        <f>IFERROR(VLOOKUP(D263,Sessions!A:G,3,FALSE),"")</f>
        <v/>
      </c>
      <c r="H263" s="26" t="str">
        <f>IFERROR(VLOOKUP(D263,Sessions!A:G,4,FALSE),"")</f>
        <v/>
      </c>
      <c r="I263" s="38" t="str">
        <f>IFERROR(VLOOKUP(D263,Sessions!A:G,5,FALSE),"")</f>
        <v/>
      </c>
      <c r="J263" s="38" t="str">
        <f>IFERROR(VLOOKUP(D263,Sessions!A:G,6,FALSE),"")</f>
        <v/>
      </c>
      <c r="K263" s="58"/>
      <c r="L263" s="40" t="s">
        <v>3</v>
      </c>
      <c r="M263" s="42" t="str">
        <f>"It's all set! 🎉 Here is a summary of your order:
*Number of Tickets*: 1
*Experience*: "&amp;F263&amp;"
*Date*: "&amp;TEXT(G263,"dd/mm/yy")&amp;"
*Time*: "&amp;H263&amp;"
*Price*: "&amp;K263&amp;" "&amp;L263&amp;"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64" spans="6:13" ht="15.75" customHeight="1">
      <c r="F264" s="26" t="str">
        <f>IFERROR(VLOOKUP(D264,Sessions!A:G,2,FALSE),"")</f>
        <v/>
      </c>
      <c r="G264" s="27" t="str">
        <f>IFERROR(VLOOKUP(D264,Sessions!A:G,3,FALSE),"")</f>
        <v/>
      </c>
      <c r="H264" s="26" t="str">
        <f>IFERROR(VLOOKUP(D264,Sessions!A:G,4,FALSE),"")</f>
        <v/>
      </c>
      <c r="I264" s="38" t="str">
        <f>IFERROR(VLOOKUP(D264,Sessions!A:G,5,FALSE),"")</f>
        <v/>
      </c>
      <c r="J264" s="38" t="str">
        <f>IFERROR(VLOOKUP(D264,Sessions!A:G,6,FALSE),"")</f>
        <v/>
      </c>
      <c r="K264" s="58"/>
      <c r="L264" s="40" t="s">
        <v>3</v>
      </c>
      <c r="M264" s="42" t="str">
        <f>"It's all set! 🎉 Here is a summary of your order:
*Number of Tickets*: 1
*Experience*: "&amp;F264&amp;"
*Date*: "&amp;TEXT(G264,"dd/mm/yy")&amp;"
*Time*: "&amp;H264&amp;"
*Price*: "&amp;K264&amp;" "&amp;L264&amp;"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65" spans="6:13" ht="15.75" customHeight="1">
      <c r="F265" s="26" t="str">
        <f>IFERROR(VLOOKUP(D265,Sessions!A:G,2,FALSE),"")</f>
        <v/>
      </c>
      <c r="G265" s="27" t="str">
        <f>IFERROR(VLOOKUP(D265,Sessions!A:G,3,FALSE),"")</f>
        <v/>
      </c>
      <c r="H265" s="26" t="str">
        <f>IFERROR(VLOOKUP(D265,Sessions!A:G,4,FALSE),"")</f>
        <v/>
      </c>
      <c r="I265" s="38" t="str">
        <f>IFERROR(VLOOKUP(D265,Sessions!A:G,5,FALSE),"")</f>
        <v/>
      </c>
      <c r="J265" s="38" t="str">
        <f>IFERROR(VLOOKUP(D265,Sessions!A:G,6,FALSE),"")</f>
        <v/>
      </c>
      <c r="K265" s="58"/>
      <c r="L265" s="40" t="s">
        <v>3</v>
      </c>
      <c r="M265" s="42" t="str">
        <f>"It's all set! 🎉 Here is a summary of your order:
*Number of Tickets*: 1
*Experience*: "&amp;F265&amp;"
*Date*: "&amp;TEXT(G265,"dd/mm/yy")&amp;"
*Time*: "&amp;H265&amp;"
*Price*: "&amp;K265&amp;" "&amp;L265&amp;"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  <row r="266" spans="6:13" ht="15.75" customHeight="1">
      <c r="F266" s="26" t="str">
        <f>IFERROR(VLOOKUP(D266,Sessions!A:G,2,FALSE),"")</f>
        <v/>
      </c>
      <c r="G266" s="27" t="str">
        <f>IFERROR(VLOOKUP(D266,Sessions!A:G,3,FALSE),"")</f>
        <v/>
      </c>
      <c r="H266" s="26" t="str">
        <f>IFERROR(VLOOKUP(D266,Sessions!A:G,4,FALSE),"")</f>
        <v/>
      </c>
      <c r="I266" s="38" t="str">
        <f>IFERROR(VLOOKUP(D266,Sessions!A:G,5,FALSE),"")</f>
        <v/>
      </c>
      <c r="J266" s="38" t="str">
        <f>IFERROR(VLOOKUP(D266,Sessions!A:G,6,FALSE),"")</f>
        <v/>
      </c>
      <c r="K266" s="58"/>
      <c r="L266" s="40" t="s">
        <v>3</v>
      </c>
      <c r="M266" s="42" t="str">
        <f>"It's all set! 🎉 Here is a summary of your order:
*Number of Tickets*: 1
*Experience*: "&amp;F266&amp;"
*Date*: "&amp;TEXT(G266,"dd/mm/yy")&amp;"
*Time*: "&amp;H266&amp;"
*Price*: "&amp;K266&amp;" "&amp;L266&amp;"
Yu will receive a confirmation email soon.
*Cancellation Policy*: 100% refund for cancellations 24h prior to event."</f>
        <v>It's all set! 🎉 Here is a summary of your order:
*Number of Tickets*: 1
*Experience*: 
*Date*: 
*Time*: 
*Price*:  credits
Yu will receive a confirmation email soon.
*Cancellation Policy*: 100% refund for cancellations 24h prior to event.</v>
      </c>
    </row>
  </sheetData>
  <autoFilter ref="A2:M130" xr:uid="{C14BFCA4-785E-41BF-8453-0B163F8FB249}">
    <sortState xmlns:xlrd2="http://schemas.microsoft.com/office/spreadsheetml/2017/richdata2" ref="A3:M170">
      <sortCondition ref="F2:F130"/>
    </sortState>
  </autoFilter>
  <mergeCells count="3">
    <mergeCell ref="F1:J1"/>
    <mergeCell ref="K1:L1"/>
    <mergeCell ref="B1:D1"/>
  </mergeCells>
  <dataValidations count="1">
    <dataValidation type="list" allowBlank="1" showInputMessage="1" showErrorMessage="1" sqref="L3:L1048576" xr:uid="{76203797-63B3-4542-9458-A9819672FD37}">
      <formula1>$O$1:$O$2</formula1>
    </dataValidation>
  </dataValidation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8EDA0D4-AAC1-42E5-9E0A-417678557769}">
          <x14:formula1>
            <xm:f>Users!$E:$E</xm:f>
          </x14:formula1>
          <xm:sqref>C3:C1048576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F03EE-8A02-4254-B12C-9D2476DAE166}">
  <sheetPr>
    <tabColor rgb="FF0070C0"/>
  </sheetPr>
  <dimension ref="A1:H155"/>
  <sheetViews>
    <sheetView topLeftCell="A115" workbookViewId="0">
      <selection activeCell="F129" sqref="F129"/>
    </sheetView>
  </sheetViews>
  <sheetFormatPr defaultColWidth="8.875" defaultRowHeight="15.95"/>
  <cols>
    <col min="1" max="1" width="28" style="25" customWidth="1"/>
    <col min="2" max="2" width="14.625" style="46" customWidth="1"/>
    <col min="3" max="3" width="13.125" style="25" customWidth="1"/>
    <col min="4" max="4" width="15.125" style="25" customWidth="1"/>
    <col min="5" max="5" width="11.125" style="48" customWidth="1"/>
    <col min="6" max="6" width="23.5" style="42" customWidth="1"/>
    <col min="7" max="7" width="26.375" style="64" customWidth="1"/>
  </cols>
  <sheetData>
    <row r="1" spans="1:8" ht="27">
      <c r="A1" s="161" t="s">
        <v>89</v>
      </c>
      <c r="B1" s="162"/>
      <c r="C1" s="163"/>
      <c r="D1" s="49"/>
      <c r="E1" s="50"/>
      <c r="F1" s="43" t="s">
        <v>2</v>
      </c>
      <c r="G1" s="65" t="s">
        <v>2</v>
      </c>
    </row>
    <row r="2" spans="1:8" ht="33.950000000000003">
      <c r="A2" s="51" t="s">
        <v>6</v>
      </c>
      <c r="B2" s="52" t="s">
        <v>90</v>
      </c>
      <c r="C2" s="53" t="s">
        <v>91</v>
      </c>
      <c r="D2" s="53" t="s">
        <v>92</v>
      </c>
      <c r="E2" s="54" t="s">
        <v>93</v>
      </c>
      <c r="F2" s="41" t="s">
        <v>94</v>
      </c>
      <c r="G2" s="62" t="s">
        <v>95</v>
      </c>
    </row>
    <row r="3" spans="1:8">
      <c r="A3" s="25" t="s">
        <v>40</v>
      </c>
      <c r="B3" s="46">
        <v>45420</v>
      </c>
      <c r="C3" s="25">
        <v>12</v>
      </c>
      <c r="D3" s="57"/>
      <c r="E3" s="47">
        <f>SUMIF(A$2:A3,A3,C$2:C3)</f>
        <v>12</v>
      </c>
      <c r="F3" s="42" t="str">
        <f>"You now have *"&amp;E3&amp;" Nimi Credits* in your balance. 
If you want to add more credits, just let us know. Each extra credit costs £2."&amp;"
Remember: You can also *earn credits bringing friends*: each referral you bring gives you 6 credits and *your guests can experience their first Nimi experience for free!*"</f>
        <v>You now have *12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3" s="63" t="str">
        <f>"Yaaaay! *You are now a Nimi member!* 🎉
We are very happy to have you join our membership. We really hope you enjoy the events we crafted for this month, because we create each one with soooo much love. 💕 
You now have *"&amp;E3&amp;" Nimi Credits* in your balance. You can book new events with us anytime :)
"&amp;$H$3</f>
        <v>Yaaaay! *You are now a Nimi member!* 🎉
We are very happy to have you join our membership. We really hope you enjoy the events we crafted for this month, because we create each one with soooo much love. 💕 
You now have *12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  <c r="H3" s="9" t="s">
        <v>96</v>
      </c>
    </row>
    <row r="4" spans="1:8">
      <c r="A4" s="25" t="s">
        <v>18</v>
      </c>
      <c r="B4" s="46">
        <v>45420</v>
      </c>
      <c r="C4" s="25">
        <v>12</v>
      </c>
      <c r="E4" s="47">
        <f>SUMIF(A$2:A4,A4,C$2:C4)</f>
        <v>12</v>
      </c>
      <c r="F4" s="42" t="str">
        <f t="shared" ref="F4:F66" si="0">"You now have *"&amp;E4&amp;" Nimi Credits* in your balance. 
If you want to add more credits, just let us know. Each extra credit costs £2."&amp;"
Remember: You can also *earn credits bringing friends*: each referral you bring gives you 6 credits and *your guests can experience their first Nimi experience for free!*"</f>
        <v>You now have *12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4" s="63" t="str">
        <f t="shared" ref="G4:G66" si="1">"Yaaaay! *You are now a Nimi member!* 🎉
We are very happy to have you join our membership. We really hope you enjoy the events we crafted for this month, because we create each one with soooo much love. 💕 
You now have *"&amp;E4&amp;" Nimi Credits* in your balance. You can book new events with us anytime :)
"&amp;$H$3</f>
        <v>Yaaaay! *You are now a Nimi member!* 🎉
We are very happy to have you join our membership. We really hope you enjoy the events we crafted for this month, because we create each one with soooo much love. 💕 
You now have *12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5" spans="1:8">
      <c r="A5" s="25" t="s">
        <v>18</v>
      </c>
      <c r="B5" s="46">
        <v>45420</v>
      </c>
      <c r="C5" s="25">
        <v>-6</v>
      </c>
      <c r="E5" s="47">
        <f>SUMIF(A$2:A5,A5,C$2:C5)</f>
        <v>6</v>
      </c>
      <c r="F5" s="42" t="str">
        <f t="shared" si="0"/>
        <v>You now have *6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5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*6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6" spans="1:8">
      <c r="A6" s="45" t="s">
        <v>28</v>
      </c>
      <c r="B6" s="46">
        <v>45420</v>
      </c>
      <c r="C6" s="25">
        <v>12</v>
      </c>
      <c r="E6" s="47">
        <f>SUMIF(A$2:A6,A6,C$2:C6)</f>
        <v>12</v>
      </c>
      <c r="F6" s="42" t="str">
        <f t="shared" si="0"/>
        <v>You now have *12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6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*12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7" spans="1:8">
      <c r="A7" s="25" t="s">
        <v>25</v>
      </c>
      <c r="B7" s="46">
        <v>45421</v>
      </c>
      <c r="C7" s="25">
        <v>12</v>
      </c>
      <c r="E7" s="47">
        <f>SUMIF(A$2:A7,A7,C$2:C7)</f>
        <v>12</v>
      </c>
      <c r="F7" s="42" t="str">
        <f t="shared" si="0"/>
        <v>You now have *12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7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*12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8" spans="1:8">
      <c r="A8" s="25" t="s">
        <v>20</v>
      </c>
      <c r="B8" s="46">
        <v>45421</v>
      </c>
      <c r="C8" s="25">
        <v>12</v>
      </c>
      <c r="E8" s="47">
        <f>SUMIF(A$2:A8,A8,C$2:C8)</f>
        <v>12</v>
      </c>
      <c r="F8" s="42" t="str">
        <f t="shared" si="0"/>
        <v>You now have *12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8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*12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9" spans="1:8">
      <c r="A9" s="25" t="s">
        <v>40</v>
      </c>
      <c r="B9" s="46">
        <v>45421</v>
      </c>
      <c r="C9" s="25">
        <v>12</v>
      </c>
      <c r="E9" s="47">
        <f>SUMIF(A$2:A9,A9,C$2:C9)</f>
        <v>24</v>
      </c>
      <c r="F9" s="42" t="str">
        <f t="shared" si="0"/>
        <v>You now have *24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9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*24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10" spans="1:8">
      <c r="A10" s="25" t="s">
        <v>23</v>
      </c>
      <c r="B10" s="46">
        <v>45421</v>
      </c>
      <c r="C10" s="25">
        <v>12</v>
      </c>
      <c r="E10" s="47">
        <f>SUMIF(A$2:A10,A10,C$2:C10)</f>
        <v>12</v>
      </c>
      <c r="F10" s="42" t="str">
        <f t="shared" si="0"/>
        <v>You now have *12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10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*12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11" spans="1:8">
      <c r="A11" s="25" t="s">
        <v>21</v>
      </c>
      <c r="B11" s="46">
        <v>45426</v>
      </c>
      <c r="C11" s="57">
        <v>-6</v>
      </c>
      <c r="E11" s="47">
        <f>SUMIF(A$2:A11,A11,C$2:C11)</f>
        <v>-6</v>
      </c>
      <c r="F11" s="42" t="str">
        <f t="shared" si="0"/>
        <v>You now have *-6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11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*-6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12" spans="1:8">
      <c r="A12" s="25" t="s">
        <v>36</v>
      </c>
      <c r="B12" s="46">
        <v>45426</v>
      </c>
      <c r="C12" s="25">
        <v>-6</v>
      </c>
      <c r="E12" s="47">
        <f>SUMIF(A$2:A12,A12,C$2:C12)</f>
        <v>-6</v>
      </c>
      <c r="F12" s="42" t="str">
        <f t="shared" si="0"/>
        <v>You now have *-6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12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*-6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13" spans="1:8">
      <c r="A13" s="25" t="s">
        <v>33</v>
      </c>
      <c r="B13" s="46">
        <v>45427</v>
      </c>
      <c r="C13" s="25">
        <v>18</v>
      </c>
      <c r="E13" s="47">
        <f>SUMIF(A$2:A13,A13,C$2:C13)</f>
        <v>18</v>
      </c>
      <c r="F13" s="42" t="str">
        <f t="shared" si="0"/>
        <v>You now have *18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13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*18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14" spans="1:8">
      <c r="A14" s="25" t="s">
        <v>20</v>
      </c>
      <c r="B14" s="46">
        <v>45427</v>
      </c>
      <c r="C14" s="25">
        <v>-6</v>
      </c>
      <c r="E14" s="47">
        <f>SUMIF(A$2:A14,A14,C$2:C14)</f>
        <v>6</v>
      </c>
      <c r="F14" s="42" t="str">
        <f t="shared" si="0"/>
        <v>You now have *6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14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*6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15" spans="1:8">
      <c r="A15" s="25" t="s">
        <v>60</v>
      </c>
      <c r="B15" s="46">
        <v>45427</v>
      </c>
      <c r="C15" s="25">
        <v>18</v>
      </c>
      <c r="D15" s="25">
        <v>15</v>
      </c>
      <c r="E15" s="47">
        <f>SUMIF(A$2:A15,A15,C$2:C15)</f>
        <v>18</v>
      </c>
      <c r="F15" s="42" t="str">
        <f t="shared" si="0"/>
        <v>You now have *18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15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*18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16" spans="1:8">
      <c r="A16" s="25" t="s">
        <v>32</v>
      </c>
      <c r="B16" s="46">
        <v>45428</v>
      </c>
      <c r="C16" s="25">
        <v>12</v>
      </c>
      <c r="E16" s="47">
        <f>SUMIF(A$2:A16,A16,C$2:C16)</f>
        <v>12</v>
      </c>
      <c r="F16" s="42" t="str">
        <f t="shared" si="0"/>
        <v>You now have *12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16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*12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17" spans="1:7">
      <c r="A17" s="25" t="s">
        <v>33</v>
      </c>
      <c r="B17" s="46">
        <v>45428</v>
      </c>
      <c r="C17" s="25">
        <v>-6</v>
      </c>
      <c r="E17" s="47">
        <f>SUMIF(A$2:A17,A17,C$2:C17)</f>
        <v>12</v>
      </c>
      <c r="F17" s="42" t="str">
        <f t="shared" si="0"/>
        <v>You now have *12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17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*12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18" spans="1:7">
      <c r="A18" s="25" t="s">
        <v>19</v>
      </c>
      <c r="B18" s="46">
        <v>45428</v>
      </c>
      <c r="C18" s="25">
        <v>12</v>
      </c>
      <c r="E18" s="47">
        <f>SUMIF(A$2:A18,A18,C$2:C18)</f>
        <v>12</v>
      </c>
      <c r="F18" s="42" t="str">
        <f t="shared" si="0"/>
        <v>You now have *12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18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*12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19" spans="1:7">
      <c r="A19" s="25" t="s">
        <v>18</v>
      </c>
      <c r="B19" s="46">
        <v>45428</v>
      </c>
      <c r="C19" s="25">
        <v>-6</v>
      </c>
      <c r="E19" s="47">
        <f>SUMIF(A$2:A19,A19,C$2:C19)</f>
        <v>0</v>
      </c>
      <c r="F19" s="42" t="str">
        <f t="shared" si="0"/>
        <v>You now have *0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19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*0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20" spans="1:7">
      <c r="A20" s="25" t="s">
        <v>30</v>
      </c>
      <c r="B20" s="46">
        <v>45429</v>
      </c>
      <c r="C20" s="25">
        <v>12</v>
      </c>
      <c r="E20" s="47">
        <f>SUMIF(A$2:A20,A20,C$2:C20)</f>
        <v>12</v>
      </c>
      <c r="F20" s="42" t="str">
        <f t="shared" si="0"/>
        <v>You now have *12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20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*12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21" spans="1:7">
      <c r="A21" s="25" t="s">
        <v>56</v>
      </c>
      <c r="B21" s="46">
        <v>45430</v>
      </c>
      <c r="C21" s="25">
        <v>6</v>
      </c>
      <c r="D21" s="25">
        <v>15</v>
      </c>
      <c r="E21" s="47">
        <f>SUMIF(A$2:A21,A21,C$2:C21)</f>
        <v>6</v>
      </c>
      <c r="F21" s="42" t="str">
        <f t="shared" si="0"/>
        <v>You now have *6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21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*6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22" spans="1:7">
      <c r="A22" s="25" t="s">
        <v>30</v>
      </c>
      <c r="B22" s="46">
        <v>45432</v>
      </c>
      <c r="C22" s="25">
        <v>-6</v>
      </c>
      <c r="E22" s="47">
        <f>SUMIF(A$2:A22,A22,C$2:C22)</f>
        <v>6</v>
      </c>
      <c r="F22" s="42" t="str">
        <f t="shared" si="0"/>
        <v>You now have *6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22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*6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23" spans="1:7">
      <c r="A23" s="25" t="s">
        <v>19</v>
      </c>
      <c r="B23" s="46">
        <v>45434</v>
      </c>
      <c r="C23" s="25">
        <v>-6</v>
      </c>
      <c r="E23" s="47">
        <f>SUMIF(A$2:A23,A23,C$2:C23)</f>
        <v>6</v>
      </c>
      <c r="F23" s="42" t="str">
        <f t="shared" si="0"/>
        <v>You now have *6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23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*6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24" spans="1:7">
      <c r="A24" s="25" t="s">
        <v>28</v>
      </c>
      <c r="B24" s="46">
        <v>45435</v>
      </c>
      <c r="C24" s="25">
        <v>-6</v>
      </c>
      <c r="E24" s="47">
        <f>SUMIF(A$2:A24,A24,C$2:C24)</f>
        <v>6</v>
      </c>
      <c r="F24" s="42" t="str">
        <f t="shared" si="0"/>
        <v>You now have *6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24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*6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25" spans="1:7">
      <c r="A25" s="25" t="s">
        <v>30</v>
      </c>
      <c r="B25" s="46">
        <v>45435</v>
      </c>
      <c r="C25" s="25">
        <v>-6</v>
      </c>
      <c r="E25" s="47">
        <f>SUMIF(A$2:A25,A25,C$2:C25)</f>
        <v>0</v>
      </c>
      <c r="F25" s="42" t="str">
        <f t="shared" si="0"/>
        <v>You now have *0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25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*0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26" spans="1:7">
      <c r="A26" s="25" t="s">
        <v>57</v>
      </c>
      <c r="B26" s="46">
        <v>45436</v>
      </c>
      <c r="C26" s="25">
        <v>12</v>
      </c>
      <c r="E26" s="47">
        <f>SUMIF(A$2:A26,A26,C$2:C26)</f>
        <v>12</v>
      </c>
      <c r="F26" s="42" t="str">
        <f t="shared" si="0"/>
        <v>You now have *12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26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*12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27" spans="1:7">
      <c r="A27" s="25" t="s">
        <v>50</v>
      </c>
      <c r="B27" s="46">
        <v>45440</v>
      </c>
      <c r="C27" s="25">
        <v>12</v>
      </c>
      <c r="E27" s="47">
        <f>SUMIF(A$2:A27,A27,C$2:C27)</f>
        <v>12</v>
      </c>
      <c r="F27" s="42" t="str">
        <f t="shared" si="0"/>
        <v>You now have *12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27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*12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28" spans="1:7">
      <c r="A28" s="25" t="s">
        <v>37</v>
      </c>
      <c r="B28" s="46">
        <v>45440</v>
      </c>
      <c r="C28" s="25">
        <v>12</v>
      </c>
      <c r="E28" s="47">
        <f>SUMIF(A$2:A28,A28,C$2:C28)</f>
        <v>12</v>
      </c>
      <c r="F28" s="42" t="str">
        <f t="shared" si="0"/>
        <v>You now have *12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28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*12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29" spans="1:7">
      <c r="A29" s="25" t="s">
        <v>22</v>
      </c>
      <c r="B29" s="46">
        <v>45442</v>
      </c>
      <c r="C29" s="25">
        <v>12</v>
      </c>
      <c r="E29" s="47">
        <f>SUMIF(A$2:A29,A29,C$2:C29)</f>
        <v>12</v>
      </c>
      <c r="F29" s="42" t="str">
        <f t="shared" si="0"/>
        <v>You now have *12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29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*12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30" spans="1:7">
      <c r="A30" s="25" t="s">
        <v>50</v>
      </c>
      <c r="B30" s="46">
        <v>45443</v>
      </c>
      <c r="C30" s="25">
        <v>-6</v>
      </c>
      <c r="E30" s="47">
        <f>SUMIF(A$2:A30,A30,C$2:C30)</f>
        <v>6</v>
      </c>
      <c r="F30" s="42" t="str">
        <f t="shared" si="0"/>
        <v>You now have *6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30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*6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31" spans="1:7">
      <c r="A31" s="25" t="s">
        <v>36</v>
      </c>
      <c r="B31" s="46">
        <v>45444</v>
      </c>
      <c r="C31" s="25">
        <v>-6</v>
      </c>
      <c r="E31" s="47">
        <f>SUMIF(A$2:A31,A31,C$2:C31)</f>
        <v>-12</v>
      </c>
      <c r="F31" s="42" t="str">
        <f t="shared" si="0"/>
        <v>You now have *-12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31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*-12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32" spans="1:7">
      <c r="A32" s="25" t="s">
        <v>21</v>
      </c>
      <c r="B32" s="46">
        <v>45446</v>
      </c>
      <c r="C32" s="25">
        <v>12</v>
      </c>
      <c r="E32" s="47">
        <f>SUMIF(A$2:A32,A32,C$2:C32)</f>
        <v>6</v>
      </c>
      <c r="F32" s="42" t="str">
        <f t="shared" si="0"/>
        <v>You now have *6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32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*6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33" spans="1:7">
      <c r="A33" s="25" t="s">
        <v>36</v>
      </c>
      <c r="B33" s="46">
        <v>45446</v>
      </c>
      <c r="C33" s="25">
        <v>12</v>
      </c>
      <c r="E33" s="47">
        <f>SUMIF(A$2:A33,A33,C$2:C33)</f>
        <v>0</v>
      </c>
      <c r="F33" s="42" t="str">
        <f t="shared" si="0"/>
        <v>You now have *0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33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*0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34" spans="1:7">
      <c r="A34" s="25" t="s">
        <v>28</v>
      </c>
      <c r="B34" s="46">
        <v>45446</v>
      </c>
      <c r="C34" s="25">
        <v>6</v>
      </c>
      <c r="E34" s="47">
        <f>SUMIF(A$2:A34,A34,C$2:C34)</f>
        <v>12</v>
      </c>
      <c r="F34" s="42" t="str">
        <f t="shared" si="0"/>
        <v>You now have *12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34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*12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35" spans="1:7">
      <c r="A35" s="25" t="s">
        <v>28</v>
      </c>
      <c r="B35" s="46">
        <v>45446</v>
      </c>
      <c r="C35" s="25">
        <v>6</v>
      </c>
      <c r="E35" s="47">
        <f>SUMIF(A$2:A35,A35,C$2:C35)</f>
        <v>18</v>
      </c>
      <c r="F35" s="42" t="str">
        <f t="shared" si="0"/>
        <v>You now have *18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35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*18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36" spans="1:7">
      <c r="A36" s="25" t="s">
        <v>30</v>
      </c>
      <c r="B36" s="46">
        <v>45446</v>
      </c>
      <c r="C36" s="25">
        <v>6</v>
      </c>
      <c r="E36" s="47">
        <f>SUMIF(A$2:A36,A36,C$2:C36)</f>
        <v>6</v>
      </c>
      <c r="F36" s="42" t="str">
        <f t="shared" si="0"/>
        <v>You now have *6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36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*6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37" spans="1:7">
      <c r="A37" s="25" t="s">
        <v>30</v>
      </c>
      <c r="B37" s="46">
        <v>45446</v>
      </c>
      <c r="C37" s="25">
        <v>6</v>
      </c>
      <c r="E37" s="47">
        <f>SUMIF(A$2:A37,A37,C$2:C37)</f>
        <v>12</v>
      </c>
      <c r="F37" s="42" t="str">
        <f t="shared" si="0"/>
        <v>You now have *12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37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*12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38" spans="1:7">
      <c r="A38" s="25" t="s">
        <v>25</v>
      </c>
      <c r="B38" s="46">
        <v>45446</v>
      </c>
      <c r="C38" s="25">
        <v>6</v>
      </c>
      <c r="E38" s="47">
        <f>SUMIF(A$2:A38,A38,C$2:C38)</f>
        <v>18</v>
      </c>
      <c r="F38" s="42" t="str">
        <f t="shared" si="0"/>
        <v>You now have *18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38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*18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39" spans="1:7">
      <c r="A39" s="25" t="s">
        <v>34</v>
      </c>
      <c r="B39" s="46">
        <v>45443</v>
      </c>
      <c r="C39" s="25">
        <v>12</v>
      </c>
      <c r="E39" s="47">
        <f>SUMIF(A$2:A39,A39,C$2:C39)</f>
        <v>12</v>
      </c>
      <c r="F39" s="42" t="str">
        <f t="shared" si="0"/>
        <v>You now have *12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39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*12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40" spans="1:7">
      <c r="A40" s="25" t="s">
        <v>25</v>
      </c>
      <c r="B40" s="46">
        <v>45421</v>
      </c>
      <c r="C40" s="25">
        <v>-6</v>
      </c>
      <c r="E40" s="47">
        <f>SUMIF(A$2:A40,A40,C$2:C40)</f>
        <v>12</v>
      </c>
      <c r="F40" s="42" t="str">
        <f t="shared" si="0"/>
        <v>You now have *12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40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*12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41" spans="1:7">
      <c r="A41" s="25" t="s">
        <v>18</v>
      </c>
      <c r="B41" s="46">
        <v>45447</v>
      </c>
      <c r="C41" s="25">
        <v>6</v>
      </c>
      <c r="D41" s="25">
        <v>12</v>
      </c>
      <c r="E41" s="47">
        <f>SUMIF(A$2:A41,A41,C$2:C41)</f>
        <v>6</v>
      </c>
      <c r="F41" s="42" t="str">
        <f>"You now have *"&amp;E41&amp;" Nimi Credits* in your balance. 
If you want to add more credits, just let us know. Each extra credit costs £2."&amp;"
Remember: You can also *earn credits bringing friends*: each referral you bring gives you 6 credits and *your guests can experience their first Nimi experience for free!*"</f>
        <v>You now have *6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41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*6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42" spans="1:7">
      <c r="A42" s="25" t="s">
        <v>18</v>
      </c>
      <c r="B42" s="46">
        <v>45447</v>
      </c>
      <c r="C42" s="25">
        <v>-6</v>
      </c>
      <c r="E42" s="47">
        <f>SUMIF(A$2:A42,A42,C$2:C42)</f>
        <v>0</v>
      </c>
      <c r="F42" s="42" t="str">
        <f t="shared" si="0"/>
        <v>You now have *0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42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*0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43" spans="1:7">
      <c r="A43" s="25" t="s">
        <v>25</v>
      </c>
      <c r="B43" s="46">
        <v>45447</v>
      </c>
      <c r="C43" s="25">
        <v>-6</v>
      </c>
      <c r="E43" s="47">
        <f>SUMIF(A$2:A43,A43,C$2:C43)</f>
        <v>6</v>
      </c>
      <c r="F43" s="42" t="str">
        <f t="shared" si="0"/>
        <v>You now have *6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43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*6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44" spans="1:7">
      <c r="A44" s="25" t="s">
        <v>60</v>
      </c>
      <c r="B44" s="46">
        <v>45447</v>
      </c>
      <c r="C44" s="57">
        <v>-9</v>
      </c>
      <c r="E44" s="47">
        <f>SUMIF(A$2:A44,A44,C$2:C44)</f>
        <v>9</v>
      </c>
      <c r="F44" s="42" t="str">
        <f t="shared" si="0"/>
        <v>You now have *9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44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*9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45" spans="1:7">
      <c r="A45" s="25" t="s">
        <v>18</v>
      </c>
      <c r="B45" s="46">
        <v>45448</v>
      </c>
      <c r="C45" s="57">
        <v>-6</v>
      </c>
      <c r="E45" s="47">
        <f>SUMIF(A$2:A45,A45,C$2:C45)</f>
        <v>-6</v>
      </c>
      <c r="F45" s="42" t="str">
        <f t="shared" si="0"/>
        <v>You now have *-6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45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*-6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46" spans="1:7">
      <c r="A46" s="25" t="s">
        <v>22</v>
      </c>
      <c r="B46" s="46">
        <v>45449</v>
      </c>
      <c r="C46" s="25">
        <v>-6</v>
      </c>
      <c r="E46" s="47">
        <f>SUMIF(A$2:A46,A46,C$2:C46)</f>
        <v>6</v>
      </c>
      <c r="F46" s="42" t="str">
        <f t="shared" si="0"/>
        <v>You now have *6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46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*6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47" spans="1:7">
      <c r="A47" s="25" t="s">
        <v>57</v>
      </c>
      <c r="B47" s="46">
        <v>45450</v>
      </c>
      <c r="C47" s="25">
        <v>-6</v>
      </c>
      <c r="E47" s="47">
        <f>SUMIF(A$2:A47,A47,C$2:C47)</f>
        <v>6</v>
      </c>
      <c r="F47" s="42" t="str">
        <f t="shared" si="0"/>
        <v>You now have *6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47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*6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48" spans="1:7">
      <c r="A48" s="25" t="s">
        <v>20</v>
      </c>
      <c r="B48" s="46">
        <v>45453</v>
      </c>
      <c r="C48" s="25">
        <v>12</v>
      </c>
      <c r="E48" s="47">
        <f>SUMIF(A$2:A48,A48,C$2:C48)</f>
        <v>18</v>
      </c>
      <c r="F48" s="42" t="str">
        <f t="shared" si="0"/>
        <v>You now have *18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48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*18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49" spans="1:7">
      <c r="A49" s="25" t="s">
        <v>20</v>
      </c>
      <c r="B49" s="46">
        <v>45453</v>
      </c>
      <c r="C49" s="25">
        <v>-6</v>
      </c>
      <c r="E49" s="47">
        <f>SUMIF(A$2:A49,A49,C$2:C49)</f>
        <v>12</v>
      </c>
      <c r="F49" s="42" t="str">
        <f t="shared" si="0"/>
        <v>You now have *12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49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*12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50" spans="1:7">
      <c r="A50" s="25" t="s">
        <v>20</v>
      </c>
      <c r="B50" s="46">
        <v>45453</v>
      </c>
      <c r="C50" s="25">
        <v>-10</v>
      </c>
      <c r="E50" s="47">
        <f>SUMIF(A$2:A50,A50,C$2:C50)</f>
        <v>2</v>
      </c>
      <c r="F50" s="42" t="str">
        <f t="shared" si="0"/>
        <v>You now have *2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50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*2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51" spans="1:7">
      <c r="A51" s="25" t="s">
        <v>21</v>
      </c>
      <c r="B51" s="46">
        <v>45453</v>
      </c>
      <c r="C51" s="25">
        <v>3</v>
      </c>
      <c r="E51" s="47">
        <f>SUMIF(A$2:A51,A51,C$2:C51)</f>
        <v>9</v>
      </c>
      <c r="F51" s="42" t="str">
        <f t="shared" si="0"/>
        <v>You now have *9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51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*9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52" spans="1:7">
      <c r="A52" s="25" t="s">
        <v>21</v>
      </c>
      <c r="B52" s="46">
        <v>45453</v>
      </c>
      <c r="C52" s="25">
        <v>-9</v>
      </c>
      <c r="E52" s="47">
        <f>SUMIF(A$2:A52,A52,C$2:C52)</f>
        <v>0</v>
      </c>
      <c r="F52" s="42" t="str">
        <f t="shared" si="0"/>
        <v>You now have *0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52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*0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53" spans="1:7">
      <c r="A53" s="25" t="s">
        <v>19</v>
      </c>
      <c r="B53" s="46">
        <v>45454</v>
      </c>
      <c r="C53" s="25">
        <v>-6</v>
      </c>
      <c r="E53" s="47">
        <f>SUMIF(A$2:A53,A53,C$2:C53)</f>
        <v>0</v>
      </c>
      <c r="F53" s="42" t="str">
        <f t="shared" si="0"/>
        <v>You now have *0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53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*0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54" spans="1:7">
      <c r="A54" s="25" t="s">
        <v>19</v>
      </c>
      <c r="B54" s="46">
        <v>45455</v>
      </c>
      <c r="C54" s="25">
        <v>6</v>
      </c>
      <c r="E54" s="47">
        <f>SUMIF(A$2:A54,A54,C$2:C54)</f>
        <v>6</v>
      </c>
      <c r="F54" s="42" t="str">
        <f t="shared" si="0"/>
        <v>You now have *6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54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*6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55" spans="1:7">
      <c r="A55" s="25" t="s">
        <v>18</v>
      </c>
      <c r="B55" s="46">
        <v>45457</v>
      </c>
      <c r="C55" s="25">
        <v>3</v>
      </c>
      <c r="E55" s="47">
        <f>SUMIF(A$2:A55,A55,C$2:C55)</f>
        <v>-3</v>
      </c>
      <c r="F55" s="42" t="str">
        <f t="shared" si="0"/>
        <v>You now have *-3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55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*-3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56" spans="1:7">
      <c r="A56" s="25" t="s">
        <v>18</v>
      </c>
      <c r="B56" s="46">
        <v>45451</v>
      </c>
      <c r="C56" s="25">
        <v>12</v>
      </c>
      <c r="E56" s="47">
        <f>SUMIF(A$2:A56,A56,C$2:C56)</f>
        <v>9</v>
      </c>
      <c r="F56" s="42" t="str">
        <f t="shared" si="0"/>
        <v>You now have *9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56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*9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57" spans="1:7">
      <c r="A57" s="25" t="s">
        <v>28</v>
      </c>
      <c r="B57" s="46">
        <v>45451</v>
      </c>
      <c r="C57" s="25">
        <v>12</v>
      </c>
      <c r="E57" s="47">
        <f>SUMIF(A$2:A57,A57,C$2:C57)</f>
        <v>30</v>
      </c>
      <c r="F57" s="42" t="str">
        <f t="shared" si="0"/>
        <v>You now have *30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57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*30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58" spans="1:7">
      <c r="A58" s="25" t="s">
        <v>18</v>
      </c>
      <c r="B58" s="46">
        <v>45457</v>
      </c>
      <c r="C58" s="25">
        <v>6</v>
      </c>
      <c r="E58" s="47">
        <f>SUMIF(A$2:A58,A58,C$2:C58)</f>
        <v>15</v>
      </c>
      <c r="F58" s="42" t="str">
        <f t="shared" si="0"/>
        <v>You now have *15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58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*15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59" spans="1:7">
      <c r="A59" s="25" t="s">
        <v>34</v>
      </c>
      <c r="B59" s="46">
        <v>45461</v>
      </c>
      <c r="C59" s="25">
        <v>-10</v>
      </c>
      <c r="E59" s="47">
        <f>SUMIF(A$2:A59,A59,C$2:C59)</f>
        <v>2</v>
      </c>
      <c r="F59" s="42" t="str">
        <f t="shared" si="0"/>
        <v>You now have *2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59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*2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60" spans="1:7">
      <c r="A60" s="25" t="s">
        <v>28</v>
      </c>
      <c r="B60" s="46">
        <v>45461</v>
      </c>
      <c r="C60" s="25">
        <v>-10</v>
      </c>
      <c r="E60" s="47">
        <f>SUMIF(A$2:A60,A60,C$2:C60)</f>
        <v>20</v>
      </c>
      <c r="F60" s="42" t="str">
        <f t="shared" si="0"/>
        <v>You now have *20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60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*20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61" spans="1:7">
      <c r="A61" s="25" t="s">
        <v>28</v>
      </c>
      <c r="B61" s="46">
        <v>45461</v>
      </c>
      <c r="C61" s="25">
        <v>-6</v>
      </c>
      <c r="E61" s="47">
        <f>SUMIF(A$2:A61,A61,C$2:C61)</f>
        <v>14</v>
      </c>
      <c r="F61" s="42" t="str">
        <f t="shared" si="0"/>
        <v>You now have *14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61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*14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62" spans="1:7">
      <c r="A62" s="25" t="s">
        <v>30</v>
      </c>
      <c r="B62" s="46">
        <v>45462</v>
      </c>
      <c r="C62" s="25">
        <v>-6</v>
      </c>
      <c r="E62" s="47">
        <f>SUMIF(A$2:A62,A62,C$2:C62)</f>
        <v>6</v>
      </c>
      <c r="F62" s="42" t="str">
        <f t="shared" si="0"/>
        <v>You now have *6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62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*6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63" spans="1:7">
      <c r="A63" s="25" t="s">
        <v>18</v>
      </c>
      <c r="B63" s="46">
        <v>45462</v>
      </c>
      <c r="C63" s="25">
        <v>-10</v>
      </c>
      <c r="E63" s="47">
        <f>SUMIF(A$2:A63,A63,C$2:C63)</f>
        <v>5</v>
      </c>
      <c r="F63" s="42" t="str">
        <f t="shared" si="0"/>
        <v>You now have *5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63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*5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64" spans="1:7">
      <c r="A64" s="25" t="s">
        <v>30</v>
      </c>
      <c r="B64" s="46">
        <v>45463</v>
      </c>
      <c r="C64" s="25">
        <v>12</v>
      </c>
      <c r="E64" s="47">
        <f>SUMIF(A$2:A64,A64,C$2:C64)</f>
        <v>18</v>
      </c>
      <c r="F64" s="42" t="str">
        <f t="shared" si="0"/>
        <v>You now have *18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64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*18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65" spans="1:7">
      <c r="A65" s="25" t="s">
        <v>19</v>
      </c>
      <c r="B65" s="46">
        <v>45463</v>
      </c>
      <c r="C65" s="25">
        <v>12</v>
      </c>
      <c r="E65" s="47">
        <f>SUMIF(A$2:A65,A65,C$2:C65)</f>
        <v>18</v>
      </c>
      <c r="F65" s="42" t="str">
        <f t="shared" si="0"/>
        <v>You now have *18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65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*18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66" spans="1:7">
      <c r="A66" s="25" t="s">
        <v>36</v>
      </c>
      <c r="B66" s="46">
        <v>45457</v>
      </c>
      <c r="C66" s="25">
        <v>12</v>
      </c>
      <c r="E66" s="47">
        <f>SUMIF(A$2:A66,A66,C$2:C66)</f>
        <v>12</v>
      </c>
      <c r="F66" s="42" t="str">
        <f t="shared" si="0"/>
        <v>You now have *12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66" s="63" t="str">
        <f t="shared" si="1"/>
        <v>Yaaaay! *You are now a Nimi member!* 🎉
We are very happy to have you join our membership. We really hope you enjoy the events we crafted for this month, because we create each one with soooo much love. 💕 
You now have *12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67" spans="1:7">
      <c r="A67" s="25" t="s">
        <v>57</v>
      </c>
      <c r="B67" s="46">
        <v>45467</v>
      </c>
      <c r="C67" s="25">
        <v>12</v>
      </c>
      <c r="E67" s="47">
        <f>SUMIF(A$2:A67,A67,C$2:C67)</f>
        <v>18</v>
      </c>
      <c r="F67" s="42" t="str">
        <f t="shared" ref="F67:F96" si="2">"You now have *"&amp;E67&amp;" Nimi Credits* in your balance. 
If you want to add more credits, just let us know. Each extra credit costs £2."&amp;"
Remember: You can also *earn credits bringing friends*: each referral you bring gives you 6 credits and *your guests can experience their first Nimi experience for free!*"</f>
        <v>You now have *18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67" s="63" t="str">
        <f t="shared" ref="G67:G70" si="3">"Yaaaay! *You are now a Nimi member!* 🎉
We are very happy to have you join our membership. We really hope you enjoy the events we crafted for this month, because we create each one with soooo much love. 💕 
You now have *"&amp;E67&amp;" Nimi Credits* in your balance. You can book new events with us anytime :)
"&amp;$H$3</f>
        <v>Yaaaay! *You are now a Nimi member!* 🎉
We are very happy to have you join our membership. We really hope you enjoy the events we crafted for this month, because we create each one with soooo much love. 💕 
You now have *18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68" spans="1:7">
      <c r="A68" s="25" t="s">
        <v>18</v>
      </c>
      <c r="B68" s="46">
        <v>45467</v>
      </c>
      <c r="C68" s="25">
        <v>6</v>
      </c>
      <c r="E68" s="47">
        <f>SUMIF(A$2:A68,A68,C$2:C68)</f>
        <v>11</v>
      </c>
      <c r="F68" s="42" t="str">
        <f t="shared" si="2"/>
        <v>You now have *11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68" s="63" t="str">
        <f t="shared" si="3"/>
        <v>Yaaaay! *You are now a Nimi member!* 🎉
We are very happy to have you join our membership. We really hope you enjoy the events we crafted for this month, because we create each one with soooo much love. 💕 
You now have *11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69" spans="1:7">
      <c r="A69" s="25" t="s">
        <v>30</v>
      </c>
      <c r="B69" s="46">
        <v>45467</v>
      </c>
      <c r="C69" s="25">
        <v>-10</v>
      </c>
      <c r="E69" s="47">
        <f>SUMIF(A$2:A69,A69,C$2:C69)</f>
        <v>8</v>
      </c>
      <c r="F69" s="42" t="str">
        <f t="shared" si="2"/>
        <v>You now have *8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69" s="63" t="str">
        <f t="shared" si="3"/>
        <v>Yaaaay! *You are now a Nimi member!* 🎉
We are very happy to have you join our membership. We really hope you enjoy the events we crafted for this month, because we create each one with soooo much love. 💕 
You now have *8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70" spans="1:7">
      <c r="A70" s="25" t="s">
        <v>57</v>
      </c>
      <c r="B70" s="46">
        <v>45470</v>
      </c>
      <c r="C70" s="25">
        <v>-10</v>
      </c>
      <c r="E70" s="47">
        <f>SUMIF(A$2:A70,A70,C$2:C70)</f>
        <v>8</v>
      </c>
      <c r="F70" s="42" t="str">
        <f t="shared" si="2"/>
        <v>You now have *8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  <c r="G70" s="63" t="str">
        <f t="shared" si="3"/>
        <v>Yaaaay! *You are now a Nimi member!* 🎉
We are very happy to have you join our membership. We really hope you enjoy the events we crafted for this month, because we create each one with soooo much love. 💕 
You now have *8 Nimi Credits* in your balance. You can book new events with us anytime :)
🗓️ *BOOKING EVENTS*
You can now use our concierge service here on whatsapp to book tickets for you and your guests for any Nimi event.
💰*ADDING CREDITS*
You can purchase extra credits for £2 each. 
You can also *earn credits bringing friends*: each referral gives you 6 credits and *your guests get to experience their first Nimi experience for free!* It's a win-win-win!
💳*MEMBERSHIP RENEWAL*
At the end of the trial period, you will start being charged £29 for the membership. If don't want to continue with the membership after the trial period, just let us know. *You can cancel at anytime.*</v>
      </c>
    </row>
    <row r="71" spans="1:7">
      <c r="A71" s="25" t="s">
        <v>18</v>
      </c>
      <c r="B71" s="46">
        <v>45471</v>
      </c>
      <c r="C71" s="25">
        <v>10</v>
      </c>
      <c r="E71" s="47">
        <f>SUMIF(A$2:A71,A71,C$2:C71)</f>
        <v>21</v>
      </c>
      <c r="F71" s="42" t="str">
        <f t="shared" si="2"/>
        <v>You now have *21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72" spans="1:7">
      <c r="A72" s="25" t="s">
        <v>18</v>
      </c>
      <c r="B72" s="46">
        <v>45471</v>
      </c>
      <c r="C72" s="25">
        <v>-9</v>
      </c>
      <c r="E72" s="47">
        <f>SUMIF(A$2:A72,A72,C$2:C72)</f>
        <v>12</v>
      </c>
      <c r="F72" s="42" t="str">
        <f t="shared" si="2"/>
        <v>You now have *12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73" spans="1:7">
      <c r="A73" s="25" t="s">
        <v>60</v>
      </c>
      <c r="B73" s="46">
        <v>45471</v>
      </c>
      <c r="C73" s="25">
        <v>9</v>
      </c>
      <c r="E73" s="47">
        <f>SUMIF(A$2:A73,A73,C$2:C73)</f>
        <v>18</v>
      </c>
      <c r="F73" s="42" t="str">
        <f t="shared" si="2"/>
        <v>You now have *18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74" spans="1:7">
      <c r="A74" s="25" t="s">
        <v>21</v>
      </c>
      <c r="B74" s="46">
        <v>45471</v>
      </c>
      <c r="C74" s="25">
        <v>9</v>
      </c>
      <c r="E74" s="47">
        <f>SUMIF(A$2:A74,A74,C$2:C74)</f>
        <v>9</v>
      </c>
      <c r="F74" s="42" t="str">
        <f t="shared" si="2"/>
        <v>You now have *9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75" spans="1:7">
      <c r="A75" s="25" t="s">
        <v>21</v>
      </c>
      <c r="B75" s="46">
        <v>45458</v>
      </c>
      <c r="C75" s="25">
        <v>12</v>
      </c>
      <c r="E75" s="47">
        <f>SUMIF(A$2:A75,A75,C$2:C75)</f>
        <v>21</v>
      </c>
      <c r="F75" s="42" t="str">
        <f t="shared" si="2"/>
        <v>You now have *21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76" spans="1:7">
      <c r="A76" s="25" t="s">
        <v>21</v>
      </c>
      <c r="B76" s="46">
        <v>45471</v>
      </c>
      <c r="C76" s="25">
        <v>-10</v>
      </c>
      <c r="E76" s="47">
        <f>SUMIF(A$2:A76,A76,C$2:C76)</f>
        <v>11</v>
      </c>
      <c r="F76" s="42" t="str">
        <f t="shared" si="2"/>
        <v>You now have *11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77" spans="1:7">
      <c r="A77" s="25" t="s">
        <v>18</v>
      </c>
      <c r="B77" s="46">
        <v>45471</v>
      </c>
      <c r="C77" s="25">
        <v>-10</v>
      </c>
      <c r="E77" s="47">
        <f>SUMIF(A$2:A77,A77,C$2:C77)</f>
        <v>2</v>
      </c>
      <c r="F77" s="42" t="str">
        <f t="shared" si="2"/>
        <v>You now have *2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78" spans="1:7">
      <c r="A78" s="25" t="s">
        <v>34</v>
      </c>
      <c r="B78" s="46">
        <v>45473</v>
      </c>
      <c r="C78" s="25">
        <v>12</v>
      </c>
      <c r="E78" s="47">
        <f>SUMIF(A$2:A78,A78,C$2:C78)</f>
        <v>14</v>
      </c>
      <c r="F78" s="42" t="str">
        <f t="shared" si="2"/>
        <v>You now have *14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79" spans="1:7">
      <c r="A79" s="25" t="s">
        <v>22</v>
      </c>
      <c r="B79" s="46">
        <v>45474</v>
      </c>
      <c r="C79" s="25">
        <v>12</v>
      </c>
      <c r="E79" s="47">
        <f>SUMIF(A$2:A79,A79,C$2:C79)</f>
        <v>18</v>
      </c>
      <c r="F79" s="42" t="str">
        <f t="shared" si="2"/>
        <v>You now have *18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80" spans="1:7">
      <c r="A80" s="25" t="s">
        <v>57</v>
      </c>
      <c r="B80" s="46">
        <v>45474</v>
      </c>
      <c r="C80" s="25">
        <v>2</v>
      </c>
      <c r="E80" s="47">
        <f>SUMIF(A$2:A80,A80,C$2:C80)</f>
        <v>10</v>
      </c>
      <c r="F80" s="42" t="str">
        <f t="shared" si="2"/>
        <v>You now have *10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81" spans="1:6">
      <c r="A81" s="25" t="s">
        <v>57</v>
      </c>
      <c r="B81" s="46">
        <v>45474</v>
      </c>
      <c r="C81" s="25">
        <v>-10</v>
      </c>
      <c r="E81" s="47">
        <f>SUMIF(A$2:A81,A81,C$2:C81)</f>
        <v>0</v>
      </c>
      <c r="F81" s="42" t="str">
        <f t="shared" si="2"/>
        <v>You now have *0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82" spans="1:6">
      <c r="A82" s="25" t="s">
        <v>34</v>
      </c>
      <c r="B82" s="46">
        <v>45474</v>
      </c>
      <c r="C82" s="25">
        <v>-6</v>
      </c>
      <c r="E82" s="47">
        <f>SUMIF(A$2:A82,A82,C$2:C82)</f>
        <v>8</v>
      </c>
      <c r="F82" s="42" t="str">
        <f t="shared" si="2"/>
        <v>You now have *8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83" spans="1:6">
      <c r="A83" s="25" t="s">
        <v>25</v>
      </c>
      <c r="B83" s="46">
        <v>45474</v>
      </c>
      <c r="C83" s="25">
        <v>-6</v>
      </c>
      <c r="E83" s="47">
        <f>SUMIF(A$2:A83,A83,C$2:C83)</f>
        <v>0</v>
      </c>
      <c r="F83" s="42" t="str">
        <f t="shared" si="2"/>
        <v>You now have *0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84" spans="1:6">
      <c r="A84" s="25" t="s">
        <v>25</v>
      </c>
      <c r="B84" s="46">
        <v>45474</v>
      </c>
      <c r="C84" s="25">
        <v>6</v>
      </c>
      <c r="E84" s="47">
        <f>SUMIF(A$2:A84,A84,C$2:C84)</f>
        <v>6</v>
      </c>
      <c r="F84" s="42" t="str">
        <f t="shared" si="2"/>
        <v>You now have *6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85" spans="1:6">
      <c r="A85" s="25" t="s">
        <v>20</v>
      </c>
      <c r="B85" s="46">
        <v>45474</v>
      </c>
      <c r="C85" s="25">
        <v>30</v>
      </c>
      <c r="E85" s="47">
        <f>SUMIF(A$2:A85,A85,C$2:C85)</f>
        <v>32</v>
      </c>
      <c r="F85" s="42" t="str">
        <f t="shared" si="2"/>
        <v>You now have *32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86" spans="1:6">
      <c r="A86" s="25" t="s">
        <v>19</v>
      </c>
      <c r="B86" s="46">
        <v>45474</v>
      </c>
      <c r="C86" s="25">
        <v>-10</v>
      </c>
      <c r="E86" s="47">
        <f>SUMIF(A$2:A86,A86,C$2:C86)</f>
        <v>8</v>
      </c>
      <c r="F86" s="42" t="str">
        <f t="shared" si="2"/>
        <v>You now have *8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87" spans="1:6">
      <c r="A87" s="25" t="s">
        <v>20</v>
      </c>
      <c r="B87" s="46">
        <v>45474</v>
      </c>
      <c r="C87" s="25">
        <v>-10</v>
      </c>
      <c r="E87" s="47">
        <f>SUMIF(A$2:A87,A87,C$2:C87)</f>
        <v>22</v>
      </c>
      <c r="F87" s="42" t="str">
        <f t="shared" si="2"/>
        <v>You now have *22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88" spans="1:6">
      <c r="A88" s="25" t="s">
        <v>20</v>
      </c>
      <c r="B88" s="46">
        <v>45474</v>
      </c>
      <c r="C88" s="25">
        <v>-6</v>
      </c>
      <c r="E88" s="47">
        <f>SUMIF(A$2:A88,A88,C$2:C88)</f>
        <v>16</v>
      </c>
      <c r="F88" s="42" t="str">
        <f t="shared" si="2"/>
        <v>You now have *16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89" spans="1:6">
      <c r="A89" s="25" t="s">
        <v>28</v>
      </c>
      <c r="B89" s="46">
        <v>45474</v>
      </c>
      <c r="C89" s="25">
        <v>6</v>
      </c>
      <c r="E89" s="47">
        <f>SUMIF(A$2:A89,A89,C$2:C89)</f>
        <v>20</v>
      </c>
      <c r="F89" s="42" t="str">
        <f t="shared" si="2"/>
        <v>You now have *20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90" spans="1:6">
      <c r="A90" s="25" t="s">
        <v>21</v>
      </c>
      <c r="B90" s="46">
        <v>45478</v>
      </c>
      <c r="C90" s="25">
        <v>-10</v>
      </c>
      <c r="E90" s="47">
        <f>SUMIF(A$2:A90,A90,C$2:C90)</f>
        <v>1</v>
      </c>
      <c r="F90" s="42" t="str">
        <f t="shared" si="2"/>
        <v>You now have *1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91" spans="1:6">
      <c r="A91" s="25" t="s">
        <v>22</v>
      </c>
      <c r="B91" s="46">
        <v>45478</v>
      </c>
      <c r="C91" s="25">
        <v>-10</v>
      </c>
      <c r="E91" s="47">
        <f>SUMIF(A$2:A91,A91,C$2:C91)</f>
        <v>8</v>
      </c>
      <c r="F91" s="42" t="str">
        <f t="shared" si="2"/>
        <v>You now have *8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92" spans="1:6">
      <c r="A92" s="25" t="s">
        <v>23</v>
      </c>
      <c r="B92" s="46">
        <v>45478</v>
      </c>
      <c r="C92" s="25">
        <v>-10</v>
      </c>
      <c r="E92" s="47">
        <f>SUMIF(A$2:A92,A92,C$2:C92)</f>
        <v>2</v>
      </c>
      <c r="F92" s="42" t="str">
        <f t="shared" si="2"/>
        <v>You now have *2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93" spans="1:6">
      <c r="A93" s="25" t="s">
        <v>23</v>
      </c>
      <c r="B93" s="46">
        <v>45478</v>
      </c>
      <c r="C93" s="25">
        <v>12</v>
      </c>
      <c r="E93" s="47">
        <f>SUMIF(A$2:A93,A93,C$2:C93)</f>
        <v>14</v>
      </c>
      <c r="F93" s="42" t="str">
        <f t="shared" si="2"/>
        <v>You now have *14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94" spans="1:6">
      <c r="A94" s="25" t="s">
        <v>20</v>
      </c>
      <c r="B94" s="46">
        <v>45481</v>
      </c>
      <c r="C94" s="25">
        <v>6</v>
      </c>
      <c r="E94" s="47">
        <f>SUMIF(A$2:A94,A94,C$2:C94)</f>
        <v>22</v>
      </c>
      <c r="F94" s="42" t="str">
        <f t="shared" si="2"/>
        <v>You now have *22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95" spans="1:6">
      <c r="A95" s="25" t="s">
        <v>20</v>
      </c>
      <c r="B95" s="46">
        <v>45481</v>
      </c>
      <c r="C95" s="25">
        <v>-6</v>
      </c>
      <c r="E95" s="47">
        <f>SUMIF(A$2:A95,A95,C$2:C95)</f>
        <v>16</v>
      </c>
      <c r="F95" s="42" t="str">
        <f t="shared" si="2"/>
        <v>You now have *16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96" spans="1:6">
      <c r="A96" s="25" t="s">
        <v>23</v>
      </c>
      <c r="B96" s="46">
        <v>45481</v>
      </c>
      <c r="C96" s="25">
        <v>-6</v>
      </c>
      <c r="E96" s="47">
        <f>SUMIF(A$2:A96,A96,C$2:C96)</f>
        <v>8</v>
      </c>
      <c r="F96" s="42" t="str">
        <f t="shared" si="2"/>
        <v>You now have *8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97" spans="1:6">
      <c r="A97" s="25" t="s">
        <v>20</v>
      </c>
      <c r="B97" s="46">
        <v>45482</v>
      </c>
      <c r="C97" s="25">
        <v>12</v>
      </c>
      <c r="E97" s="47">
        <f>SUMIF(A$2:A97,A97,C$2:C97)</f>
        <v>28</v>
      </c>
      <c r="F97" s="42" t="str">
        <f t="shared" ref="F97:F105" si="4">"You now have *"&amp;E97&amp;" Nimi Credits* in your balance. 
If you want to add more credits, just let us know. Each extra credit costs £2."&amp;"
Remember: You can also *earn credits bringing friends*: each referral you bring gives you 6 credits and *your guests can experience their first Nimi experience for free!*"</f>
        <v>You now have *28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98" spans="1:6">
      <c r="A98" s="25" t="s">
        <v>18</v>
      </c>
      <c r="B98" s="46">
        <v>45482</v>
      </c>
      <c r="C98" s="25">
        <v>12</v>
      </c>
      <c r="E98" s="47">
        <f>SUMIF(A$2:A98,A98,C$2:C98)</f>
        <v>14</v>
      </c>
      <c r="F98" s="42" t="str">
        <f t="shared" si="4"/>
        <v>You now have *14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99" spans="1:6">
      <c r="A99" s="25" t="s">
        <v>28</v>
      </c>
      <c r="B99" s="46">
        <v>45482</v>
      </c>
      <c r="C99" s="25">
        <v>12</v>
      </c>
      <c r="E99" s="47">
        <f>SUMIF(A$2:A99,A99,C$2:C99)</f>
        <v>32</v>
      </c>
      <c r="F99" s="42" t="str">
        <f t="shared" si="4"/>
        <v>You now have *32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100" spans="1:6">
      <c r="A100" s="25" t="s">
        <v>30</v>
      </c>
      <c r="B100" s="46">
        <v>45483</v>
      </c>
      <c r="C100" s="25">
        <v>-6</v>
      </c>
      <c r="E100" s="47">
        <f>SUMIF(A$2:A100,A100,C$2:C100)</f>
        <v>2</v>
      </c>
      <c r="F100" s="42" t="str">
        <f t="shared" si="4"/>
        <v>You now have *2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101" spans="1:6">
      <c r="A101" s="25" t="s">
        <v>23</v>
      </c>
      <c r="B101" s="46">
        <v>45484</v>
      </c>
      <c r="C101" s="25">
        <v>6</v>
      </c>
      <c r="E101" s="47">
        <f>SUMIF(A$2:A101,A101,C$2:C101)</f>
        <v>14</v>
      </c>
      <c r="F101" s="42" t="str">
        <f t="shared" si="4"/>
        <v>You now have *14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102" spans="1:6">
      <c r="A102" s="25" t="s">
        <v>36</v>
      </c>
      <c r="B102" s="46">
        <v>45488</v>
      </c>
      <c r="C102" s="25">
        <v>12</v>
      </c>
      <c r="E102" s="47">
        <f>SUMIF(A$2:A102,A102,C$2:C102)</f>
        <v>24</v>
      </c>
      <c r="F102" s="42" t="str">
        <f t="shared" si="4"/>
        <v>You now have *24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103" spans="1:6">
      <c r="A103" s="25" t="s">
        <v>21</v>
      </c>
      <c r="B103" s="46">
        <v>45488</v>
      </c>
      <c r="C103" s="25">
        <v>12</v>
      </c>
      <c r="E103" s="47">
        <f>SUMIF(A$2:A103,A103,C$2:C103)</f>
        <v>13</v>
      </c>
      <c r="F103" s="42" t="str">
        <f t="shared" si="4"/>
        <v>You now have *13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104" spans="1:6">
      <c r="A104" s="25" t="s">
        <v>19</v>
      </c>
      <c r="B104" s="46">
        <v>45489</v>
      </c>
      <c r="C104" s="25">
        <v>6</v>
      </c>
      <c r="E104" s="47">
        <f>SUMIF(A$2:A104,A104,C$2:C104)</f>
        <v>14</v>
      </c>
      <c r="F104" s="42" t="str">
        <f t="shared" si="4"/>
        <v>You now have *14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105" spans="1:6">
      <c r="A105" s="25" t="s">
        <v>60</v>
      </c>
      <c r="B105" s="46">
        <v>45490</v>
      </c>
      <c r="C105" s="25">
        <v>12</v>
      </c>
      <c r="E105" s="47">
        <f>SUMIF(A$2:A105,A105,C$2:C105)</f>
        <v>30</v>
      </c>
      <c r="F105" s="42" t="str">
        <f t="shared" si="4"/>
        <v>You now have *30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106" spans="1:6">
      <c r="A106" s="25" t="s">
        <v>19</v>
      </c>
      <c r="B106" s="46">
        <v>45495</v>
      </c>
      <c r="C106" s="25">
        <v>12</v>
      </c>
      <c r="E106" s="47">
        <f>SUMIF(A$2:A106,A106,C$2:C106)</f>
        <v>26</v>
      </c>
      <c r="F106" s="42" t="str">
        <f t="shared" ref="F106:F108" si="5">"You now have *"&amp;E106&amp;" Nimi Credits* in your balance. 
If you want to add more credits, just let us know. Each extra credit costs £2."&amp;"
Remember: You can also *earn credits bringing friends*: each referral you bring gives you 6 credits and *your guests can experience their first Nimi experience for free!*"</f>
        <v>You now have *26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107" spans="1:6">
      <c r="A107" s="25" t="s">
        <v>30</v>
      </c>
      <c r="B107" s="46">
        <v>45495</v>
      </c>
      <c r="C107" s="25">
        <v>12</v>
      </c>
      <c r="E107" s="47">
        <f>SUMIF(A$2:A107,A107,C$2:C107)</f>
        <v>14</v>
      </c>
      <c r="F107" s="42" t="str">
        <f t="shared" si="5"/>
        <v>You now have *14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108" spans="1:6">
      <c r="A108" s="25" t="s">
        <v>30</v>
      </c>
      <c r="B108" s="46">
        <v>45495</v>
      </c>
      <c r="C108" s="25">
        <v>-2</v>
      </c>
      <c r="E108" s="47">
        <f>SUMIF(A$2:A108,A108,C$2:C108)</f>
        <v>12</v>
      </c>
      <c r="F108" s="42" t="str">
        <f t="shared" si="5"/>
        <v>You now have *12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109" spans="1:6">
      <c r="A109" s="25" t="s">
        <v>23</v>
      </c>
      <c r="B109" s="46">
        <v>45495</v>
      </c>
      <c r="C109" s="25">
        <v>-2</v>
      </c>
      <c r="E109" s="47">
        <f>SUMIF(A$2:A109,A109,C$2:C109)</f>
        <v>12</v>
      </c>
      <c r="F109" s="42" t="str">
        <f t="shared" ref="F109:F115" si="6">"You now have *"&amp;E109&amp;" Nimi Credits* in your balance. 
If you want to add more credits, just let us know. Each extra credit costs £2."&amp;"
Remember: You can also *earn credits bringing friends*: each referral you bring gives you 6 credits and *your guests can experience their first Nimi experience for free!*"</f>
        <v>You now have *12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110" spans="1:6">
      <c r="A110" s="25" t="s">
        <v>36</v>
      </c>
      <c r="B110" s="46">
        <v>45496</v>
      </c>
      <c r="C110" s="25">
        <v>-2</v>
      </c>
      <c r="E110" s="47">
        <f>SUMIF(A$2:A110,A110,C$2:C110)</f>
        <v>22</v>
      </c>
      <c r="F110" s="42" t="str">
        <f t="shared" si="6"/>
        <v>You now have *22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111" spans="1:6">
      <c r="A111" s="25" t="s">
        <v>32</v>
      </c>
      <c r="B111" s="46">
        <v>45497</v>
      </c>
      <c r="C111" s="25">
        <v>-2</v>
      </c>
      <c r="E111" s="47">
        <f>SUMIF(A$2:A111,A111,C$2:C111)</f>
        <v>10</v>
      </c>
      <c r="F111" s="42" t="str">
        <f t="shared" si="6"/>
        <v>You now have *10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112" spans="1:6">
      <c r="A112" s="25" t="s">
        <v>21</v>
      </c>
      <c r="B112" s="46">
        <v>45498</v>
      </c>
      <c r="C112" s="25">
        <v>2</v>
      </c>
      <c r="E112" s="47">
        <f>SUMIF(A$2:A112,A112,C$2:C112)</f>
        <v>15</v>
      </c>
      <c r="F112" s="42" t="str">
        <f t="shared" si="6"/>
        <v>You now have *15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113" spans="1:6">
      <c r="A113" s="25" t="s">
        <v>22</v>
      </c>
      <c r="B113" s="46">
        <v>45498</v>
      </c>
      <c r="C113" s="25">
        <v>2</v>
      </c>
      <c r="E113" s="47">
        <f>SUMIF(A$2:A113,A113,C$2:C113)</f>
        <v>10</v>
      </c>
      <c r="F113" s="42" t="str">
        <f t="shared" si="6"/>
        <v>You now have *10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114" spans="1:6">
      <c r="A114" s="25" t="s">
        <v>40</v>
      </c>
      <c r="B114" s="46">
        <v>45511</v>
      </c>
      <c r="C114" s="25">
        <v>-5</v>
      </c>
      <c r="E114" s="47">
        <f>SUMIF(A$2:A114,A114,C$2:C114)</f>
        <v>19</v>
      </c>
      <c r="F114" s="42" t="str">
        <f t="shared" si="6"/>
        <v>You now have *19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115" spans="1:6">
      <c r="A115" s="25" t="s">
        <v>22</v>
      </c>
      <c r="B115" s="46">
        <v>45504</v>
      </c>
      <c r="C115" s="25">
        <v>12</v>
      </c>
      <c r="E115" s="47">
        <f>SUMIF(A$2:A115,A115,C$2:C115)</f>
        <v>22</v>
      </c>
      <c r="F115" s="42" t="str">
        <f t="shared" si="6"/>
        <v>You now have *22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116" spans="1:6">
      <c r="A116" s="25" t="s">
        <v>34</v>
      </c>
      <c r="B116" s="46">
        <v>45504</v>
      </c>
      <c r="C116" s="25">
        <v>12</v>
      </c>
      <c r="E116" s="47">
        <f>SUMIF(A$2:A116,A116,C$2:C116)</f>
        <v>20</v>
      </c>
      <c r="F116" s="42" t="str">
        <f t="shared" ref="F116:F118" si="7">"You now have *"&amp;E116&amp;" Nimi Credits* in your balance. 
If you want to add more credits, just let us know. Each extra credit costs £2."&amp;"
Remember: You can also *earn credits bringing friends*: each referral you bring gives you 6 credits and *your guests can experience their first Nimi experience for free!*"</f>
        <v>You now have *20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117" spans="1:6">
      <c r="A117" s="25" t="s">
        <v>28</v>
      </c>
      <c r="B117" s="46">
        <v>45511</v>
      </c>
      <c r="C117" s="25">
        <v>-5</v>
      </c>
      <c r="E117" s="47">
        <f>SUMIF(A$2:A117,A117,C$2:C117)</f>
        <v>27</v>
      </c>
      <c r="F117" s="42" t="str">
        <f t="shared" si="7"/>
        <v>You now have *27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118" spans="1:6">
      <c r="A118" s="25" t="s">
        <v>30</v>
      </c>
      <c r="B118" s="46">
        <v>45512</v>
      </c>
      <c r="C118" s="25">
        <v>-6</v>
      </c>
      <c r="E118" s="47">
        <f>SUMIF(A$2:A118,A118,C$2:C118)</f>
        <v>6</v>
      </c>
      <c r="F118" s="42" t="str">
        <f t="shared" si="7"/>
        <v>You now have *6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119" spans="1:6">
      <c r="A119" s="25" t="s">
        <v>18</v>
      </c>
      <c r="B119" s="46">
        <v>45512</v>
      </c>
      <c r="C119" s="25">
        <v>-6</v>
      </c>
      <c r="E119" s="47">
        <f>SUMIF(A$2:A119,A119,C$2:C119)</f>
        <v>8</v>
      </c>
      <c r="F119" s="42" t="str">
        <f t="shared" ref="F119:F120" si="8">"You now have *"&amp;E119&amp;" Nimi Credits* in your balance. 
If you want to add more credits, just let us know. Each extra credit costs £2."&amp;"
Remember: You can also *earn credits bringing friends*: each referral you bring gives you 6 credits and *your guests can experience their first Nimi experience for free!*"</f>
        <v>You now have *8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120" spans="1:6">
      <c r="A120" s="25" t="s">
        <v>28</v>
      </c>
      <c r="B120" s="46">
        <v>45513</v>
      </c>
      <c r="C120" s="25">
        <v>12</v>
      </c>
      <c r="E120" s="47">
        <f>SUMIF(A$2:A120,A120,C$2:C120)</f>
        <v>39</v>
      </c>
      <c r="F120" s="42" t="str">
        <f t="shared" si="8"/>
        <v>You now have *39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121" spans="1:6">
      <c r="A121" s="25" t="s">
        <v>18</v>
      </c>
      <c r="B121" s="46">
        <v>45513</v>
      </c>
      <c r="C121" s="25">
        <v>12</v>
      </c>
      <c r="E121" s="47">
        <f>SUMIF(A$2:A121,A121,C$2:C121)</f>
        <v>20</v>
      </c>
      <c r="F121" s="42" t="str">
        <f t="shared" ref="F121:F133" si="9">"You now have *"&amp;E121&amp;" Nimi Credits* in your balance. 
If you want to add more credits, just let us know. Each extra credit costs £2."&amp;"
Remember: You can also *earn credits bringing friends*: each referral you bring gives you 6 credits and *your guests can experience their first Nimi experience for free!*"</f>
        <v>You now have *20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122" spans="1:6">
      <c r="A122" s="25" t="s">
        <v>20</v>
      </c>
      <c r="B122" s="46">
        <v>45513</v>
      </c>
      <c r="C122" s="25">
        <v>12</v>
      </c>
      <c r="E122" s="47">
        <f>SUMIF(A$2:A122,A122,C$2:C122)</f>
        <v>40</v>
      </c>
      <c r="F122" s="42" t="str">
        <f t="shared" si="9"/>
        <v>You now have *40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123" spans="1:6">
      <c r="A123" s="25" t="s">
        <v>28</v>
      </c>
      <c r="B123" s="46">
        <v>45513</v>
      </c>
      <c r="C123" s="25">
        <v>-5</v>
      </c>
      <c r="E123" s="47">
        <f>SUMIF(A$2:A123,A123,C$2:C123)</f>
        <v>34</v>
      </c>
      <c r="F123" s="42" t="str">
        <f t="shared" si="9"/>
        <v>You now have *34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124" spans="1:6">
      <c r="A124" s="25" t="s">
        <v>30</v>
      </c>
      <c r="B124" s="46">
        <v>45513</v>
      </c>
      <c r="C124" s="57">
        <v>2</v>
      </c>
      <c r="E124" s="47">
        <f>SUMIF(A$2:A124,A124,C$2:C124)</f>
        <v>8</v>
      </c>
      <c r="F124" s="42" t="str">
        <f t="shared" si="9"/>
        <v>You now have *8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125" spans="1:6">
      <c r="A125" s="25" t="s">
        <v>28</v>
      </c>
      <c r="B125" s="46">
        <v>45513</v>
      </c>
      <c r="C125" s="25">
        <v>-5</v>
      </c>
      <c r="E125" s="47">
        <f>SUMIF(A$2:A125,A125,C$2:C125)</f>
        <v>29</v>
      </c>
      <c r="F125" s="42" t="str">
        <f t="shared" si="9"/>
        <v>You now have *29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126" spans="1:6">
      <c r="A126" s="25" t="s">
        <v>36</v>
      </c>
      <c r="B126" s="46">
        <v>45517</v>
      </c>
      <c r="C126" s="25">
        <v>-2</v>
      </c>
      <c r="E126" s="47">
        <f>SUMIF(A$2:A126,A126,C$2:C126)</f>
        <v>20</v>
      </c>
      <c r="F126" s="42" t="str">
        <f t="shared" si="9"/>
        <v>You now have *20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127" spans="1:6">
      <c r="A127" s="25" t="s">
        <v>18</v>
      </c>
      <c r="B127" s="46">
        <v>45519</v>
      </c>
      <c r="C127" s="25">
        <v>-8</v>
      </c>
      <c r="E127" s="47">
        <f>SUMIF(A$2:A127,A127,C$2:C127)</f>
        <v>12</v>
      </c>
      <c r="F127" s="42" t="str">
        <f t="shared" si="9"/>
        <v>You now have *12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128" spans="1:6">
      <c r="A128" s="25" t="s">
        <v>36</v>
      </c>
      <c r="B128" s="46">
        <v>45519</v>
      </c>
      <c r="C128" s="25">
        <v>12</v>
      </c>
      <c r="E128" s="47">
        <f>SUMIF(A$2:A128,A128,C$2:C128)</f>
        <v>32</v>
      </c>
      <c r="F128" s="42" t="str">
        <f t="shared" si="9"/>
        <v>You now have *32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129" spans="1:6">
      <c r="A129" s="25" t="s">
        <v>28</v>
      </c>
      <c r="B129" s="46">
        <v>45519</v>
      </c>
      <c r="C129" s="25">
        <v>-8</v>
      </c>
      <c r="E129" s="47">
        <f>SUMIF(A$2:A129,A129,C$2:C129)</f>
        <v>21</v>
      </c>
      <c r="F129" s="42" t="str">
        <f t="shared" si="9"/>
        <v>You now have *21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130" spans="1:6">
      <c r="A130" s="45" t="s">
        <v>36</v>
      </c>
      <c r="B130" s="46">
        <v>45524</v>
      </c>
      <c r="C130" s="57">
        <v>-10</v>
      </c>
      <c r="E130" s="47">
        <f>SUMIF(A$2:A130,A130,C$2:C130)</f>
        <v>22</v>
      </c>
      <c r="F130" s="42" t="str">
        <f t="shared" si="9"/>
        <v>You now have *22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131" spans="1:6">
      <c r="A131" s="45" t="s">
        <v>20</v>
      </c>
      <c r="B131" s="46">
        <v>45524</v>
      </c>
      <c r="C131" s="57">
        <v>-10</v>
      </c>
      <c r="E131" s="47">
        <f>SUMIF(A$2:A131,A131,C$2:C131)</f>
        <v>30</v>
      </c>
      <c r="F131" s="42" t="str">
        <f t="shared" si="9"/>
        <v>You now have *30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132" spans="1:6">
      <c r="A132" s="45" t="s">
        <v>25</v>
      </c>
      <c r="B132" s="46">
        <v>45524</v>
      </c>
      <c r="C132" s="57">
        <v>-10</v>
      </c>
      <c r="E132" s="47">
        <f>SUMIF(A$2:A132,A132,C$2:C132)</f>
        <v>-4</v>
      </c>
      <c r="F132" s="42" t="str">
        <f t="shared" si="9"/>
        <v>You now have *-4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133" spans="1:6">
      <c r="A133" s="45" t="s">
        <v>28</v>
      </c>
      <c r="B133" s="46">
        <v>45524</v>
      </c>
      <c r="C133" s="57">
        <v>-10</v>
      </c>
      <c r="E133" s="47">
        <f>SUMIF(A$2:A133,A133,C$2:C133)</f>
        <v>11</v>
      </c>
      <c r="F133" s="42" t="str">
        <f t="shared" si="9"/>
        <v>You now have *11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134" spans="1:6">
      <c r="A134" s="45" t="s">
        <v>60</v>
      </c>
      <c r="B134" s="46">
        <v>45524</v>
      </c>
      <c r="C134" s="57">
        <v>-10</v>
      </c>
      <c r="E134" s="47">
        <f>SUMIF(A$2:A134,A134,C$2:C134)</f>
        <v>20</v>
      </c>
      <c r="F134" s="42" t="str">
        <f>"You now have *"&amp;E134&amp;" Nimi Credits* in your balance. 
If you want to add more credits, just let us know. Each extra credit costs £2."&amp;"
Remember: You can also *earn credits bringing friends*: each referral you bring gives you 6 credits and *your guests can experience their first Nimi experience for free!*"</f>
        <v>You now have *20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135" spans="1:6">
      <c r="A135" s="45" t="s">
        <v>18</v>
      </c>
      <c r="B135" s="46">
        <v>45524</v>
      </c>
      <c r="C135" s="57">
        <v>-10</v>
      </c>
      <c r="E135" s="47">
        <f>SUMIF(A$2:A135,A135,C$2:C135)</f>
        <v>2</v>
      </c>
      <c r="F135" s="42" t="str">
        <f>"You now have *"&amp;E135&amp;" Nimi Credits* in your balance. 
If you want to add more credits, just let us know. Each extra credit costs £2."&amp;"
Remember: You can also *earn credits bringing friends*: each referral you bring gives you 6 credits and *your guests can experience their first Nimi experience for free!*"</f>
        <v>You now have *2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136" spans="1:6">
      <c r="A136" s="45" t="s">
        <v>18</v>
      </c>
      <c r="B136" s="46">
        <v>45524</v>
      </c>
      <c r="C136" s="25">
        <v>-5</v>
      </c>
      <c r="E136" s="47">
        <f>SUMIF(A$2:A136,A136,C$2:C136)</f>
        <v>-3</v>
      </c>
      <c r="F136" s="42" t="str">
        <f>"You now have *"&amp;E136&amp;" Nimi Credits* in your balance. 
If you want to add more credits, just let us know. Each extra credit costs £2."&amp;"
Remember: You can also *earn credits bringing friends*: each referral you bring gives you 6 credits and *your guests can experience their first Nimi experience for free!*"</f>
        <v>You now have *-3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137" spans="1:6">
      <c r="A137" s="45" t="s">
        <v>19</v>
      </c>
      <c r="B137" s="46">
        <v>45525</v>
      </c>
      <c r="C137" s="25">
        <v>12</v>
      </c>
      <c r="E137" s="47">
        <f>SUMIF(A$2:A137,A137,C$2:C137)</f>
        <v>38</v>
      </c>
      <c r="F137" s="42" t="str">
        <f>"You now have *"&amp;E137&amp;" Nimi Credits* in your balance. 
If you want to add more credits, just let us know. Each extra credit costs £2."&amp;"
Remember: You can also *earn credits bringing friends*: each referral you bring gives you 6 credits and *your guests can experience their first Nimi experience for free!*"</f>
        <v>You now have *38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138" spans="1:6">
      <c r="A138" s="45" t="s">
        <v>23</v>
      </c>
      <c r="B138" s="46">
        <v>45525</v>
      </c>
      <c r="C138" s="25">
        <v>-10</v>
      </c>
      <c r="E138" s="47">
        <f>SUMIF(A$2:A138,A138,C$2:C138)</f>
        <v>2</v>
      </c>
      <c r="F138" s="42" t="str">
        <f>"You now have *"&amp;E138&amp;" Nimi Credits* in your balance. 
If you want to add more credits, just let us know. Each extra credit costs £2."&amp;"
Remember: You can also *earn credits bringing friends*: each referral you bring gives you 6 credits and *your guests can experience their first Nimi experience for free!*"</f>
        <v>You now have *2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139" spans="1:6">
      <c r="A139" s="45"/>
      <c r="E139" s="47">
        <f>SUMIF(A$2:A139,A139,C$2:C139)</f>
        <v>0</v>
      </c>
      <c r="F139" s="42" t="str">
        <f>"You now have *"&amp;E139&amp;" Nimi Credits* in your balance. 
If you want to add more credits, just let us know. Each extra credit costs £2."&amp;"
Remember: You can also *earn credits bringing friends*: each referral you bring gives you 6 credits and *your guests can experience their first Nimi experience for free!*"</f>
        <v>You now have *0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140" spans="1:6">
      <c r="A140" s="45"/>
      <c r="E140" s="47">
        <f>SUMIF(A$2:A140,A140,C$2:C140)</f>
        <v>0</v>
      </c>
      <c r="F140" s="42" t="str">
        <f>"You now have *"&amp;E140&amp;" Nimi Credits* in your balance. 
If you want to add more credits, just let us know. Each extra credit costs £2."&amp;"
Remember: You can also *earn credits bringing friends*: each referral you bring gives you 6 credits and *your guests can experience their first Nimi experience for free!*"</f>
        <v>You now have *0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141" spans="1:6">
      <c r="A141" s="45"/>
      <c r="E141" s="47">
        <f>SUMIF(A$2:A141,A141,C$2:C141)</f>
        <v>0</v>
      </c>
      <c r="F141" s="42" t="str">
        <f>"You now have *"&amp;E141&amp;" Nimi Credits* in your balance. 
If you want to add more credits, just let us know. Each extra credit costs £2."&amp;"
Remember: You can also *earn credits bringing friends*: each referral you bring gives you 6 credits and *your guests can experience their first Nimi experience for free!*"</f>
        <v>You now have *0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142" spans="1:6">
      <c r="A142" s="45"/>
      <c r="E142" s="47">
        <f>SUMIF(A$2:A142,A142,C$2:C142)</f>
        <v>0</v>
      </c>
      <c r="F142" s="42" t="str">
        <f>"You now have *"&amp;E142&amp;" Nimi Credits* in your balance. 
If you want to add more credits, just let us know. Each extra credit costs £2."&amp;"
Remember: You can also *earn credits bringing friends*: each referral you bring gives you 6 credits and *your guests can experience their first Nimi experience for free!*"</f>
        <v>You now have *0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143" spans="1:6">
      <c r="A143" s="45"/>
      <c r="E143" s="47">
        <f>SUMIF(A$2:A143,A143,C$2:C143)</f>
        <v>0</v>
      </c>
      <c r="F143" s="42" t="str">
        <f>"You now have *"&amp;E143&amp;" Nimi Credits* in your balance. 
If you want to add more credits, just let us know. Each extra credit costs £2."&amp;"
Remember: You can also *earn credits bringing friends*: each referral you bring gives you 6 credits and *your guests can experience their first Nimi experience for free!*"</f>
        <v>You now have *0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144" spans="1:6">
      <c r="A144" s="45"/>
      <c r="E144" s="47">
        <f>SUMIF(A$2:A144,A144,C$2:C144)</f>
        <v>0</v>
      </c>
      <c r="F144" s="42" t="str">
        <f>"You now have *"&amp;E144&amp;" Nimi Credits* in your balance. 
If you want to add more credits, just let us know. Each extra credit costs £2."&amp;"
Remember: You can also *earn credits bringing friends*: each referral you bring gives you 6 credits and *your guests can experience their first Nimi experience for free!*"</f>
        <v>You now have *0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145" spans="1:6">
      <c r="A145" s="45"/>
      <c r="E145" s="47">
        <f>SUMIF(A$2:A145,A145,C$2:C145)</f>
        <v>0</v>
      </c>
      <c r="F145" s="42" t="str">
        <f>"You now have *"&amp;E145&amp;" Nimi Credits* in your balance. 
If you want to add more credits, just let us know. Each extra credit costs £2."&amp;"
Remember: You can also *earn credits bringing friends*: each referral you bring gives you 6 credits and *your guests can experience their first Nimi experience for free!*"</f>
        <v>You now have *0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146" spans="1:6">
      <c r="A146" s="45"/>
      <c r="E146" s="47">
        <f>SUMIF(A$2:A146,A146,C$2:C146)</f>
        <v>0</v>
      </c>
      <c r="F146" s="42" t="str">
        <f>"You now have *"&amp;E146&amp;" Nimi Credits* in your balance. 
If you want to add more credits, just let us know. Each extra credit costs £2."&amp;"
Remember: You can also *earn credits bringing friends*: each referral you bring gives you 6 credits and *your guests can experience their first Nimi experience for free!*"</f>
        <v>You now have *0 Nimi Credits* in your balance. 
If you want to add more credits, just let us know. Each extra credit costs £2.
Remember: You can also *earn credits bringing friends*: each referral you bring gives you 6 credits and *your guests can experience their first Nimi experience for free!*</v>
      </c>
    </row>
    <row r="147" spans="1:6">
      <c r="A147" s="45"/>
    </row>
    <row r="148" spans="1:6">
      <c r="A148" s="45"/>
    </row>
    <row r="149" spans="1:6">
      <c r="A149" s="45"/>
    </row>
    <row r="150" spans="1:6">
      <c r="A150" s="45"/>
    </row>
    <row r="151" spans="1:6">
      <c r="A151" s="45"/>
    </row>
    <row r="152" spans="1:6">
      <c r="A152" s="45"/>
    </row>
    <row r="153" spans="1:6">
      <c r="A153" s="45"/>
    </row>
    <row r="154" spans="1:6">
      <c r="A154" s="45"/>
    </row>
    <row r="155" spans="1:6">
      <c r="A155" s="45"/>
    </row>
  </sheetData>
  <autoFilter ref="A2:H115" xr:uid="{15FF03EE-8A02-4254-B12C-9D2476DAE166}"/>
  <mergeCells count="1">
    <mergeCell ref="A1:C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0C6FC77-8D2F-4718-8E7F-9DB4733B7194}">
          <x14:formula1>
            <xm:f>Users!$E:$E</xm:f>
          </x14:formula1>
          <xm:sqref>A3:A105 A109:A111 A114:A155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BE9BC-D7A6-E848-B798-81FCC67EBFA4}">
  <dimension ref="A1:U205"/>
  <sheetViews>
    <sheetView topLeftCell="D50" zoomScale="130" zoomScaleNormal="130" workbookViewId="0">
      <selection activeCell="P68" sqref="P68"/>
    </sheetView>
  </sheetViews>
  <sheetFormatPr defaultColWidth="11" defaultRowHeight="15.95"/>
  <cols>
    <col min="1" max="1" width="33.375" bestFit="1" customWidth="1"/>
    <col min="2" max="2" width="12.5" bestFit="1" customWidth="1"/>
    <col min="3" max="3" width="20.375" bestFit="1" customWidth="1"/>
    <col min="4" max="4" width="20.375" customWidth="1"/>
    <col min="5" max="6" width="15.625" customWidth="1"/>
    <col min="7" max="7" width="18.625" customWidth="1"/>
    <col min="8" max="8" width="11" style="4"/>
    <col min="9" max="9" width="0" style="4" hidden="1" customWidth="1"/>
    <col min="10" max="10" width="11" style="19"/>
    <col min="11" max="14" width="0" style="4" hidden="1" customWidth="1"/>
    <col min="15" max="15" width="7" style="4" customWidth="1"/>
    <col min="16" max="16" width="11" style="4"/>
    <col min="17" max="17" width="15.5" style="4" bestFit="1" customWidth="1"/>
  </cols>
  <sheetData>
    <row r="1" spans="1:21" s="2" customFormat="1" ht="45.95" customHeight="1">
      <c r="A1" s="2" t="s">
        <v>97</v>
      </c>
      <c r="B1" s="2" t="s">
        <v>98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103</v>
      </c>
      <c r="H1" s="3" t="s">
        <v>104</v>
      </c>
      <c r="I1" s="3" t="s">
        <v>105</v>
      </c>
      <c r="J1" s="3" t="s">
        <v>106</v>
      </c>
      <c r="K1" s="3" t="s">
        <v>107</v>
      </c>
      <c r="L1" s="3" t="s">
        <v>108</v>
      </c>
      <c r="M1" s="3" t="s">
        <v>109</v>
      </c>
      <c r="N1" s="3" t="s">
        <v>110</v>
      </c>
      <c r="O1" s="3" t="s">
        <v>111</v>
      </c>
      <c r="P1" s="3" t="s">
        <v>112</v>
      </c>
      <c r="Q1" s="3" t="s">
        <v>113</v>
      </c>
      <c r="R1" s="3" t="s">
        <v>114</v>
      </c>
      <c r="S1" s="2" t="s">
        <v>115</v>
      </c>
      <c r="T1" s="2" t="s">
        <v>116</v>
      </c>
      <c r="U1" s="2" t="s">
        <v>117</v>
      </c>
    </row>
    <row r="2" spans="1:21">
      <c r="A2" s="17" t="s">
        <v>118</v>
      </c>
      <c r="B2" t="str">
        <f>INDEX(Visits!$A$1:$AI$336,MATCH('Manual Cleanup'!$A2,Visits!$E$1:$E$336,0),MATCH('Manual Cleanup'!B$1,Visits!$A$1:$AI$1,0))</f>
        <v>Lucy</v>
      </c>
      <c r="C2" t="str">
        <f>INDEX(Visits!$A$1:$AI$336,MATCH('Manual Cleanup'!$A2,Visits!$E$1:$E$336,0),MATCH('Manual Cleanup'!C$1,Visits!$A$1:$AI$1,0))</f>
        <v>Zhou</v>
      </c>
      <c r="D2" s="17" t="s">
        <v>119</v>
      </c>
      <c r="E2" t="s">
        <v>120</v>
      </c>
      <c r="F2" t="s">
        <v>121</v>
      </c>
      <c r="G2" s="1" cm="1">
        <f t="array" ref="G2">MAX(_xlfn._xlws.FILTER(Visits!AF:AF,Visits!W:W='Manual Cleanup'!D2))</f>
        <v>45395</v>
      </c>
      <c r="H2" s="19">
        <v>3</v>
      </c>
      <c r="I2" s="4">
        <v>1</v>
      </c>
      <c r="J2" s="19">
        <v>2</v>
      </c>
      <c r="K2" s="4">
        <v>1</v>
      </c>
      <c r="L2" s="4">
        <v>0</v>
      </c>
      <c r="M2" s="4">
        <v>1</v>
      </c>
      <c r="N2" s="4">
        <v>0</v>
      </c>
      <c r="O2" s="4">
        <v>55</v>
      </c>
      <c r="P2" s="4">
        <v>15</v>
      </c>
      <c r="Q2" s="13">
        <f t="shared" ref="Q2:Q33" si="0">O2/H2</f>
        <v>18.333333333333332</v>
      </c>
      <c r="R2" s="13">
        <f t="shared" ref="R2:R33" si="1">IFERROR(P2/J2,"n/a")</f>
        <v>7.5</v>
      </c>
    </row>
    <row r="3" spans="1:21">
      <c r="A3" t="s">
        <v>122</v>
      </c>
      <c r="B3" t="str">
        <f>INDEX(Visits!$A$1:$AI$336,MATCH('Manual Cleanup'!$A3,Visits!$E$1:$E$336,0),MATCH('Manual Cleanup'!B$1,Visits!$A$1:$AI$1,0))</f>
        <v>Dan</v>
      </c>
      <c r="C3" t="str">
        <f>INDEX(Visits!$A$1:$AI$336,MATCH('Manual Cleanup'!$A3,Visits!$E$1:$E$336,0),MATCH('Manual Cleanup'!C$1,Visits!$A$1:$AI$1,0))</f>
        <v>Lugg</v>
      </c>
      <c r="E3" t="s">
        <v>120</v>
      </c>
      <c r="F3" t="s">
        <v>121</v>
      </c>
      <c r="G3" s="1" cm="1">
        <f t="array" ref="G3">MAX(_xlfn._xlws.FILTER(Visits!AF:AF,Visits!W:W='Manual Cleanup'!A3))</f>
        <v>45480.583333333336</v>
      </c>
      <c r="H3">
        <f>COUNTIF(Visits!$E$2:$E$90,'Manual Cleanup'!$A3)</f>
        <v>5</v>
      </c>
      <c r="I3">
        <f>COUNTIFS(Visits!$E$2:$E$90,'Manual Cleanup'!$A9,Visits!$AF$2:$AF$90,"&gt;4/20/24")</f>
        <v>0</v>
      </c>
      <c r="J3" s="19">
        <f>COUNTIFS(Visits!$E$2:$E$90,'Manual Cleanup'!$A3,Visits!$AF$2:$AF$90,"&gt;3/28/24")</f>
        <v>4</v>
      </c>
      <c r="K3">
        <f>COUNTIFS(Visits!$E$2:$E$90,'Manual Cleanup'!$A9,Visits!$AF$2:$AF$90,"&lt;3/28/24")</f>
        <v>1</v>
      </c>
      <c r="L3">
        <f t="shared" ref="L3:L18" si="2">IF(H3-I3=0,1,0)</f>
        <v>0</v>
      </c>
      <c r="M3">
        <f t="shared" ref="M3:M18" si="3">IF(J3&gt;0,1,0)</f>
        <v>1</v>
      </c>
      <c r="N3">
        <f t="shared" ref="N3:N18" si="4">IF(J3&gt;2,M3,0)</f>
        <v>1</v>
      </c>
      <c r="O3" s="4">
        <f>SUMIF(Visits!$E$2:$E$90,'Manual Cleanup'!$A3,Visits!$T$2:$T$90)</f>
        <v>55</v>
      </c>
      <c r="P3" s="4">
        <f>SUMIFS(Visits!$T$2:$T$90,Visits!$E$2:$E$90,'Manual Cleanup'!$A3,Visits!$AF$2:$AF$90,"&gt;3/28/24")</f>
        <v>30</v>
      </c>
      <c r="Q3" s="13">
        <f t="shared" si="0"/>
        <v>11</v>
      </c>
      <c r="R3" s="13">
        <f t="shared" si="1"/>
        <v>7.5</v>
      </c>
    </row>
    <row r="4" spans="1:21">
      <c r="A4" t="s">
        <v>123</v>
      </c>
      <c r="B4" t="str">
        <f>INDEX(Visits!$A$1:$AI$336,MATCH('Manual Cleanup'!$A4,Visits!$E$1:$E$336,0),MATCH('Manual Cleanup'!B$1,Visits!$A$1:$AI$1,0))</f>
        <v>Rohini</v>
      </c>
      <c r="C4" t="str">
        <f>INDEX(Visits!$A$1:$AI$336,MATCH('Manual Cleanup'!$A4,Visits!$E$1:$E$336,0),MATCH('Manual Cleanup'!C$1,Visits!$A$1:$AI$1,0))</f>
        <v>Tendulkar</v>
      </c>
      <c r="E4" t="s">
        <v>120</v>
      </c>
      <c r="F4" t="s">
        <v>121</v>
      </c>
      <c r="G4" s="1" cm="1">
        <f t="array" ref="G4">MAX(_xlfn._xlws.FILTER(Visits!AF:AF,Visits!W:W='Manual Cleanup'!A4))</f>
        <v>45492</v>
      </c>
      <c r="H4">
        <f>COUNTIF(Visits!$E$2:$E$90,'Manual Cleanup'!$A4)</f>
        <v>4</v>
      </c>
      <c r="I4">
        <f>COUNTIFS(Visits!$E$2:$E$90,'Manual Cleanup'!$A12,Visits!$AF$2:$AF$90,"&gt;4/20/24")</f>
        <v>0</v>
      </c>
      <c r="J4" s="19">
        <f>COUNTIFS(Visits!$E$2:$E$90,'Manual Cleanup'!$A4,Visits!$AF$2:$AF$90,"&gt;3/28/24")</f>
        <v>4</v>
      </c>
      <c r="K4">
        <f>COUNTIFS(Visits!$E$2:$E$90,'Manual Cleanup'!$A12,Visits!$AF$2:$AF$90,"&lt;3/28/24")</f>
        <v>0</v>
      </c>
      <c r="L4">
        <f t="shared" si="2"/>
        <v>0</v>
      </c>
      <c r="M4">
        <f t="shared" si="3"/>
        <v>1</v>
      </c>
      <c r="N4">
        <f t="shared" si="4"/>
        <v>1</v>
      </c>
      <c r="O4" s="4">
        <f>SUMIF(Visits!$E$2:$E$90,'Manual Cleanup'!$A4,Visits!$T$2:$T$90)</f>
        <v>40</v>
      </c>
      <c r="P4" s="4">
        <f>SUMIFS(Visits!$T$2:$T$90,Visits!$E$2:$E$90,'Manual Cleanup'!$A4,Visits!$AF$2:$AF$90,"&gt;3/28/24")</f>
        <v>40</v>
      </c>
      <c r="Q4" s="13">
        <f t="shared" si="0"/>
        <v>10</v>
      </c>
      <c r="R4" s="13">
        <f t="shared" si="1"/>
        <v>10</v>
      </c>
    </row>
    <row r="5" spans="1:21">
      <c r="A5" t="s">
        <v>124</v>
      </c>
      <c r="B5" t="str">
        <f>INDEX(Visits!$A$1:$AI$336,MATCH('Manual Cleanup'!$A5,Visits!$E$1:$E$336,0),MATCH('Manual Cleanup'!B$1,Visits!$A$1:$AI$1,0))</f>
        <v>Sara</v>
      </c>
      <c r="C5" t="str">
        <f>INDEX(Visits!$A$1:$AI$336,MATCH('Manual Cleanup'!$A5,Visits!$E$1:$E$336,0),MATCH('Manual Cleanup'!C$1,Visits!$A$1:$AI$1,0))</f>
        <v>Khan</v>
      </c>
      <c r="E5" t="s">
        <v>120</v>
      </c>
      <c r="F5" t="s">
        <v>121</v>
      </c>
      <c r="G5" s="1" cm="1">
        <f t="array" ref="G5">MAX(_xlfn._xlws.FILTER(Visits!AF:AF,Visits!W:W='Manual Cleanup'!A5))</f>
        <v>45499</v>
      </c>
      <c r="H5">
        <f>COUNTIF(Visits!$E$2:$E$90,'Manual Cleanup'!$A5)</f>
        <v>3</v>
      </c>
      <c r="I5">
        <f>COUNTIFS(Visits!$E$2:$E$90,'Manual Cleanup'!$A13,Visits!$AF$2:$AF$90,"&gt;4/20/24")</f>
        <v>0</v>
      </c>
      <c r="J5" s="19">
        <f>COUNTIFS(Visits!$E$2:$E$90,'Manual Cleanup'!$A5,Visits!$AF$2:$AF$90,"&gt;3/28/24")</f>
        <v>3</v>
      </c>
      <c r="K5">
        <f>COUNTIFS(Visits!$E$2:$E$90,'Manual Cleanup'!$A13,Visits!$AF$2:$AF$90,"&lt;3/28/24")</f>
        <v>0</v>
      </c>
      <c r="L5">
        <f t="shared" si="2"/>
        <v>0</v>
      </c>
      <c r="M5">
        <f t="shared" si="3"/>
        <v>1</v>
      </c>
      <c r="N5">
        <f t="shared" si="4"/>
        <v>1</v>
      </c>
      <c r="O5" s="4">
        <f>SUMIF(Visits!$E$2:$E$90,'Manual Cleanup'!$A5,Visits!$T$2:$T$90)</f>
        <v>35</v>
      </c>
      <c r="P5" s="4">
        <f>SUMIFS(Visits!$T$2:$T$90,Visits!$E$2:$E$90,'Manual Cleanup'!$A5,Visits!$AF$2:$AF$90,"&gt;3/28/24")</f>
        <v>35</v>
      </c>
      <c r="Q5" s="13">
        <f t="shared" si="0"/>
        <v>11.666666666666666</v>
      </c>
      <c r="R5" s="13">
        <f t="shared" si="1"/>
        <v>11.666666666666666</v>
      </c>
    </row>
    <row r="6" spans="1:21">
      <c r="A6" t="s">
        <v>125</v>
      </c>
      <c r="B6" t="str">
        <f>INDEX(Visits!$A$1:$AI$336,MATCH('Manual Cleanup'!$A6,Visits!$E$1:$E$336,0),MATCH('Manual Cleanup'!B$1,Visits!$A$1:$AI$1,0))</f>
        <v>Aidana</v>
      </c>
      <c r="C6" t="str">
        <f>INDEX(Visits!$A$1:$AI$336,MATCH('Manual Cleanup'!$A6,Visits!$E$1:$E$336,0),MATCH('Manual Cleanup'!C$1,Visits!$A$1:$AI$1,0))</f>
        <v>Kassymova</v>
      </c>
      <c r="E6" t="s">
        <v>120</v>
      </c>
      <c r="F6" t="s">
        <v>126</v>
      </c>
      <c r="G6" s="1" cm="1">
        <f t="array" ref="G6">MAX(_xlfn._xlws.FILTER(Visits!AF:AF,Visits!W:W='Manual Cleanup'!A6))</f>
        <v>45480.583333333336</v>
      </c>
      <c r="H6">
        <f>COUNTIF(Visits!$E$2:$E$90,'Manual Cleanup'!$A6)</f>
        <v>2</v>
      </c>
      <c r="I6">
        <f>COUNTIFS(Visits!$E$2:$E$90,'Manual Cleanup'!$A2,Visits!$AF$2:$AF$90,"&gt;4/20/24")</f>
        <v>0</v>
      </c>
      <c r="J6" s="19">
        <f>COUNTIFS(Visits!$E$2:$E$90,'Manual Cleanup'!$A6,Visits!$AF$2:$AF$90,"&gt;3/28/24")</f>
        <v>1</v>
      </c>
      <c r="K6">
        <f>COUNTIFS(Visits!$E$2:$E$90,'Manual Cleanup'!$A2,Visits!$AF$2:$AF$90,"&lt;3/28/24")</f>
        <v>1</v>
      </c>
      <c r="L6">
        <f t="shared" si="2"/>
        <v>0</v>
      </c>
      <c r="M6">
        <f t="shared" si="3"/>
        <v>1</v>
      </c>
      <c r="N6">
        <f t="shared" si="4"/>
        <v>0</v>
      </c>
      <c r="O6" s="4">
        <f>SUMIF(Visits!$E$2:$E$90,'Manual Cleanup'!$A6,Visits!$T$2:$T$90)</f>
        <v>47.5</v>
      </c>
      <c r="P6" s="4">
        <f>SUMIFS(Visits!$T$2:$T$90,Visits!$E$2:$E$90,'Manual Cleanup'!$A6,Visits!$AF$2:$AF$90,"&gt;3/28/24")</f>
        <v>7.5</v>
      </c>
      <c r="Q6" s="13">
        <f t="shared" si="0"/>
        <v>23.75</v>
      </c>
      <c r="R6" s="13">
        <f t="shared" si="1"/>
        <v>7.5</v>
      </c>
    </row>
    <row r="7" spans="1:21">
      <c r="A7" t="s">
        <v>127</v>
      </c>
      <c r="B7" t="str">
        <f>INDEX(Visits!$A$1:$AI$336,MATCH('Manual Cleanup'!$A7,Visits!$E$1:$E$336,0),MATCH('Manual Cleanup'!B$1,Visits!$A$1:$AI$1,0))</f>
        <v>Aleksejs</v>
      </c>
      <c r="C7" t="str">
        <f>INDEX(Visits!$A$1:$AI$336,MATCH('Manual Cleanup'!$A7,Visits!$E$1:$E$336,0),MATCH('Manual Cleanup'!C$1,Visits!$A$1:$AI$1,0))</f>
        <v>Pleskovs</v>
      </c>
      <c r="F7" t="s">
        <v>126</v>
      </c>
      <c r="G7" s="1" cm="1">
        <f t="array" ref="G7">MAX(_xlfn._xlws.FILTER(Visits!AF:AF,Visits!W:W='Manual Cleanup'!A7))</f>
        <v>45374</v>
      </c>
      <c r="H7">
        <f>COUNTIF(Visits!$E$2:$E$90,'Manual Cleanup'!$A7)</f>
        <v>1</v>
      </c>
      <c r="I7">
        <f>COUNTIFS(Visits!$E$2:$E$90,'Manual Cleanup'!$D2,Visits!$AF$2:$AF$90,"&gt;4/20/24")</f>
        <v>0</v>
      </c>
      <c r="J7" s="19">
        <f>COUNTIFS(Visits!$E$2:$E$90,'Manual Cleanup'!$A7,Visits!$AF$2:$AF$90,"&gt;3/28/24")</f>
        <v>0</v>
      </c>
      <c r="K7">
        <f>COUNTIFS(Visits!$E$2:$E$90,'Manual Cleanup'!$D2,Visits!$AF$2:$AF$90,"&lt;3/28/24")</f>
        <v>0</v>
      </c>
      <c r="L7">
        <f t="shared" si="2"/>
        <v>0</v>
      </c>
      <c r="M7">
        <f t="shared" si="3"/>
        <v>0</v>
      </c>
      <c r="N7">
        <f t="shared" si="4"/>
        <v>0</v>
      </c>
      <c r="O7" s="4">
        <f>SUMIF(Visits!$E$2:$E$90,'Manual Cleanup'!$A7,Visits!$T$2:$T$90)</f>
        <v>40</v>
      </c>
      <c r="P7" s="4">
        <f>SUMIFS(Visits!$T$2:$T$90,Visits!$E$2:$E$90,'Manual Cleanup'!$A7,Visits!$AF$2:$AF$90,"&gt;3/28/24")</f>
        <v>0</v>
      </c>
      <c r="Q7" s="13">
        <f t="shared" si="0"/>
        <v>40</v>
      </c>
      <c r="R7" s="13" t="str">
        <f t="shared" si="1"/>
        <v>n/a</v>
      </c>
    </row>
    <row r="8" spans="1:21">
      <c r="A8" s="14" t="s">
        <v>128</v>
      </c>
      <c r="B8" t="str">
        <f>INDEX(Visits!$A$1:$AI$336,MATCH('Manual Cleanup'!$A8,Visits!$E$1:$E$336,0),MATCH('Manual Cleanup'!B$1,Visits!$A$1:$AI$1,0))</f>
        <v>Robert</v>
      </c>
      <c r="C8" t="str">
        <f>INDEX(Visits!$A$1:$AI$336,MATCH('Manual Cleanup'!$A8,Visits!$E$1:$E$336,0),MATCH('Manual Cleanup'!C$1,Visits!$A$1:$AI$1,0))</f>
        <v>Chapman</v>
      </c>
      <c r="E8" t="s">
        <v>129</v>
      </c>
      <c r="F8" t="s">
        <v>126</v>
      </c>
      <c r="G8" s="1" cm="1">
        <f t="array" ref="G8">MAX(_xlfn._xlws.FILTER(Visits!AF:AF,Visits!W:W='Manual Cleanup'!A8))</f>
        <v>45499</v>
      </c>
      <c r="H8">
        <f>COUNTIF(Visits!$E$2:$E$90,'Manual Cleanup'!$A8)</f>
        <v>7</v>
      </c>
      <c r="I8">
        <f>COUNTIFS(Visits!$E$2:$E$90,'Manual Cleanup'!$A8,Visits!$AF$2:$AF$90,"&gt;4/20/24")</f>
        <v>0</v>
      </c>
      <c r="J8" s="19">
        <f>COUNTIFS(Visits!$E$2:$E$90,'Manual Cleanup'!$A8,Visits!$AF$2:$AF$90,"&gt;3/28/24")</f>
        <v>6</v>
      </c>
      <c r="K8">
        <f>COUNTIFS(Visits!$E$2:$E$90,'Manual Cleanup'!$A8,Visits!$AF$2:$AF$90,"&lt;3/28/24")</f>
        <v>1</v>
      </c>
      <c r="L8">
        <f t="shared" si="2"/>
        <v>0</v>
      </c>
      <c r="M8">
        <f t="shared" si="3"/>
        <v>1</v>
      </c>
      <c r="N8">
        <f t="shared" si="4"/>
        <v>1</v>
      </c>
      <c r="O8" s="4">
        <f>SUMIF(Visits!$E$2:$E$90,'Manual Cleanup'!$A8,Visits!$T$2:$T$90)</f>
        <v>62.5</v>
      </c>
      <c r="P8" s="4">
        <f>SUMIFS(Visits!$T$2:$T$90,Visits!$E$2:$E$90,'Manual Cleanup'!$A8,Visits!$AF$2:$AF$90,"&gt;3/28/24")</f>
        <v>37.5</v>
      </c>
      <c r="Q8" s="13">
        <f t="shared" si="0"/>
        <v>8.9285714285714288</v>
      </c>
      <c r="R8" s="13">
        <f t="shared" si="1"/>
        <v>6.25</v>
      </c>
    </row>
    <row r="9" spans="1:21">
      <c r="A9" t="s">
        <v>130</v>
      </c>
      <c r="B9" t="str">
        <f>INDEX(Visits!$A$1:$AI$336,MATCH('Manual Cleanup'!$A9,Visits!$E$1:$E$336,0),MATCH('Manual Cleanup'!B$1,Visits!$A$1:$AI$1,0))</f>
        <v>Claire</v>
      </c>
      <c r="C9" t="str">
        <f>INDEX(Visits!$A$1:$AI$336,MATCH('Manual Cleanup'!$A9,Visits!$E$1:$E$336,0),MATCH('Manual Cleanup'!C$1,Visits!$A$1:$AI$1,0))</f>
        <v>Couchman</v>
      </c>
      <c r="E9" t="s">
        <v>120</v>
      </c>
      <c r="F9" t="s">
        <v>126</v>
      </c>
      <c r="G9" s="1" cm="1">
        <f t="array" ref="G9">MAX(_xlfn._xlws.FILTER(Visits!AF:AF,Visits!W:W='Manual Cleanup'!A9))</f>
        <v>45492</v>
      </c>
      <c r="H9">
        <f>COUNTIF(Visits!$E$2:$E$90,'Manual Cleanup'!$A9)</f>
        <v>4</v>
      </c>
      <c r="I9">
        <f>COUNTIFS(Visits!$E$2:$E$90,'Manual Cleanup'!$A16,Visits!$AF$2:$AF$90,"&gt;4/20/24")</f>
        <v>0</v>
      </c>
      <c r="J9" s="19">
        <f>COUNTIFS(Visits!$E$2:$E$90,'Manual Cleanup'!$A9,Visits!$AF$2:$AF$90,"&gt;3/28/24")</f>
        <v>3</v>
      </c>
      <c r="K9">
        <f>COUNTIFS(Visits!$E$2:$E$90,'Manual Cleanup'!$A16,Visits!$AF$2:$AF$90,"&lt;3/28/24")</f>
        <v>1</v>
      </c>
      <c r="L9">
        <f t="shared" si="2"/>
        <v>0</v>
      </c>
      <c r="M9">
        <f t="shared" si="3"/>
        <v>1</v>
      </c>
      <c r="N9">
        <f t="shared" si="4"/>
        <v>1</v>
      </c>
      <c r="O9" s="4">
        <f>SUMIF(Visits!$E$2:$E$90,'Manual Cleanup'!$A9,Visits!$T$2:$T$90)</f>
        <v>34</v>
      </c>
      <c r="P9" s="4">
        <f>SUMIFS(Visits!$T$2:$T$90,Visits!$E$2:$E$90,'Manual Cleanup'!$A9,Visits!$AF$2:$AF$90,"&gt;3/28/24")</f>
        <v>20</v>
      </c>
      <c r="Q9" s="13">
        <f t="shared" si="0"/>
        <v>8.5</v>
      </c>
      <c r="R9" s="13">
        <f t="shared" si="1"/>
        <v>6.666666666666667</v>
      </c>
    </row>
    <row r="10" spans="1:21">
      <c r="A10" t="s">
        <v>131</v>
      </c>
      <c r="B10" t="str">
        <f>INDEX(Visits!$A$1:$AI$336,MATCH('Manual Cleanup'!$A10,Visits!$E$1:$E$336,0),MATCH('Manual Cleanup'!B$1,Visits!$A$1:$AI$1,0))</f>
        <v>Katherine</v>
      </c>
      <c r="C10" t="str">
        <f>INDEX(Visits!$A$1:$AI$336,MATCH('Manual Cleanup'!$A10,Visits!$E$1:$E$336,0),MATCH('Manual Cleanup'!C$1,Visits!$A$1:$AI$1,0))</f>
        <v>Kim</v>
      </c>
      <c r="E10" t="s">
        <v>120</v>
      </c>
      <c r="F10" t="s">
        <v>126</v>
      </c>
      <c r="G10" s="1" cm="1">
        <f t="array" ref="G10">MAX(_xlfn._xlws.FILTER(Visits!AF:AF,Visits!W:W='Manual Cleanup'!A10))</f>
        <v>45487</v>
      </c>
      <c r="H10">
        <f>COUNTIF(Visits!$E$2:$E$90,'Manual Cleanup'!$A10)</f>
        <v>2</v>
      </c>
      <c r="I10">
        <f>COUNTIFS(Visits!$E$2:$E$90,'Manual Cleanup'!$A20,Visits!$AF$2:$AF$90,"&gt;4/20/24")</f>
        <v>0</v>
      </c>
      <c r="J10" s="19">
        <f>COUNTIFS(Visits!$E$2:$E$90,'Manual Cleanup'!$A10,Visits!$AF$2:$AF$90,"&gt;3/28/24")</f>
        <v>1</v>
      </c>
      <c r="K10">
        <f>COUNTIFS(Visits!$E$2:$E$90,'Manual Cleanup'!$A20,Visits!$AF$2:$AF$90,"&lt;3/28/24")</f>
        <v>1</v>
      </c>
      <c r="L10">
        <f t="shared" si="2"/>
        <v>0</v>
      </c>
      <c r="M10">
        <f t="shared" si="3"/>
        <v>1</v>
      </c>
      <c r="N10">
        <f t="shared" si="4"/>
        <v>0</v>
      </c>
      <c r="O10" s="4">
        <f>SUMIF(Visits!$E$2:$E$90,'Manual Cleanup'!$A10,Visits!$T$2:$T$90)</f>
        <v>21.5</v>
      </c>
      <c r="P10" s="4">
        <f>SUMIFS(Visits!$T$2:$T$90,Visits!$E$2:$E$90,'Manual Cleanup'!$A10,Visits!$AF$2:$AF$90,"&gt;3/28/24")</f>
        <v>7.5</v>
      </c>
      <c r="Q10" s="13">
        <f t="shared" si="0"/>
        <v>10.75</v>
      </c>
      <c r="R10" s="13">
        <f t="shared" si="1"/>
        <v>7.5</v>
      </c>
    </row>
    <row r="11" spans="1:21">
      <c r="A11" t="s">
        <v>132</v>
      </c>
      <c r="B11" t="str">
        <f>INDEX(Visits!$A$1:$AI$336,MATCH('Manual Cleanup'!$A11,Visits!$E$1:$E$336,0),MATCH('Manual Cleanup'!B$1,Visits!$A$1:$AI$1,0))</f>
        <v>Anaita</v>
      </c>
      <c r="C11" t="str">
        <f>INDEX(Visits!$A$1:$AI$336,MATCH('Manual Cleanup'!$A11,Visits!$E$1:$E$336,0),MATCH('Manual Cleanup'!C$1,Visits!$A$1:$AI$1,0))</f>
        <v>Agatic</v>
      </c>
      <c r="E11" t="s">
        <v>133</v>
      </c>
      <c r="F11" t="s">
        <v>126</v>
      </c>
      <c r="G11" s="1" cm="1">
        <f t="array" ref="G11">MAX(_xlfn._xlws.FILTER(Visits!AF:AF,Visits!W:W='Manual Cleanup'!A11))</f>
        <v>45376</v>
      </c>
      <c r="H11">
        <f>COUNTIF(Visits!$E$2:$E$90,'Manual Cleanup'!$A11)</f>
        <v>1</v>
      </c>
      <c r="I11">
        <f>COUNTIFS(Visits!$E$2:$E$90,'Manual Cleanup'!$D19,Visits!$AF$2:$AF$90,"&gt;4/20/24")</f>
        <v>0</v>
      </c>
      <c r="J11" s="19">
        <f>COUNTIFS(Visits!$E$2:$E$90,'Manual Cleanup'!$A11,Visits!$AF$2:$AF$90,"&gt;3/28/24")</f>
        <v>0</v>
      </c>
      <c r="K11">
        <f>COUNTIFS(Visits!$E$2:$E$90,'Manual Cleanup'!$D19,Visits!$AF$2:$AF$90,"&lt;3/28/24")</f>
        <v>0</v>
      </c>
      <c r="L11">
        <f t="shared" si="2"/>
        <v>0</v>
      </c>
      <c r="M11">
        <f t="shared" si="3"/>
        <v>0</v>
      </c>
      <c r="N11">
        <f t="shared" si="4"/>
        <v>0</v>
      </c>
      <c r="O11" s="4">
        <f>SUMIF(Visits!$E$2:$E$90,'Manual Cleanup'!$A11,Visits!$T$2:$T$90)</f>
        <v>14</v>
      </c>
      <c r="P11" s="4">
        <f>SUMIFS(Visits!$T$2:$T$90,Visits!$E$2:$E$90,'Manual Cleanup'!$A11,Visits!$AF$2:$AF$90,"&gt;3/28/24")</f>
        <v>0</v>
      </c>
      <c r="Q11" s="13">
        <f t="shared" si="0"/>
        <v>14</v>
      </c>
      <c r="R11" s="13" t="str">
        <f t="shared" si="1"/>
        <v>n/a</v>
      </c>
    </row>
    <row r="12" spans="1:21">
      <c r="A12" t="s">
        <v>134</v>
      </c>
      <c r="B12" t="str">
        <f>INDEX(Visits!$A$1:$AI$336,MATCH('Manual Cleanup'!$A12,Visits!$E$1:$E$336,0),MATCH('Manual Cleanup'!B$1,Visits!$A$1:$AI$1,0))</f>
        <v>Samedzade</v>
      </c>
      <c r="C12" t="str">
        <f>INDEX(Visits!$A$1:$AI$336,MATCH('Manual Cleanup'!$A12,Visits!$E$1:$E$336,0),MATCH('Manual Cleanup'!C$1,Visits!$A$1:$AI$1,0))</f>
        <v>Samed</v>
      </c>
      <c r="E12" t="s">
        <v>120</v>
      </c>
      <c r="F12" t="s">
        <v>126</v>
      </c>
      <c r="G12" s="1" cm="1">
        <f t="array" ref="G12">MAX(_xlfn._xlws.FILTER(Visits!AF:AF,Visits!W:W='Manual Cleanup'!A12))</f>
        <v>45437</v>
      </c>
      <c r="H12">
        <f>COUNTIF(Visits!$E$2:$E$90,'Manual Cleanup'!$A12)</f>
        <v>2</v>
      </c>
      <c r="I12">
        <f>COUNTIFS(Visits!$E$2:$E$90,'Manual Cleanup'!$A33,Visits!$AF$2:$AF$90,"&gt;4/20/24")</f>
        <v>0</v>
      </c>
      <c r="J12" s="19">
        <f>COUNTIFS(Visits!$E$2:$E$90,'Manual Cleanup'!$A12,Visits!$AF$2:$AF$90,"&gt;3/28/24")</f>
        <v>2</v>
      </c>
      <c r="K12">
        <f>COUNTIFS(Visits!$E$2:$E$90,'Manual Cleanup'!$A33,Visits!$AF$2:$AF$90,"&lt;3/28/24")</f>
        <v>0</v>
      </c>
      <c r="L12">
        <f t="shared" si="2"/>
        <v>0</v>
      </c>
      <c r="M12">
        <f t="shared" si="3"/>
        <v>1</v>
      </c>
      <c r="N12">
        <f t="shared" si="4"/>
        <v>0</v>
      </c>
      <c r="O12" s="4">
        <f>SUMIF(Visits!$E$2:$E$90,'Manual Cleanup'!$A12,Visits!$T$2:$T$90)</f>
        <v>15</v>
      </c>
      <c r="P12" s="4">
        <f>SUMIFS(Visits!$T$2:$T$90,Visits!$E$2:$E$90,'Manual Cleanup'!$A12,Visits!$AF$2:$AF$90,"&gt;3/28/24")</f>
        <v>15</v>
      </c>
      <c r="Q12" s="13">
        <f t="shared" si="0"/>
        <v>7.5</v>
      </c>
      <c r="R12" s="13">
        <f t="shared" si="1"/>
        <v>7.5</v>
      </c>
    </row>
    <row r="13" spans="1:21">
      <c r="A13" t="s">
        <v>135</v>
      </c>
      <c r="B13" t="str">
        <f>INDEX(Visits!$A$1:$AI$336,MATCH('Manual Cleanup'!$A13,Visits!$E$1:$E$336,0),MATCH('Manual Cleanup'!B$1,Visits!$A$1:$AI$1,0))</f>
        <v>Shay</v>
      </c>
      <c r="C13" t="str">
        <f>INDEX(Visits!$A$1:$AI$336,MATCH('Manual Cleanup'!$A13,Visits!$E$1:$E$336,0),MATCH('Manual Cleanup'!C$1,Visits!$A$1:$AI$1,0))</f>
        <v>Steele</v>
      </c>
      <c r="E13" t="s">
        <v>120</v>
      </c>
      <c r="F13" t="s">
        <v>126</v>
      </c>
      <c r="G13" s="1" cm="1">
        <f t="array" ref="G13">MAX(_xlfn._xlws.FILTER(Visits!AF:AF,Visits!W:W='Manual Cleanup'!A13))</f>
        <v>45499</v>
      </c>
      <c r="H13">
        <f>COUNTIF(Visits!$E$2:$E$90,'Manual Cleanup'!$A13)</f>
        <v>2</v>
      </c>
      <c r="I13">
        <f>COUNTIFS(Visits!$E$2:$E$90,'Manual Cleanup'!$A48,Visits!$AF$2:$AF$90,"&gt;4/20/24")</f>
        <v>0</v>
      </c>
      <c r="J13" s="19">
        <f>COUNTIFS(Visits!$E$2:$E$90,'Manual Cleanup'!$A13,Visits!$AF$2:$AF$90,"&gt;3/28/24")</f>
        <v>2</v>
      </c>
      <c r="K13">
        <f>COUNTIFS(Visits!$E$2:$E$90,'Manual Cleanup'!$A48,Visits!$AF$2:$AF$90,"&lt;3/28/24")</f>
        <v>0</v>
      </c>
      <c r="L13">
        <f t="shared" si="2"/>
        <v>0</v>
      </c>
      <c r="M13">
        <f t="shared" si="3"/>
        <v>1</v>
      </c>
      <c r="N13">
        <f t="shared" si="4"/>
        <v>0</v>
      </c>
      <c r="O13" s="4">
        <f>SUMIF(Visits!$E$2:$E$90,'Manual Cleanup'!$A13,Visits!$T$2:$T$90)</f>
        <v>7.5</v>
      </c>
      <c r="P13" s="4">
        <f>SUMIFS(Visits!$T$2:$T$90,Visits!$E$2:$E$90,'Manual Cleanup'!$A13,Visits!$AF$2:$AF$90,"&gt;3/28/24")</f>
        <v>7.5</v>
      </c>
      <c r="Q13" s="13">
        <f t="shared" si="0"/>
        <v>3.75</v>
      </c>
      <c r="R13" s="13">
        <f t="shared" si="1"/>
        <v>3.75</v>
      </c>
    </row>
    <row r="14" spans="1:21">
      <c r="A14" t="s">
        <v>136</v>
      </c>
      <c r="B14" t="str">
        <f>INDEX(Visits!$A$1:$AI$336,MATCH('Manual Cleanup'!$A14,Visits!$E$1:$E$336,0),MATCH('Manual Cleanup'!B$1,Visits!$A$1:$AI$1,0))</f>
        <v>Laura</v>
      </c>
      <c r="C14" t="str">
        <f>INDEX(Visits!$A$1:$AI$336,MATCH('Manual Cleanup'!$A14,Visits!$E$1:$E$336,0),MATCH('Manual Cleanup'!C$1,Visits!$A$1:$AI$1,0))</f>
        <v>Brown</v>
      </c>
      <c r="F14" t="s">
        <v>137</v>
      </c>
      <c r="G14" s="1" cm="1">
        <f t="array" ref="G14">MAX(_xlfn._xlws.FILTER(Visits!AF:AF,Visits!W:W='Manual Cleanup'!A14))</f>
        <v>45487</v>
      </c>
      <c r="H14">
        <f>COUNTIF(Visits!$E$2:$E$90,'Manual Cleanup'!$A14)</f>
        <v>2</v>
      </c>
      <c r="I14">
        <f>COUNTIFS(Visits!$E$2:$E$90,'Manual Cleanup'!$A4,Visits!$AF$2:$AF$90,"&gt;4/20/24")</f>
        <v>0</v>
      </c>
      <c r="J14" s="19">
        <f>COUNTIFS(Visits!$E$2:$E$90,'Manual Cleanup'!$A14,Visits!$AF$2:$AF$90,"&gt;3/28/24")</f>
        <v>1</v>
      </c>
      <c r="K14">
        <f>COUNTIFS(Visits!$E$2:$E$90,'Manual Cleanup'!$A4,Visits!$AF$2:$AF$90,"&lt;3/28/24")</f>
        <v>0</v>
      </c>
      <c r="L14">
        <f t="shared" si="2"/>
        <v>0</v>
      </c>
      <c r="M14">
        <f t="shared" si="3"/>
        <v>1</v>
      </c>
      <c r="N14">
        <f t="shared" si="4"/>
        <v>0</v>
      </c>
      <c r="O14" s="4">
        <f>SUMIF(Visits!$E$2:$E$90,'Manual Cleanup'!$A14,Visits!$T$2:$T$90)</f>
        <v>40</v>
      </c>
      <c r="P14" s="4">
        <f>SUMIFS(Visits!$T$2:$T$90,Visits!$E$2:$E$90,'Manual Cleanup'!$A14,Visits!$AF$2:$AF$90,"&gt;3/28/24")</f>
        <v>15</v>
      </c>
      <c r="Q14" s="13">
        <f t="shared" si="0"/>
        <v>20</v>
      </c>
      <c r="R14" s="13">
        <f t="shared" si="1"/>
        <v>15</v>
      </c>
    </row>
    <row r="15" spans="1:21">
      <c r="A15" t="s">
        <v>138</v>
      </c>
      <c r="B15" t="str">
        <f>INDEX(Visits!$A$1:$AI$336,MATCH('Manual Cleanup'!$A15,Visits!$E$1:$E$336,0),MATCH('Manual Cleanup'!B$1,Visits!$A$1:$AI$1,0))</f>
        <v>Srivaths</v>
      </c>
      <c r="C15" t="str">
        <f>INDEX(Visits!$A$1:$AI$336,MATCH('Manual Cleanup'!$A15,Visits!$E$1:$E$336,0),MATCH('Manual Cleanup'!C$1,Visits!$A$1:$AI$1,0))</f>
        <v>Swaminathan</v>
      </c>
      <c r="E15" t="s">
        <v>120</v>
      </c>
      <c r="F15" t="s">
        <v>137</v>
      </c>
      <c r="G15" s="1" cm="1">
        <f t="array" ref="G15">MAX(_xlfn._xlws.FILTER(Visits!AF:AF,Visits!W:W='Manual Cleanup'!A15))</f>
        <v>45416</v>
      </c>
      <c r="H15">
        <f>COUNTIF(Visits!$E$2:$E$90,'Manual Cleanup'!$A15)</f>
        <v>2</v>
      </c>
      <c r="I15">
        <f>COUNTIFS(Visits!$E$2:$E$90,'Manual Cleanup'!$A5,Visits!$AF$2:$AF$90,"&gt;4/20/24")</f>
        <v>0</v>
      </c>
      <c r="J15" s="19">
        <f>COUNTIFS(Visits!$E$2:$E$90,'Manual Cleanup'!$A15,Visits!$AF$2:$AF$90,"&gt;3/28/24")</f>
        <v>1</v>
      </c>
      <c r="K15">
        <f>COUNTIFS(Visits!$E$2:$E$90,'Manual Cleanup'!$A5,Visits!$AF$2:$AF$90,"&lt;3/28/24")</f>
        <v>0</v>
      </c>
      <c r="L15">
        <f t="shared" si="2"/>
        <v>0</v>
      </c>
      <c r="M15">
        <f t="shared" si="3"/>
        <v>1</v>
      </c>
      <c r="N15">
        <f t="shared" si="4"/>
        <v>0</v>
      </c>
      <c r="O15" s="4">
        <f>SUMIF(Visits!$E$2:$E$90,'Manual Cleanup'!$A15,Visits!$T$2:$T$90)</f>
        <v>50</v>
      </c>
      <c r="P15" s="4">
        <f>SUMIFS(Visits!$T$2:$T$90,Visits!$E$2:$E$90,'Manual Cleanup'!$A15,Visits!$AF$2:$AF$90,"&gt;3/28/24")</f>
        <v>10</v>
      </c>
      <c r="Q15" s="13">
        <f t="shared" si="0"/>
        <v>25</v>
      </c>
      <c r="R15" s="13">
        <f t="shared" si="1"/>
        <v>10</v>
      </c>
    </row>
    <row r="16" spans="1:21">
      <c r="A16" t="s">
        <v>139</v>
      </c>
      <c r="B16" t="str">
        <f>INDEX(Visits!$A$1:$AI$336,MATCH('Manual Cleanup'!$A16,Visits!$E$1:$E$336,0),MATCH('Manual Cleanup'!B$1,Visits!$A$1:$AI$1,0))</f>
        <v>olawale</v>
      </c>
      <c r="C16" t="str">
        <f>INDEX(Visits!$A$1:$AI$336,MATCH('Manual Cleanup'!$A16,Visits!$E$1:$E$336,0),MATCH('Manual Cleanup'!C$1,Visits!$A$1:$AI$1,0))</f>
        <v>okunrinboye</v>
      </c>
      <c r="F16" t="s">
        <v>137</v>
      </c>
      <c r="G16" s="1" cm="1">
        <f t="array" ref="G16">MAX(_xlfn._xlws.FILTER(Visits!AF:AF,Visits!W:W='Manual Cleanup'!A16))</f>
        <v>45395</v>
      </c>
      <c r="H16">
        <f>COUNTIF(Visits!$E$2:$E$90,'Manual Cleanup'!$A16)</f>
        <v>2</v>
      </c>
      <c r="I16">
        <f>COUNTIFS(Visits!$E$2:$E$90,'Manual Cleanup'!$A10,Visits!$AF$2:$AF$90,"&gt;4/20/24")</f>
        <v>0</v>
      </c>
      <c r="J16" s="19">
        <f>COUNTIFS(Visits!$E$2:$E$90,'Manual Cleanup'!$A16,Visits!$AF$2:$AF$90,"&gt;3/28/24")</f>
        <v>1</v>
      </c>
      <c r="K16">
        <f>COUNTIFS(Visits!$E$2:$E$90,'Manual Cleanup'!$A10,Visits!$AF$2:$AF$90,"&lt;3/28/24")</f>
        <v>1</v>
      </c>
      <c r="L16">
        <f t="shared" si="2"/>
        <v>0</v>
      </c>
      <c r="M16">
        <f t="shared" si="3"/>
        <v>1</v>
      </c>
      <c r="N16">
        <f t="shared" si="4"/>
        <v>0</v>
      </c>
      <c r="O16" s="4">
        <f>SUMIF(Visits!$E$2:$E$90,'Manual Cleanup'!$A16,Visits!$T$2:$T$90)</f>
        <v>35</v>
      </c>
      <c r="P16" s="4">
        <f>SUMIFS(Visits!$T$2:$T$90,Visits!$E$2:$E$90,'Manual Cleanup'!$A16,Visits!$AF$2:$AF$90,"&gt;3/28/24")</f>
        <v>10</v>
      </c>
      <c r="Q16" s="13">
        <f t="shared" si="0"/>
        <v>17.5</v>
      </c>
      <c r="R16" s="13">
        <f t="shared" si="1"/>
        <v>10</v>
      </c>
    </row>
    <row r="17" spans="1:18">
      <c r="A17" t="s">
        <v>140</v>
      </c>
      <c r="B17" t="str">
        <f>INDEX(Visits!$A$1:$AI$336,MATCH('Manual Cleanup'!$A17,Visits!$E$1:$E$336,0),MATCH('Manual Cleanup'!B$1,Visits!$A$1:$AI$1,0))</f>
        <v>Natasha</v>
      </c>
      <c r="C17" t="str">
        <f>INDEX(Visits!$A$1:$AI$336,MATCH('Manual Cleanup'!$A17,Visits!$E$1:$E$336,0),MATCH('Manual Cleanup'!C$1,Visits!$A$1:$AI$1,0))</f>
        <v>P</v>
      </c>
      <c r="E17" t="s">
        <v>120</v>
      </c>
      <c r="F17" t="s">
        <v>121</v>
      </c>
      <c r="G17" s="1" cm="1">
        <f t="array" ref="G17">MAX(_xlfn._xlws.FILTER(Visits!AF:AF,Visits!W:W='Manual Cleanup'!A17))</f>
        <v>45414</v>
      </c>
      <c r="H17">
        <f>COUNTIF(Visits!$E$2:$E$90,'Manual Cleanup'!$A17)</f>
        <v>1</v>
      </c>
      <c r="I17">
        <f>COUNTIFS(Visits!$E$2:$E$90,'Manual Cleanup'!$A17,Visits!$AF$2:$AF$90,"&gt;4/20/24")</f>
        <v>0</v>
      </c>
      <c r="J17" s="19">
        <f>COUNTIFS(Visits!$E$2:$E$90,'Manual Cleanup'!$A17,Visits!$AF$2:$AF$90,"&gt;3/28/24")</f>
        <v>1</v>
      </c>
      <c r="K17">
        <f>COUNTIFS(Visits!$E$2:$E$90,'Manual Cleanup'!$A17,Visits!$AF$2:$AF$90,"&lt;3/28/24")</f>
        <v>0</v>
      </c>
      <c r="L17">
        <f t="shared" si="2"/>
        <v>0</v>
      </c>
      <c r="M17">
        <f t="shared" si="3"/>
        <v>1</v>
      </c>
      <c r="N17">
        <f t="shared" si="4"/>
        <v>0</v>
      </c>
      <c r="O17" s="4">
        <f>SUMIF(Visits!$E$2:$E$90,'Manual Cleanup'!$A17,Visits!$T$2:$T$90)</f>
        <v>15</v>
      </c>
      <c r="P17" s="4">
        <f>SUMIFS(Visits!$T$2:$T$90,Visits!$E$2:$E$90,'Manual Cleanup'!$A17,Visits!$AF$2:$AF$90,"&gt;3/28/24")</f>
        <v>15</v>
      </c>
      <c r="Q17" s="13">
        <f t="shared" si="0"/>
        <v>15</v>
      </c>
      <c r="R17" s="13">
        <f t="shared" si="1"/>
        <v>15</v>
      </c>
    </row>
    <row r="18" spans="1:18">
      <c r="A18" t="s">
        <v>141</v>
      </c>
      <c r="B18" t="str">
        <f>INDEX(Visits!$A$1:$AI$336,MATCH('Manual Cleanup'!$A18,Visits!$E$1:$E$336,0),MATCH('Manual Cleanup'!B$1,Visits!$A$1:$AI$1,0))</f>
        <v>Claudia</v>
      </c>
      <c r="C18" t="str">
        <f>INDEX(Visits!$A$1:$AI$336,MATCH('Manual Cleanup'!$A18,Visits!$E$1:$E$336,0),MATCH('Manual Cleanup'!C$1,Visits!$A$1:$AI$1,0))</f>
        <v>Claudia</v>
      </c>
      <c r="E18" t="s">
        <v>120</v>
      </c>
      <c r="F18" t="s">
        <v>137</v>
      </c>
      <c r="G18" s="1" cm="1">
        <f t="array" ref="G18">MAX(_xlfn._xlws.FILTER(Visits!AF:AF,Visits!W:W='Manual Cleanup'!A18))</f>
        <v>45445.5</v>
      </c>
      <c r="H18">
        <f>COUNTIF(Visits!$E$2:$E$90,'Manual Cleanup'!$A18)</f>
        <v>2</v>
      </c>
      <c r="I18">
        <f>COUNTIFS(Visits!$E$2:$E$90,'Manual Cleanup'!$A32,Visits!$AF$2:$AF$90,"&gt;4/20/24")</f>
        <v>0</v>
      </c>
      <c r="J18" s="19">
        <f>COUNTIFS(Visits!$E$2:$E$90,'Manual Cleanup'!$A18,Visits!$AF$2:$AF$90,"&gt;3/28/24")</f>
        <v>2</v>
      </c>
      <c r="K18">
        <f>COUNTIFS(Visits!$E$2:$E$90,'Manual Cleanup'!$A32,Visits!$AF$2:$AF$90,"&lt;3/28/24")</f>
        <v>0</v>
      </c>
      <c r="L18">
        <f t="shared" si="2"/>
        <v>0</v>
      </c>
      <c r="M18">
        <f t="shared" si="3"/>
        <v>1</v>
      </c>
      <c r="N18">
        <f t="shared" si="4"/>
        <v>0</v>
      </c>
      <c r="O18" s="4">
        <f>SUMIF(Visits!$E$2:$E$90,'Manual Cleanup'!$A18,Visits!$T$2:$T$90)</f>
        <v>15</v>
      </c>
      <c r="P18" s="4">
        <f>SUMIFS(Visits!$T$2:$T$90,Visits!$E$2:$E$90,'Manual Cleanup'!$A18,Visits!$AF$2:$AF$90,"&gt;3/28/24")</f>
        <v>15</v>
      </c>
      <c r="Q18" s="13">
        <f t="shared" si="0"/>
        <v>7.5</v>
      </c>
      <c r="R18" s="13">
        <f t="shared" si="1"/>
        <v>7.5</v>
      </c>
    </row>
    <row r="19" spans="1:18">
      <c r="A19" s="16" t="s">
        <v>142</v>
      </c>
      <c r="B19" t="str">
        <f>INDEX(Visits!$A$1:$AI$336,MATCH('Manual Cleanup'!$A19,Visits!$E$1:$E$336,0),MATCH('Manual Cleanup'!B$1,Visits!$A$1:$AI$1,0))</f>
        <v>Louise</v>
      </c>
      <c r="C19" t="str">
        <f>INDEX(Visits!$A$1:$AI$336,MATCH('Manual Cleanup'!$A19,Visits!$E$1:$E$336,0),MATCH('Manual Cleanup'!C$1,Visits!$A$1:$AI$1,0))</f>
        <v>Chow</v>
      </c>
      <c r="D19" s="16" t="s">
        <v>143</v>
      </c>
      <c r="E19" t="s">
        <v>120</v>
      </c>
      <c r="F19" t="s">
        <v>137</v>
      </c>
      <c r="G19" s="1" cm="1">
        <f t="array" ref="G19">MAX(_xlfn._xlws.FILTER(Visits!AF:AF,Visits!W:W='Manual Cleanup'!A19))</f>
        <v>45388</v>
      </c>
      <c r="H19">
        <v>2</v>
      </c>
      <c r="I19">
        <v>0</v>
      </c>
      <c r="J19" s="19">
        <v>2</v>
      </c>
      <c r="K19">
        <v>0</v>
      </c>
      <c r="L19">
        <v>0</v>
      </c>
      <c r="M19">
        <v>1</v>
      </c>
      <c r="N19">
        <v>0</v>
      </c>
      <c r="O19" s="4">
        <v>15</v>
      </c>
      <c r="P19" s="4">
        <v>15</v>
      </c>
      <c r="Q19" s="13">
        <f t="shared" si="0"/>
        <v>7.5</v>
      </c>
      <c r="R19" s="13">
        <f t="shared" si="1"/>
        <v>7.5</v>
      </c>
    </row>
    <row r="20" spans="1:18">
      <c r="A20" t="s">
        <v>144</v>
      </c>
      <c r="B20" t="str">
        <f>INDEX(Visits!$A$1:$AI$336,MATCH('Manual Cleanup'!$A20,Visits!$E$1:$E$336,0),MATCH('Manual Cleanup'!B$1,Visits!$A$1:$AI$1,0))</f>
        <v>Mouna</v>
      </c>
      <c r="C20" t="str">
        <f>INDEX(Visits!$A$1:$AI$336,MATCH('Manual Cleanup'!$A20,Visits!$E$1:$E$336,0),MATCH('Manual Cleanup'!C$1,Visits!$A$1:$AI$1,0))</f>
        <v>Iraqi</v>
      </c>
      <c r="G20" s="1" cm="1">
        <f t="array" ref="G20">MAX(_xlfn._xlws.FILTER(Visits!AF:AF,Visits!W:W='Manual Cleanup'!A20))</f>
        <v>45374</v>
      </c>
      <c r="H20">
        <f>COUNTIF(Visits!$E$2:$E$90,'Manual Cleanup'!$A20)</f>
        <v>1</v>
      </c>
      <c r="I20">
        <f>COUNTIFS(Visits!$E$2:$E$90,'Manual Cleanup'!$A6,Visits!$AF$2:$AF$90,"&gt;4/20/24")</f>
        <v>0</v>
      </c>
      <c r="J20" s="19">
        <f>COUNTIFS(Visits!$E$2:$E$90,'Manual Cleanup'!$A20,Visits!$AF$2:$AF$90,"&gt;3/28/24")</f>
        <v>0</v>
      </c>
      <c r="K20">
        <f>COUNTIFS(Visits!$E$2:$E$90,'Manual Cleanup'!$A6,Visits!$AF$2:$AF$90,"&lt;3/28/24")</f>
        <v>1</v>
      </c>
      <c r="L20">
        <f t="shared" ref="L20:L32" si="5">IF(H20-I20=0,1,0)</f>
        <v>0</v>
      </c>
      <c r="M20">
        <f t="shared" ref="M20:M32" si="6">IF(J20&gt;0,1,0)</f>
        <v>0</v>
      </c>
      <c r="N20">
        <f t="shared" ref="N20:N32" si="7">IF(J20&gt;2,M20,0)</f>
        <v>0</v>
      </c>
      <c r="O20" s="4">
        <f>SUMIF(Visits!$E$2:$E$90,'Manual Cleanup'!$A20,Visits!$T$2:$T$90)</f>
        <v>40</v>
      </c>
      <c r="P20" s="4">
        <f>SUMIFS(Visits!$T$2:$T$90,Visits!$E$2:$E$90,'Manual Cleanup'!$A20,Visits!$AF$2:$AF$90,"&gt;3/28/24")</f>
        <v>0</v>
      </c>
      <c r="Q20" s="13">
        <f t="shared" si="0"/>
        <v>40</v>
      </c>
      <c r="R20" s="13" t="str">
        <f t="shared" si="1"/>
        <v>n/a</v>
      </c>
    </row>
    <row r="21" spans="1:18">
      <c r="A21" t="s">
        <v>145</v>
      </c>
      <c r="B21" t="str">
        <f>INDEX(Visits!$A$1:$AI$336,MATCH('Manual Cleanup'!$A21,Visits!$E$1:$E$336,0),MATCH('Manual Cleanup'!B$1,Visits!$A$1:$AI$1,0))</f>
        <v>Susan</v>
      </c>
      <c r="C21" t="str">
        <f>INDEX(Visits!$A$1:$AI$336,MATCH('Manual Cleanup'!$A21,Visits!$E$1:$E$336,0),MATCH('Manual Cleanup'!C$1,Visits!$A$1:$AI$1,0))</f>
        <v>Durkan Jackson</v>
      </c>
      <c r="E21" t="s">
        <v>133</v>
      </c>
      <c r="G21" s="1" cm="1">
        <f t="array" ref="G21">MAX(_xlfn._xlws.FILTER(Visits!AF:AF,Visits!W:W='Manual Cleanup'!A21))</f>
        <v>45374</v>
      </c>
      <c r="H21">
        <f>COUNTIF(Visits!$E$2:$E$90,'Manual Cleanup'!$A21)</f>
        <v>1</v>
      </c>
      <c r="I21">
        <f>COUNTIFS(Visits!$E$2:$E$90,'Manual Cleanup'!$A7,Visits!$AF$2:$AF$90,"&gt;4/20/24")</f>
        <v>0</v>
      </c>
      <c r="J21" s="19">
        <f>COUNTIFS(Visits!$E$2:$E$90,'Manual Cleanup'!$A21,Visits!$AF$2:$AF$90,"&gt;3/28/24")</f>
        <v>0</v>
      </c>
      <c r="K21">
        <f>COUNTIFS(Visits!$E$2:$E$90,'Manual Cleanup'!$A7,Visits!$AF$2:$AF$90,"&lt;3/28/24")</f>
        <v>1</v>
      </c>
      <c r="L21">
        <f t="shared" si="5"/>
        <v>0</v>
      </c>
      <c r="M21">
        <f t="shared" si="6"/>
        <v>0</v>
      </c>
      <c r="N21">
        <f t="shared" si="7"/>
        <v>0</v>
      </c>
      <c r="O21" s="4">
        <f>SUMIF(Visits!$E$2:$E$90,'Manual Cleanup'!$A21,Visits!$T$2:$T$90)</f>
        <v>40</v>
      </c>
      <c r="P21" s="4">
        <f>SUMIFS(Visits!$T$2:$T$90,Visits!$E$2:$E$90,'Manual Cleanup'!$A21,Visits!$AF$2:$AF$90,"&gt;3/28/24")</f>
        <v>0</v>
      </c>
      <c r="Q21" s="13">
        <f t="shared" si="0"/>
        <v>40</v>
      </c>
      <c r="R21" s="13" t="str">
        <f t="shared" si="1"/>
        <v>n/a</v>
      </c>
    </row>
    <row r="22" spans="1:18">
      <c r="A22" t="s">
        <v>146</v>
      </c>
      <c r="B22" t="str">
        <f>INDEX(Visits!$A$1:$AI$336,MATCH('Manual Cleanup'!$A22,Visits!$E$1:$E$336,0),MATCH('Manual Cleanup'!B$1,Visits!$A$1:$AI$1,0))</f>
        <v>Nathanael</v>
      </c>
      <c r="C22" t="str">
        <f>INDEX(Visits!$A$1:$AI$336,MATCH('Manual Cleanup'!$A22,Visits!$E$1:$E$336,0),MATCH('Manual Cleanup'!C$1,Visits!$A$1:$AI$1,0))</f>
        <v>Geman</v>
      </c>
      <c r="G22" s="1" cm="1">
        <f t="array" ref="G22">MAX(_xlfn._xlws.FILTER(Visits!AF:AF,Visits!W:W='Manual Cleanup'!A22))</f>
        <v>45374</v>
      </c>
      <c r="H22">
        <f>COUNTIF(Visits!$E$2:$E$90,'Manual Cleanup'!$A22)</f>
        <v>1</v>
      </c>
      <c r="I22">
        <f>COUNTIFS(Visits!$E$2:$E$90,'Manual Cleanup'!$A11,Visits!$AF$2:$AF$90,"&gt;4/20/24")</f>
        <v>0</v>
      </c>
      <c r="J22" s="19">
        <f>COUNTIFS(Visits!$E$2:$E$90,'Manual Cleanup'!$A22,Visits!$AF$2:$AF$90,"&gt;3/28/24")</f>
        <v>0</v>
      </c>
      <c r="K22">
        <f>COUNTIFS(Visits!$E$2:$E$90,'Manual Cleanup'!$A11,Visits!$AF$2:$AF$90,"&lt;3/28/24")</f>
        <v>1</v>
      </c>
      <c r="L22">
        <f t="shared" si="5"/>
        <v>0</v>
      </c>
      <c r="M22">
        <f t="shared" si="6"/>
        <v>0</v>
      </c>
      <c r="N22">
        <f t="shared" si="7"/>
        <v>0</v>
      </c>
      <c r="O22" s="4">
        <f>SUMIF(Visits!$E$2:$E$90,'Manual Cleanup'!$A22,Visits!$T$2:$T$90)</f>
        <v>25</v>
      </c>
      <c r="P22" s="4">
        <f>SUMIFS(Visits!$T$2:$T$90,Visits!$E$2:$E$90,'Manual Cleanup'!$A22,Visits!$AF$2:$AF$90,"&gt;3/28/24")</f>
        <v>0</v>
      </c>
      <c r="Q22" s="13">
        <f t="shared" si="0"/>
        <v>25</v>
      </c>
      <c r="R22" s="13" t="str">
        <f t="shared" si="1"/>
        <v>n/a</v>
      </c>
    </row>
    <row r="23" spans="1:18">
      <c r="A23" t="s">
        <v>147</v>
      </c>
      <c r="B23" t="str">
        <f>INDEX(Visits!$A$1:$AI$336,MATCH('Manual Cleanup'!$A23,Visits!$E$1:$E$336,0),MATCH('Manual Cleanup'!B$1,Visits!$A$1:$AI$1,0))</f>
        <v>Daniela</v>
      </c>
      <c r="C23" t="str">
        <f>INDEX(Visits!$A$1:$AI$336,MATCH('Manual Cleanup'!$A23,Visits!$E$1:$E$336,0),MATCH('Manual Cleanup'!C$1,Visits!$A$1:$AI$1,0))</f>
        <v>Jone</v>
      </c>
      <c r="G23" s="1" cm="1">
        <f t="array" ref="G23">MAX(_xlfn._xlws.FILTER(Visits!AF:AF,Visits!W:W='Manual Cleanup'!A23))</f>
        <v>45499</v>
      </c>
      <c r="H23">
        <f>COUNTIF(Visits!$E$2:$E$90,'Manual Cleanup'!$A23)</f>
        <v>2</v>
      </c>
      <c r="I23">
        <f>COUNTIFS(Visits!$E$2:$E$90,'Manual Cleanup'!$A14,Visits!$AF$2:$AF$90,"&gt;4/20/24")</f>
        <v>0</v>
      </c>
      <c r="J23" s="19">
        <f>COUNTIFS(Visits!$E$2:$E$90,'Manual Cleanup'!$A23,Visits!$AF$2:$AF$90,"&gt;3/28/24")</f>
        <v>2</v>
      </c>
      <c r="K23">
        <f>COUNTIFS(Visits!$E$2:$E$90,'Manual Cleanup'!$A14,Visits!$AF$2:$AF$90,"&lt;3/28/24")</f>
        <v>1</v>
      </c>
      <c r="L23">
        <f t="shared" si="5"/>
        <v>0</v>
      </c>
      <c r="M23">
        <f t="shared" si="6"/>
        <v>1</v>
      </c>
      <c r="N23">
        <f t="shared" si="7"/>
        <v>0</v>
      </c>
      <c r="O23" s="4">
        <f>SUMIF(Visits!$E$2:$E$90,'Manual Cleanup'!$A23,Visits!$T$2:$T$90)</f>
        <v>30</v>
      </c>
      <c r="P23" s="4">
        <f>SUMIFS(Visits!$T$2:$T$90,Visits!$E$2:$E$90,'Manual Cleanup'!$A23,Visits!$AF$2:$AF$90,"&gt;3/28/24")</f>
        <v>30</v>
      </c>
      <c r="Q23" s="13">
        <f t="shared" si="0"/>
        <v>15</v>
      </c>
      <c r="R23" s="13">
        <f t="shared" si="1"/>
        <v>15</v>
      </c>
    </row>
    <row r="24" spans="1:18">
      <c r="A24" t="s">
        <v>148</v>
      </c>
      <c r="B24" t="str">
        <f>INDEX(Visits!$A$1:$AI$336,MATCH('Manual Cleanup'!$A24,Visits!$E$1:$E$336,0),MATCH('Manual Cleanup'!B$1,Visits!$A$1:$AI$1,0))</f>
        <v>eoghan</v>
      </c>
      <c r="C24" t="str">
        <f>INDEX(Visits!$A$1:$AI$336,MATCH('Manual Cleanup'!$A24,Visits!$E$1:$E$336,0),MATCH('Manual Cleanup'!C$1,Visits!$A$1:$AI$1,0))</f>
        <v>naughton</v>
      </c>
      <c r="E24" t="s">
        <v>149</v>
      </c>
      <c r="G24" s="1" cm="1">
        <f t="array" ref="G24">MAX(_xlfn._xlws.FILTER(Visits!AF:AF,Visits!W:W='Manual Cleanup'!A24))</f>
        <v>45480.583333333336</v>
      </c>
      <c r="H24">
        <f>COUNTIF(Visits!$E$2:$E$90,'Manual Cleanup'!$A24)</f>
        <v>3</v>
      </c>
      <c r="I24">
        <f>COUNTIFS(Visits!$E$2:$E$90,'Manual Cleanup'!$A15,Visits!$AF$2:$AF$90,"&gt;4/20/24")</f>
        <v>0</v>
      </c>
      <c r="J24" s="19">
        <f>COUNTIFS(Visits!$E$2:$E$90,'Manual Cleanup'!$A24,Visits!$AF$2:$AF$90,"&gt;3/28/24")</f>
        <v>3</v>
      </c>
      <c r="K24">
        <f>COUNTIFS(Visits!$E$2:$E$90,'Manual Cleanup'!$A15,Visits!$AF$2:$AF$90,"&lt;3/28/24")</f>
        <v>1</v>
      </c>
      <c r="L24">
        <f t="shared" si="5"/>
        <v>0</v>
      </c>
      <c r="M24">
        <f t="shared" si="6"/>
        <v>1</v>
      </c>
      <c r="N24">
        <f t="shared" si="7"/>
        <v>1</v>
      </c>
      <c r="O24" s="4">
        <f>SUMIF(Visits!$E$2:$E$90,'Manual Cleanup'!$A24,Visits!$T$2:$T$90)</f>
        <v>30</v>
      </c>
      <c r="P24" s="4">
        <f>SUMIFS(Visits!$T$2:$T$90,Visits!$E$2:$E$90,'Manual Cleanup'!$A24,Visits!$AF$2:$AF$90,"&gt;3/28/24")</f>
        <v>30</v>
      </c>
      <c r="Q24" s="13">
        <f t="shared" si="0"/>
        <v>10</v>
      </c>
      <c r="R24" s="13">
        <f t="shared" si="1"/>
        <v>10</v>
      </c>
    </row>
    <row r="25" spans="1:18">
      <c r="A25" t="s">
        <v>150</v>
      </c>
      <c r="B25" t="str">
        <f>INDEX(Visits!$A$1:$AI$336,MATCH('Manual Cleanup'!$A25,Visits!$E$1:$E$336,0),MATCH('Manual Cleanup'!B$1,Visits!$A$1:$AI$1,0))</f>
        <v>Sophia</v>
      </c>
      <c r="C25" t="str">
        <f>INDEX(Visits!$A$1:$AI$336,MATCH('Manual Cleanup'!$A25,Visits!$E$1:$E$336,0),MATCH('Manual Cleanup'!C$1,Visits!$A$1:$AI$1,0))</f>
        <v>S</v>
      </c>
      <c r="G25" s="1" cm="1">
        <f t="array" ref="G25">MAX(_xlfn._xlws.FILTER(Visits!AF:AF,Visits!W:W='Manual Cleanup'!A25))</f>
        <v>45386</v>
      </c>
      <c r="H25">
        <f>COUNTIF(Visits!$E$2:$E$90,'Manual Cleanup'!$A25)</f>
        <v>1</v>
      </c>
      <c r="I25">
        <f>COUNTIFS(Visits!$E$2:$E$90,'Manual Cleanup'!$A18,Visits!$AF$2:$AF$90,"&gt;4/20/24")</f>
        <v>0</v>
      </c>
      <c r="J25" s="19">
        <f>COUNTIFS(Visits!$E$2:$E$90,'Manual Cleanup'!$A25,Visits!$AF$2:$AF$90,"&gt;3/28/24")</f>
        <v>1</v>
      </c>
      <c r="K25">
        <f>COUNTIFS(Visits!$E$2:$E$90,'Manual Cleanup'!$A18,Visits!$AF$2:$AF$90,"&lt;3/28/24")</f>
        <v>0</v>
      </c>
      <c r="L25">
        <f t="shared" si="5"/>
        <v>0</v>
      </c>
      <c r="M25">
        <f t="shared" si="6"/>
        <v>1</v>
      </c>
      <c r="N25">
        <f t="shared" si="7"/>
        <v>0</v>
      </c>
      <c r="O25" s="4">
        <f>SUMIF(Visits!$E$2:$E$90,'Manual Cleanup'!$A25,Visits!$T$2:$T$90)</f>
        <v>15</v>
      </c>
      <c r="P25" s="4">
        <f>SUMIFS(Visits!$T$2:$T$90,Visits!$E$2:$E$90,'Manual Cleanup'!$A25,Visits!$AF$2:$AF$90,"&gt;3/28/24")</f>
        <v>15</v>
      </c>
      <c r="Q25" s="13">
        <f t="shared" si="0"/>
        <v>15</v>
      </c>
      <c r="R25" s="13">
        <f t="shared" si="1"/>
        <v>15</v>
      </c>
    </row>
    <row r="26" spans="1:18">
      <c r="A26" t="s">
        <v>151</v>
      </c>
      <c r="B26" t="str">
        <f>INDEX(Visits!$A$1:$AI$336,MATCH('Manual Cleanup'!$A26,Visits!$E$1:$E$336,0),MATCH('Manual Cleanup'!B$1,Visits!$A$1:$AI$1,0))</f>
        <v>Cecilia</v>
      </c>
      <c r="C26" t="str">
        <f>INDEX(Visits!$A$1:$AI$336,MATCH('Manual Cleanup'!$A26,Visits!$E$1:$E$336,0),MATCH('Manual Cleanup'!C$1,Visits!$A$1:$AI$1,0))</f>
        <v>Lee</v>
      </c>
      <c r="G26" s="1" cm="1">
        <f t="array" ref="G26">MAX(_xlfn._xlws.FILTER(Visits!AF:AF,Visits!W:W='Manual Cleanup'!A26))</f>
        <v>45471.770833333336</v>
      </c>
      <c r="H26">
        <f>COUNTIF(Visits!$E$2:$E$90,'Manual Cleanup'!$A26)</f>
        <v>1</v>
      </c>
      <c r="I26">
        <f>COUNTIFS(Visits!$E$2:$E$90,'Manual Cleanup'!$A19,Visits!$AF$2:$AF$90,"&gt;4/20/24")</f>
        <v>0</v>
      </c>
      <c r="J26" s="19">
        <f>COUNTIFS(Visits!$E$2:$E$90,'Manual Cleanup'!$A26,Visits!$AF$2:$AF$90,"&gt;3/28/24")</f>
        <v>1</v>
      </c>
      <c r="K26">
        <f>COUNTIFS(Visits!$E$2:$E$90,'Manual Cleanup'!$A19,Visits!$AF$2:$AF$90,"&lt;3/28/24")</f>
        <v>0</v>
      </c>
      <c r="L26">
        <f t="shared" si="5"/>
        <v>0</v>
      </c>
      <c r="M26">
        <f t="shared" si="6"/>
        <v>1</v>
      </c>
      <c r="N26">
        <f t="shared" si="7"/>
        <v>0</v>
      </c>
      <c r="O26" s="4">
        <f>SUMIF(Visits!$E$2:$E$90,'Manual Cleanup'!$A26,Visits!$T$2:$T$90)</f>
        <v>10</v>
      </c>
      <c r="P26" s="4">
        <f>SUMIFS(Visits!$T$2:$T$90,Visits!$E$2:$E$90,'Manual Cleanup'!$A26,Visits!$AF$2:$AF$90,"&gt;3/28/24")</f>
        <v>10</v>
      </c>
      <c r="Q26" s="13">
        <f t="shared" si="0"/>
        <v>10</v>
      </c>
      <c r="R26" s="13">
        <f t="shared" si="1"/>
        <v>10</v>
      </c>
    </row>
    <row r="27" spans="1:18">
      <c r="A27" t="s">
        <v>152</v>
      </c>
      <c r="B27" t="e">
        <f>INDEX(Visits!$A$1:$AI$336,MATCH('Manual Cleanup'!$A27,Visits!$E$1:$E$336,0),MATCH('Manual Cleanup'!B$1,Visits!$A$1:$AI$1,0))</f>
        <v>#N/A</v>
      </c>
      <c r="C27" t="e">
        <f>INDEX(Visits!$A$1:$AI$336,MATCH('Manual Cleanup'!$A27,Visits!$E$1:$E$336,0),MATCH('Manual Cleanup'!C$1,Visits!$A$1:$AI$1,0))</f>
        <v>#N/A</v>
      </c>
      <c r="E27" t="s">
        <v>120</v>
      </c>
      <c r="G27" s="1" cm="1">
        <f t="array" ref="G27">MAX(_xlfn._xlws.FILTER(Visits!AF:AF,Visits!W:W='Manual Cleanup'!A27))</f>
        <v>45386</v>
      </c>
      <c r="H27">
        <f>COUNTIF(Visits!$E$2:$E$90,'Manual Cleanup'!$A27)</f>
        <v>0</v>
      </c>
      <c r="I27">
        <f>COUNTIFS(Visits!$E$2:$E$90,'Manual Cleanup'!$A21,Visits!$AF$2:$AF$90,"&gt;4/20/24")</f>
        <v>0</v>
      </c>
      <c r="J27" s="19">
        <f>COUNTIFS(Visits!$E$2:$E$90,'Manual Cleanup'!$A27,Visits!$AF$2:$AF$90,"&gt;3/28/24")</f>
        <v>0</v>
      </c>
      <c r="K27">
        <f>COUNTIFS(Visits!$E$2:$E$90,'Manual Cleanup'!$A21,Visits!$AF$2:$AF$90,"&lt;3/28/24")</f>
        <v>1</v>
      </c>
      <c r="L27">
        <f t="shared" si="5"/>
        <v>1</v>
      </c>
      <c r="M27">
        <f t="shared" si="6"/>
        <v>0</v>
      </c>
      <c r="N27">
        <f t="shared" si="7"/>
        <v>0</v>
      </c>
      <c r="O27" s="4">
        <f>SUMIF(Visits!$E$2:$E$90,'Manual Cleanup'!$A27,Visits!$T$2:$T$90)</f>
        <v>0</v>
      </c>
      <c r="P27" s="4">
        <f>SUMIFS(Visits!$T$2:$T$90,Visits!$E$2:$E$90,'Manual Cleanup'!$A27,Visits!$AF$2:$AF$90,"&gt;3/28/24")</f>
        <v>0</v>
      </c>
      <c r="Q27" s="13" t="e">
        <f t="shared" si="0"/>
        <v>#DIV/0!</v>
      </c>
      <c r="R27" s="13" t="str">
        <f t="shared" si="1"/>
        <v>n/a</v>
      </c>
    </row>
    <row r="28" spans="1:18">
      <c r="A28" t="s">
        <v>153</v>
      </c>
      <c r="B28" t="str">
        <f>INDEX(Visits!$A$1:$AI$336,MATCH('Manual Cleanup'!$A28,Visits!$E$1:$E$336,0),MATCH('Manual Cleanup'!B$1,Visits!$A$1:$AI$1,0))</f>
        <v>Kostas</v>
      </c>
      <c r="C28" t="str">
        <f>INDEX(Visits!$A$1:$AI$336,MATCH('Manual Cleanup'!$A28,Visits!$E$1:$E$336,0),MATCH('Manual Cleanup'!C$1,Visits!$A$1:$AI$1,0))</f>
        <v>Palierakis</v>
      </c>
      <c r="G28" s="1" cm="1">
        <f t="array" ref="G28">MAX(_xlfn._xlws.FILTER(Visits!AF:AF,Visits!W:W='Manual Cleanup'!A28))</f>
        <v>45381</v>
      </c>
      <c r="H28">
        <f>COUNTIF(Visits!$E$2:$E$90,'Manual Cleanup'!$A28)</f>
        <v>1</v>
      </c>
      <c r="I28">
        <f>COUNTIFS(Visits!$E$2:$E$90,'Manual Cleanup'!$A23,Visits!$AF$2:$AF$90,"&gt;4/20/24")</f>
        <v>0</v>
      </c>
      <c r="J28" s="19">
        <f>COUNTIFS(Visits!$E$2:$E$90,'Manual Cleanup'!$A28,Visits!$AF$2:$AF$90,"&gt;3/28/24")</f>
        <v>1</v>
      </c>
      <c r="K28">
        <f>COUNTIFS(Visits!$E$2:$E$90,'Manual Cleanup'!$A23,Visits!$AF$2:$AF$90,"&lt;3/28/24")</f>
        <v>0</v>
      </c>
      <c r="L28">
        <f t="shared" si="5"/>
        <v>0</v>
      </c>
      <c r="M28">
        <f t="shared" si="6"/>
        <v>1</v>
      </c>
      <c r="N28">
        <f t="shared" si="7"/>
        <v>0</v>
      </c>
      <c r="O28" s="4">
        <f>SUMIF(Visits!$E$2:$E$90,'Manual Cleanup'!$A28,Visits!$T$2:$T$90)</f>
        <v>5</v>
      </c>
      <c r="P28" s="4">
        <f>SUMIFS(Visits!$T$2:$T$90,Visits!$E$2:$E$90,'Manual Cleanup'!$A28,Visits!$AF$2:$AF$90,"&gt;3/28/24")</f>
        <v>5</v>
      </c>
      <c r="Q28" s="13">
        <f t="shared" si="0"/>
        <v>5</v>
      </c>
      <c r="R28" s="13">
        <f t="shared" si="1"/>
        <v>5</v>
      </c>
    </row>
    <row r="29" spans="1:18">
      <c r="A29" t="s">
        <v>154</v>
      </c>
      <c r="B29" t="str">
        <f>INDEX(Visits!$A$1:$AI$336,MATCH('Manual Cleanup'!$A29,Visits!$E$1:$E$336,0),MATCH('Manual Cleanup'!B$1,Visits!$A$1:$AI$1,0))</f>
        <v>Silviu</v>
      </c>
      <c r="C29" t="str">
        <f>INDEX(Visits!$A$1:$AI$336,MATCH('Manual Cleanup'!$A29,Visits!$E$1:$E$336,0),MATCH('Manual Cleanup'!C$1,Visits!$A$1:$AI$1,0))</f>
        <v>Burca</v>
      </c>
      <c r="G29" s="1" cm="1">
        <f t="array" ref="G29">MAX(_xlfn._xlws.FILTER(Visits!AF:AF,Visits!W:W='Manual Cleanup'!A29))</f>
        <v>45381</v>
      </c>
      <c r="H29">
        <f>COUNTIF(Visits!$E$2:$E$90,'Manual Cleanup'!$A29)</f>
        <v>1</v>
      </c>
      <c r="I29">
        <f>COUNTIFS(Visits!$E$2:$E$90,'Manual Cleanup'!$A24,Visits!$AF$2:$AF$90,"&gt;4/20/24")</f>
        <v>0</v>
      </c>
      <c r="J29" s="19">
        <f>COUNTIFS(Visits!$E$2:$E$90,'Manual Cleanup'!$A29,Visits!$AF$2:$AF$90,"&gt;3/28/24")</f>
        <v>1</v>
      </c>
      <c r="K29">
        <f>COUNTIFS(Visits!$E$2:$E$90,'Manual Cleanup'!$A24,Visits!$AF$2:$AF$90,"&lt;3/28/24")</f>
        <v>0</v>
      </c>
      <c r="L29">
        <f t="shared" si="5"/>
        <v>0</v>
      </c>
      <c r="M29">
        <f t="shared" si="6"/>
        <v>1</v>
      </c>
      <c r="N29">
        <f t="shared" si="7"/>
        <v>0</v>
      </c>
      <c r="O29" s="4">
        <f>SUMIF(Visits!$E$2:$E$90,'Manual Cleanup'!$A29,Visits!$T$2:$T$90)</f>
        <v>5</v>
      </c>
      <c r="P29" s="4">
        <f>SUMIFS(Visits!$T$2:$T$90,Visits!$E$2:$E$90,'Manual Cleanup'!$A29,Visits!$AF$2:$AF$90,"&gt;3/28/24")</f>
        <v>5</v>
      </c>
      <c r="Q29" s="13">
        <f t="shared" si="0"/>
        <v>5</v>
      </c>
      <c r="R29" s="13">
        <f t="shared" si="1"/>
        <v>5</v>
      </c>
    </row>
    <row r="30" spans="1:18">
      <c r="A30" t="s">
        <v>155</v>
      </c>
      <c r="B30" t="str">
        <f>INDEX(Visits!$A$1:$AI$336,MATCH('Manual Cleanup'!$A30,Visits!$E$1:$E$336,0),MATCH('Manual Cleanup'!B$1,Visits!$A$1:$AI$1,0))</f>
        <v>ezgi</v>
      </c>
      <c r="C30" t="str">
        <f>INDEX(Visits!$A$1:$AI$336,MATCH('Manual Cleanup'!$A30,Visits!$E$1:$E$336,0),MATCH('Manual Cleanup'!C$1,Visits!$A$1:$AI$1,0))</f>
        <v>çakmak</v>
      </c>
      <c r="G30" s="1" cm="1">
        <f t="array" ref="G30">MAX(_xlfn._xlws.FILTER(Visits!AF:AF,Visits!W:W='Manual Cleanup'!A30))</f>
        <v>45381</v>
      </c>
      <c r="H30">
        <f>COUNTIF(Visits!$E$2:$E$90,'Manual Cleanup'!$A30)</f>
        <v>1</v>
      </c>
      <c r="I30">
        <f>COUNTIFS(Visits!$E$2:$E$90,'Manual Cleanup'!$A25,Visits!$AF$2:$AF$90,"&gt;4/20/24")</f>
        <v>0</v>
      </c>
      <c r="J30" s="19">
        <f>COUNTIFS(Visits!$E$2:$E$90,'Manual Cleanup'!$A30,Visits!$AF$2:$AF$90,"&gt;3/28/24")</f>
        <v>1</v>
      </c>
      <c r="K30">
        <f>COUNTIFS(Visits!$E$2:$E$90,'Manual Cleanup'!$A25,Visits!$AF$2:$AF$90,"&lt;3/28/24")</f>
        <v>0</v>
      </c>
      <c r="L30">
        <f t="shared" si="5"/>
        <v>0</v>
      </c>
      <c r="M30">
        <f t="shared" si="6"/>
        <v>1</v>
      </c>
      <c r="N30">
        <f t="shared" si="7"/>
        <v>0</v>
      </c>
      <c r="O30" s="4">
        <f>SUMIF(Visits!$E$2:$E$90,'Manual Cleanup'!$A30,Visits!$T$2:$T$90)</f>
        <v>5</v>
      </c>
      <c r="P30" s="4">
        <f>SUMIFS(Visits!$T$2:$T$90,Visits!$E$2:$E$90,'Manual Cleanup'!$A30,Visits!$AF$2:$AF$90,"&gt;3/28/24")</f>
        <v>5</v>
      </c>
      <c r="Q30" s="13">
        <f t="shared" si="0"/>
        <v>5</v>
      </c>
      <c r="R30" s="13">
        <f t="shared" si="1"/>
        <v>5</v>
      </c>
    </row>
    <row r="31" spans="1:18">
      <c r="A31" t="s">
        <v>156</v>
      </c>
      <c r="B31" t="str">
        <f>INDEX(Visits!$A$1:$AI$336,MATCH('Manual Cleanup'!$A31,Visits!$E$1:$E$336,0),MATCH('Manual Cleanup'!B$1,Visits!$A$1:$AI$1,0))</f>
        <v>Simona</v>
      </c>
      <c r="C31" t="str">
        <f>INDEX(Visits!$A$1:$AI$336,MATCH('Manual Cleanup'!$A31,Visits!$E$1:$E$336,0),MATCH('Manual Cleanup'!C$1,Visits!$A$1:$AI$1,0))</f>
        <v>Vicol</v>
      </c>
      <c r="G31" s="1" cm="1">
        <f t="array" ref="G31">MAX(_xlfn._xlws.FILTER(Visits!AF:AF,Visits!W:W='Manual Cleanup'!A31))</f>
        <v>45381</v>
      </c>
      <c r="H31">
        <f>COUNTIF(Visits!$E$2:$E$90,'Manual Cleanup'!$A31)</f>
        <v>1</v>
      </c>
      <c r="I31">
        <f>COUNTIFS(Visits!$E$2:$E$90,'Manual Cleanup'!$A26,Visits!$AF$2:$AF$90,"&gt;4/20/24")</f>
        <v>0</v>
      </c>
      <c r="J31" s="19">
        <f>COUNTIFS(Visits!$E$2:$E$90,'Manual Cleanup'!$A31,Visits!$AF$2:$AF$90,"&gt;3/28/24")</f>
        <v>1</v>
      </c>
      <c r="K31">
        <f>COUNTIFS(Visits!$E$2:$E$90,'Manual Cleanup'!$A26,Visits!$AF$2:$AF$90,"&lt;3/28/24")</f>
        <v>0</v>
      </c>
      <c r="L31">
        <f t="shared" si="5"/>
        <v>0</v>
      </c>
      <c r="M31">
        <f t="shared" si="6"/>
        <v>1</v>
      </c>
      <c r="N31">
        <f t="shared" si="7"/>
        <v>0</v>
      </c>
      <c r="O31" s="4">
        <f>SUMIF(Visits!$E$2:$E$90,'Manual Cleanup'!$A31,Visits!$T$2:$T$90)</f>
        <v>5</v>
      </c>
      <c r="P31" s="4">
        <f>SUMIFS(Visits!$T$2:$T$90,Visits!$E$2:$E$90,'Manual Cleanup'!$A31,Visits!$AF$2:$AF$90,"&gt;3/28/24")</f>
        <v>5</v>
      </c>
      <c r="Q31" s="13">
        <f t="shared" si="0"/>
        <v>5</v>
      </c>
      <c r="R31" s="13">
        <f t="shared" si="1"/>
        <v>5</v>
      </c>
    </row>
    <row r="32" spans="1:18">
      <c r="A32" t="s">
        <v>157</v>
      </c>
      <c r="B32" t="str">
        <f>INDEX(Visits!$A$1:$AI$336,MATCH('Manual Cleanup'!$A32,Visits!$E$1:$E$336,0),MATCH('Manual Cleanup'!B$1,Visits!$A$1:$AI$1,0))</f>
        <v>David</v>
      </c>
      <c r="C32" t="str">
        <f>INDEX(Visits!$A$1:$AI$336,MATCH('Manual Cleanup'!$A32,Visits!$E$1:$E$336,0),MATCH('Manual Cleanup'!C$1,Visits!$A$1:$AI$1,0))</f>
        <v>Barden</v>
      </c>
      <c r="G32" s="1" cm="1">
        <f t="array" ref="G32">MAX(_xlfn._xlws.FILTER(Visits!AF:AF,Visits!W:W='Manual Cleanup'!A32))</f>
        <v>45381</v>
      </c>
      <c r="H32">
        <f>COUNTIF(Visits!$E$2:$E$90,'Manual Cleanup'!$A32)</f>
        <v>1</v>
      </c>
      <c r="I32">
        <f>COUNTIFS(Visits!$E$2:$E$90,'Manual Cleanup'!$A27,Visits!$AF$2:$AF$90,"&gt;4/20/24")</f>
        <v>0</v>
      </c>
      <c r="J32" s="19">
        <f>COUNTIFS(Visits!$E$2:$E$90,'Manual Cleanup'!$A32,Visits!$AF$2:$AF$90,"&gt;3/28/24")</f>
        <v>1</v>
      </c>
      <c r="K32">
        <f>COUNTIFS(Visits!$E$2:$E$90,'Manual Cleanup'!$A27,Visits!$AF$2:$AF$90,"&lt;3/28/24")</f>
        <v>0</v>
      </c>
      <c r="L32">
        <f t="shared" si="5"/>
        <v>0</v>
      </c>
      <c r="M32">
        <f t="shared" si="6"/>
        <v>1</v>
      </c>
      <c r="N32">
        <f t="shared" si="7"/>
        <v>0</v>
      </c>
      <c r="O32" s="4">
        <f>SUMIF(Visits!$E$2:$E$90,'Manual Cleanup'!$A32,Visits!$T$2:$T$90)</f>
        <v>5</v>
      </c>
      <c r="P32" s="4">
        <f>SUMIFS(Visits!$T$2:$T$90,Visits!$E$2:$E$90,'Manual Cleanup'!$A32,Visits!$AF$2:$AF$90,"&gt;3/28/24")</f>
        <v>5</v>
      </c>
      <c r="Q32" s="13">
        <f t="shared" si="0"/>
        <v>5</v>
      </c>
      <c r="R32" s="13">
        <f t="shared" si="1"/>
        <v>5</v>
      </c>
    </row>
    <row r="33" spans="1:18">
      <c r="A33" s="15" t="s">
        <v>158</v>
      </c>
      <c r="B33" t="str">
        <f>INDEX(Visits!$A$1:$AI$336,MATCH('Manual Cleanup'!$A33,Visits!$E$1:$E$336,0),MATCH('Manual Cleanup'!B$1,Visits!$A$1:$AI$1,0))</f>
        <v>Audrey</v>
      </c>
      <c r="C33" t="str">
        <f>INDEX(Visits!$A$1:$AI$336,MATCH('Manual Cleanup'!$A33,Visits!$E$1:$E$336,0),MATCH('Manual Cleanup'!C$1,Visits!$A$1:$AI$1,0))</f>
        <v>Hutabarat</v>
      </c>
      <c r="D33" s="15" t="s">
        <v>159</v>
      </c>
      <c r="G33" s="1">
        <v>45388</v>
      </c>
      <c r="H33">
        <v>2</v>
      </c>
      <c r="I33">
        <v>0</v>
      </c>
      <c r="J33" s="19">
        <v>2</v>
      </c>
      <c r="K33">
        <v>0</v>
      </c>
      <c r="L33">
        <v>0</v>
      </c>
      <c r="M33">
        <v>1</v>
      </c>
      <c r="N33">
        <v>0</v>
      </c>
      <c r="O33" s="4">
        <v>15</v>
      </c>
      <c r="P33" s="4">
        <v>15</v>
      </c>
      <c r="Q33" s="13">
        <f t="shared" si="0"/>
        <v>7.5</v>
      </c>
      <c r="R33" s="13">
        <f t="shared" si="1"/>
        <v>7.5</v>
      </c>
    </row>
    <row r="34" spans="1:18">
      <c r="A34" t="s">
        <v>160</v>
      </c>
      <c r="B34" t="str">
        <f>INDEX(Visits!$A$1:$AI$336,MATCH('Manual Cleanup'!$A34,Visits!$E$1:$E$336,0),MATCH('Manual Cleanup'!B$1,Visits!$A$1:$AI$1,0))</f>
        <v>Monique</v>
      </c>
      <c r="C34" t="str">
        <f>INDEX(Visits!$A$1:$AI$336,MATCH('Manual Cleanup'!$A34,Visits!$E$1:$E$336,0),MATCH('Manual Cleanup'!C$1,Visits!$A$1:$AI$1,0))</f>
        <v>Blemur</v>
      </c>
      <c r="G34" s="1" cm="1">
        <f t="array" ref="G34">MAX(_xlfn._xlws.FILTER(Visits!AF:AF,Visits!W:W='Manual Cleanup'!A34))</f>
        <v>45445.5</v>
      </c>
      <c r="H34">
        <f>COUNTIF(Visits!$E$2:$E$90,'Manual Cleanup'!$A34)</f>
        <v>1</v>
      </c>
      <c r="I34">
        <f>COUNTIFS(Visits!$E$2:$E$90,'Manual Cleanup'!$A29,Visits!$AF$2:$AF$90,"&gt;4/20/24")</f>
        <v>0</v>
      </c>
      <c r="J34" s="19">
        <f>COUNTIFS(Visits!$E$2:$E$90,'Manual Cleanup'!$A34,Visits!$AF$2:$AF$90,"&gt;3/28/24")</f>
        <v>1</v>
      </c>
      <c r="K34">
        <f>COUNTIFS(Visits!$E$2:$E$90,'Manual Cleanup'!$A29,Visits!$AF$2:$AF$90,"&lt;3/28/24")</f>
        <v>0</v>
      </c>
      <c r="L34">
        <f t="shared" ref="L34:L55" si="8">IF(H34-I34=0,1,0)</f>
        <v>0</v>
      </c>
      <c r="M34">
        <f t="shared" ref="M34:M55" si="9">IF(J34&gt;0,1,0)</f>
        <v>1</v>
      </c>
      <c r="N34">
        <f t="shared" ref="N34:N55" si="10">IF(J34&gt;2,M34,0)</f>
        <v>0</v>
      </c>
      <c r="O34" s="4">
        <f>SUMIF(Visits!$E$2:$E$90,'Manual Cleanup'!$A34,Visits!$T$2:$T$90)</f>
        <v>0</v>
      </c>
      <c r="P34" s="4">
        <f>SUMIFS(Visits!$T$2:$T$90,Visits!$E$2:$E$90,'Manual Cleanup'!$A34,Visits!$AF$2:$AF$90,"&gt;3/28/24")</f>
        <v>0</v>
      </c>
      <c r="Q34" s="13">
        <f t="shared" ref="Q34:Q55" si="11">O34/H34</f>
        <v>0</v>
      </c>
      <c r="R34" s="13">
        <f t="shared" ref="R34:R55" si="12">IFERROR(P34/J34,"n/a")</f>
        <v>0</v>
      </c>
    </row>
    <row r="35" spans="1:18">
      <c r="A35" t="s">
        <v>161</v>
      </c>
      <c r="B35" t="str">
        <f>INDEX(Visits!$A$1:$AI$336,MATCH('Manual Cleanup'!$A35,Visits!$E$1:$E$336,0),MATCH('Manual Cleanup'!B$1,Visits!$A$1:$AI$1,0))</f>
        <v>Hanna</v>
      </c>
      <c r="C35" t="str">
        <f>INDEX(Visits!$A$1:$AI$336,MATCH('Manual Cleanup'!$A35,Visits!$E$1:$E$336,0),MATCH('Manual Cleanup'!C$1,Visits!$A$1:$AI$1,0))</f>
        <v>N</v>
      </c>
      <c r="G35" s="1" cm="1">
        <f t="array" ref="G35">MAX(_xlfn._xlws.FILTER(Visits!AF:AF,Visits!W:W='Manual Cleanup'!A35))</f>
        <v>45402</v>
      </c>
      <c r="H35">
        <f>COUNTIF(Visits!$E$2:$E$90,'Manual Cleanup'!$A35)</f>
        <v>2</v>
      </c>
      <c r="I35">
        <f>COUNTIFS(Visits!$E$2:$E$90,'Manual Cleanup'!$A30,Visits!$AF$2:$AF$90,"&gt;4/20/24")</f>
        <v>0</v>
      </c>
      <c r="J35" s="19">
        <f>COUNTIFS(Visits!$E$2:$E$90,'Manual Cleanup'!$A35,Visits!$AF$2:$AF$90,"&gt;3/28/24")</f>
        <v>2</v>
      </c>
      <c r="K35">
        <f>COUNTIFS(Visits!$E$2:$E$90,'Manual Cleanup'!$A30,Visits!$AF$2:$AF$90,"&lt;3/28/24")</f>
        <v>0</v>
      </c>
      <c r="L35">
        <f t="shared" si="8"/>
        <v>0</v>
      </c>
      <c r="M35">
        <f t="shared" si="9"/>
        <v>1</v>
      </c>
      <c r="N35">
        <f t="shared" si="10"/>
        <v>0</v>
      </c>
      <c r="O35" s="4">
        <f>SUMIF(Visits!$E$2:$E$90,'Manual Cleanup'!$A35,Visits!$T$2:$T$90)</f>
        <v>30</v>
      </c>
      <c r="P35" s="4">
        <f>SUMIFS(Visits!$T$2:$T$90,Visits!$E$2:$E$90,'Manual Cleanup'!$A35,Visits!$AF$2:$AF$90,"&gt;3/28/24")</f>
        <v>30</v>
      </c>
      <c r="Q35" s="13">
        <f t="shared" si="11"/>
        <v>15</v>
      </c>
      <c r="R35" s="13">
        <f t="shared" si="12"/>
        <v>15</v>
      </c>
    </row>
    <row r="36" spans="1:18">
      <c r="A36" t="s">
        <v>162</v>
      </c>
      <c r="B36" t="str">
        <f>INDEX(Visits!$A$1:$AI$336,MATCH('Manual Cleanup'!$A36,Visits!$E$1:$E$336,0),MATCH('Manual Cleanup'!B$1,Visits!$A$1:$AI$1,0))</f>
        <v>Anamaria</v>
      </c>
      <c r="C36" t="str">
        <f>INDEX(Visits!$A$1:$AI$336,MATCH('Manual Cleanup'!$A36,Visits!$E$1:$E$336,0),MATCH('Manual Cleanup'!C$1,Visits!$A$1:$AI$1,0))</f>
        <v>Parsons</v>
      </c>
      <c r="G36" s="1" cm="1">
        <f t="array" ref="G36">MAX(_xlfn._xlws.FILTER(Visits!AF:AF,Visits!W:W='Manual Cleanup'!A36))</f>
        <v>45388</v>
      </c>
      <c r="H36">
        <f>COUNTIF(Visits!$E$2:$E$90,'Manual Cleanup'!$A36)</f>
        <v>1</v>
      </c>
      <c r="I36">
        <f>COUNTIFS(Visits!$E$2:$E$90,'Manual Cleanup'!$A31,Visits!$AF$2:$AF$90,"&gt;4/20/24")</f>
        <v>0</v>
      </c>
      <c r="J36" s="19">
        <f>COUNTIFS(Visits!$E$2:$E$90,'Manual Cleanup'!$A36,Visits!$AF$2:$AF$90,"&gt;3/28/24")</f>
        <v>1</v>
      </c>
      <c r="K36">
        <f>COUNTIFS(Visits!$E$2:$E$90,'Manual Cleanup'!$A31,Visits!$AF$2:$AF$90,"&lt;3/28/24")</f>
        <v>0</v>
      </c>
      <c r="L36">
        <f t="shared" si="8"/>
        <v>0</v>
      </c>
      <c r="M36">
        <f t="shared" si="9"/>
        <v>1</v>
      </c>
      <c r="N36">
        <f t="shared" si="10"/>
        <v>0</v>
      </c>
      <c r="O36" s="4">
        <f>SUMIF(Visits!$E$2:$E$90,'Manual Cleanup'!$A36,Visits!$T$2:$T$90)</f>
        <v>15</v>
      </c>
      <c r="P36" s="4">
        <f>SUMIFS(Visits!$T$2:$T$90,Visits!$E$2:$E$90,'Manual Cleanup'!$A36,Visits!$AF$2:$AF$90,"&gt;3/28/24")</f>
        <v>15</v>
      </c>
      <c r="Q36" s="13">
        <f t="shared" si="11"/>
        <v>15</v>
      </c>
      <c r="R36" s="13">
        <f t="shared" si="12"/>
        <v>15</v>
      </c>
    </row>
    <row r="37" spans="1:18">
      <c r="A37" t="s">
        <v>163</v>
      </c>
      <c r="B37" t="str">
        <f>INDEX(Visits!$A$1:$AI$336,MATCH('Manual Cleanup'!$A37,Visits!$E$1:$E$336,0),MATCH('Manual Cleanup'!B$1,Visits!$A$1:$AI$1,0))</f>
        <v>Jonathan</v>
      </c>
      <c r="C37" t="str">
        <f>INDEX(Visits!$A$1:$AI$336,MATCH('Manual Cleanup'!$A37,Visits!$E$1:$E$336,0),MATCH('Manual Cleanup'!C$1,Visits!$A$1:$AI$1,0))</f>
        <v>Chikly</v>
      </c>
      <c r="G37" s="1" cm="1">
        <f t="array" ref="G37">MAX(_xlfn._xlws.FILTER(Visits!AF:AF,Visits!W:W='Manual Cleanup'!A37))</f>
        <v>45388</v>
      </c>
      <c r="H37">
        <f>COUNTIF(Visits!$E$2:$E$90,'Manual Cleanup'!$A37)</f>
        <v>1</v>
      </c>
      <c r="I37">
        <f>COUNTIFS(Visits!$E$2:$E$90,'Manual Cleanup'!$A34,Visits!$AF$2:$AF$90,"&gt;4/20/24")</f>
        <v>0</v>
      </c>
      <c r="J37" s="19">
        <f>COUNTIFS(Visits!$E$2:$E$90,'Manual Cleanup'!$A37,Visits!$AF$2:$AF$90,"&gt;3/28/24")</f>
        <v>1</v>
      </c>
      <c r="K37">
        <f>COUNTIFS(Visits!$E$2:$E$90,'Manual Cleanup'!$A34,Visits!$AF$2:$AF$90,"&lt;3/28/24")</f>
        <v>0</v>
      </c>
      <c r="L37">
        <f t="shared" si="8"/>
        <v>0</v>
      </c>
      <c r="M37">
        <f t="shared" si="9"/>
        <v>1</v>
      </c>
      <c r="N37">
        <f t="shared" si="10"/>
        <v>0</v>
      </c>
      <c r="O37" s="4">
        <f>SUMIF(Visits!$E$2:$E$90,'Manual Cleanup'!$A37,Visits!$T$2:$T$90)</f>
        <v>15</v>
      </c>
      <c r="P37" s="4">
        <f>SUMIFS(Visits!$T$2:$T$90,Visits!$E$2:$E$90,'Manual Cleanup'!$A37,Visits!$AF$2:$AF$90,"&gt;3/28/24")</f>
        <v>15</v>
      </c>
      <c r="Q37" s="13">
        <f t="shared" si="11"/>
        <v>15</v>
      </c>
      <c r="R37" s="13">
        <f t="shared" si="12"/>
        <v>15</v>
      </c>
    </row>
    <row r="38" spans="1:18">
      <c r="A38" t="s">
        <v>164</v>
      </c>
      <c r="B38" t="str">
        <f>INDEX(Visits!$A$1:$AI$336,MATCH('Manual Cleanup'!$A38,Visits!$E$1:$E$336,0),MATCH('Manual Cleanup'!B$1,Visits!$A$1:$AI$1,0))</f>
        <v>Rowan</v>
      </c>
      <c r="C38" t="str">
        <f>INDEX(Visits!$A$1:$AI$336,MATCH('Manual Cleanup'!$A38,Visits!$E$1:$E$336,0),MATCH('Manual Cleanup'!C$1,Visits!$A$1:$AI$1,0))</f>
        <v>El Atrache</v>
      </c>
      <c r="G38" s="1" cm="1">
        <f t="array" ref="G38">MAX(_xlfn._xlws.FILTER(Visits!AF:AF,Visits!W:W='Manual Cleanup'!A38))</f>
        <v>45437</v>
      </c>
      <c r="H38">
        <f>COUNTIF(Visits!$E$2:$E$90,'Manual Cleanup'!$A38)</f>
        <v>1</v>
      </c>
      <c r="I38">
        <f>COUNTIFS(Visits!$E$2:$E$90,'Manual Cleanup'!$A36,Visits!$AF$2:$AF$90,"&gt;4/20/24")</f>
        <v>0</v>
      </c>
      <c r="J38" s="19">
        <f>COUNTIFS(Visits!$E$2:$E$90,'Manual Cleanup'!$A38,Visits!$AF$2:$AF$90,"&gt;3/28/24")</f>
        <v>1</v>
      </c>
      <c r="K38">
        <f>COUNTIFS(Visits!$E$2:$E$90,'Manual Cleanup'!$A36,Visits!$AF$2:$AF$90,"&lt;3/28/24")</f>
        <v>0</v>
      </c>
      <c r="L38">
        <f t="shared" si="8"/>
        <v>0</v>
      </c>
      <c r="M38">
        <f t="shared" si="9"/>
        <v>1</v>
      </c>
      <c r="N38">
        <f t="shared" si="10"/>
        <v>0</v>
      </c>
      <c r="O38" s="4">
        <f>SUMIF(Visits!$E$2:$E$90,'Manual Cleanup'!$A38,Visits!$T$2:$T$90)</f>
        <v>15</v>
      </c>
      <c r="P38" s="4">
        <f>SUMIFS(Visits!$T$2:$T$90,Visits!$E$2:$E$90,'Manual Cleanup'!$A38,Visits!$AF$2:$AF$90,"&gt;3/28/24")</f>
        <v>15</v>
      </c>
      <c r="Q38" s="13">
        <f t="shared" si="11"/>
        <v>15</v>
      </c>
      <c r="R38" s="13">
        <f t="shared" si="12"/>
        <v>15</v>
      </c>
    </row>
    <row r="39" spans="1:18">
      <c r="A39" t="s">
        <v>165</v>
      </c>
      <c r="B39" t="str">
        <f>INDEX(Visits!$A$1:$AI$336,MATCH('Manual Cleanup'!$A39,Visits!$E$1:$E$336,0),MATCH('Manual Cleanup'!B$1,Visits!$A$1:$AI$1,0))</f>
        <v>Anahita</v>
      </c>
      <c r="C39" t="str">
        <f>INDEX(Visits!$A$1:$AI$336,MATCH('Manual Cleanup'!$A39,Visits!$E$1:$E$336,0),MATCH('Manual Cleanup'!C$1,Visits!$A$1:$AI$1,0))</f>
        <v>Yousefi</v>
      </c>
      <c r="G39" s="1" cm="1">
        <f t="array" ref="G39">MAX(_xlfn._xlws.FILTER(Visits!AF:AF,Visits!W:W='Manual Cleanup'!A39))</f>
        <v>45388</v>
      </c>
      <c r="H39">
        <f>COUNTIF(Visits!$E$2:$E$90,'Manual Cleanup'!$A39)</f>
        <v>1</v>
      </c>
      <c r="I39">
        <f>COUNTIFS(Visits!$E$2:$E$90,'Manual Cleanup'!$D33,Visits!$AF$2:$AF$90,"&gt;4/20/24")</f>
        <v>0</v>
      </c>
      <c r="J39" s="19">
        <f>COUNTIFS(Visits!$E$2:$E$90,'Manual Cleanup'!$A39,Visits!$AF$2:$AF$90,"&gt;3/28/24")</f>
        <v>1</v>
      </c>
      <c r="K39">
        <f>COUNTIFS(Visits!$E$2:$E$90,'Manual Cleanup'!$D33,Visits!$AF$2:$AF$90,"&lt;3/28/24")</f>
        <v>0</v>
      </c>
      <c r="L39">
        <f t="shared" si="8"/>
        <v>0</v>
      </c>
      <c r="M39">
        <f t="shared" si="9"/>
        <v>1</v>
      </c>
      <c r="N39">
        <f t="shared" si="10"/>
        <v>0</v>
      </c>
      <c r="O39" s="4">
        <f>SUMIF(Visits!$E$2:$E$90,'Manual Cleanup'!$A39,Visits!$T$2:$T$90)</f>
        <v>15</v>
      </c>
      <c r="P39" s="4">
        <f>SUMIFS(Visits!$T$2:$T$90,Visits!$E$2:$E$90,'Manual Cleanup'!$A39,Visits!$AF$2:$AF$90,"&gt;3/28/24")</f>
        <v>15</v>
      </c>
      <c r="Q39" s="13">
        <f t="shared" si="11"/>
        <v>15</v>
      </c>
      <c r="R39" s="13">
        <f t="shared" si="12"/>
        <v>15</v>
      </c>
    </row>
    <row r="40" spans="1:18">
      <c r="A40" t="s">
        <v>166</v>
      </c>
      <c r="B40" t="str">
        <f>INDEX(Visits!$A$1:$AI$336,MATCH('Manual Cleanup'!$A40,Visits!$E$1:$E$336,0),MATCH('Manual Cleanup'!B$1,Visits!$A$1:$AI$1,0))</f>
        <v>Davide</v>
      </c>
      <c r="C40" t="str">
        <f>INDEX(Visits!$A$1:$AI$336,MATCH('Manual Cleanup'!$A40,Visits!$E$1:$E$336,0),MATCH('Manual Cleanup'!C$1,Visits!$A$1:$AI$1,0))</f>
        <v>Veronese</v>
      </c>
      <c r="G40" s="1" cm="1">
        <f t="array" ref="G40">MAX(_xlfn._xlws.FILTER(Visits!AF:AF,Visits!W:W='Manual Cleanup'!A40))</f>
        <v>45437</v>
      </c>
      <c r="H40">
        <f>COUNTIF(Visits!$E$2:$E$90,'Manual Cleanup'!$A40)</f>
        <v>1</v>
      </c>
      <c r="I40">
        <f>COUNTIFS(Visits!$E$2:$E$90,'Manual Cleanup'!$A38,Visits!$AF$2:$AF$90,"&gt;4/20/24")</f>
        <v>0</v>
      </c>
      <c r="J40" s="19">
        <f>COUNTIFS(Visits!$E$2:$E$90,'Manual Cleanup'!$A40,Visits!$AF$2:$AF$90,"&gt;3/28/24")</f>
        <v>1</v>
      </c>
      <c r="K40">
        <f>COUNTIFS(Visits!$E$2:$E$90,'Manual Cleanup'!$A38,Visits!$AF$2:$AF$90,"&lt;3/28/24")</f>
        <v>0</v>
      </c>
      <c r="L40">
        <f t="shared" si="8"/>
        <v>0</v>
      </c>
      <c r="M40">
        <f t="shared" si="9"/>
        <v>1</v>
      </c>
      <c r="N40">
        <f t="shared" si="10"/>
        <v>0</v>
      </c>
      <c r="O40" s="4">
        <f>SUMIF(Visits!$E$2:$E$90,'Manual Cleanup'!$A40,Visits!$T$2:$T$90)</f>
        <v>15</v>
      </c>
      <c r="P40" s="4">
        <f>SUMIFS(Visits!$T$2:$T$90,Visits!$E$2:$E$90,'Manual Cleanup'!$A40,Visits!$AF$2:$AF$90,"&gt;3/28/24")</f>
        <v>15</v>
      </c>
      <c r="Q40" s="13">
        <f t="shared" si="11"/>
        <v>15</v>
      </c>
      <c r="R40" s="13">
        <f t="shared" si="12"/>
        <v>15</v>
      </c>
    </row>
    <row r="41" spans="1:18">
      <c r="A41" t="s">
        <v>167</v>
      </c>
      <c r="B41" t="str">
        <f>INDEX(Visits!$A$1:$AI$336,MATCH('Manual Cleanup'!$A41,Visits!$E$1:$E$336,0),MATCH('Manual Cleanup'!B$1,Visits!$A$1:$AI$1,0))</f>
        <v>Isadora</v>
      </c>
      <c r="C41" t="str">
        <f>INDEX(Visits!$A$1:$AI$336,MATCH('Manual Cleanup'!$A41,Visits!$E$1:$E$336,0),MATCH('Manual Cleanup'!C$1,Visits!$A$1:$AI$1,0))</f>
        <v>de Miranda Mello Taam</v>
      </c>
      <c r="G41" s="1" cm="1">
        <f t="array" ref="G41">MAX(_xlfn._xlws.FILTER(Visits!AF:AF,Visits!W:W='Manual Cleanup'!A41))</f>
        <v>45388</v>
      </c>
      <c r="H41">
        <f>COUNTIF(Visits!$E$2:$E$90,'Manual Cleanup'!$A41)</f>
        <v>1</v>
      </c>
      <c r="I41">
        <f>COUNTIFS(Visits!$E$2:$E$90,'Manual Cleanup'!$A39,Visits!$AF$2:$AF$90,"&gt;4/20/24")</f>
        <v>0</v>
      </c>
      <c r="J41" s="19">
        <f>COUNTIFS(Visits!$E$2:$E$90,'Manual Cleanup'!$A41,Visits!$AF$2:$AF$90,"&gt;3/28/24")</f>
        <v>1</v>
      </c>
      <c r="K41">
        <f>COUNTIFS(Visits!$E$2:$E$90,'Manual Cleanup'!$A39,Visits!$AF$2:$AF$90,"&lt;3/28/24")</f>
        <v>0</v>
      </c>
      <c r="L41">
        <f t="shared" si="8"/>
        <v>0</v>
      </c>
      <c r="M41">
        <f t="shared" si="9"/>
        <v>1</v>
      </c>
      <c r="N41">
        <f t="shared" si="10"/>
        <v>0</v>
      </c>
      <c r="O41" s="4">
        <f>SUMIF(Visits!$E$2:$E$90,'Manual Cleanup'!$A41,Visits!$T$2:$T$90)</f>
        <v>15</v>
      </c>
      <c r="P41" s="4">
        <f>SUMIFS(Visits!$T$2:$T$90,Visits!$E$2:$E$90,'Manual Cleanup'!$A41,Visits!$AF$2:$AF$90,"&gt;3/28/24")</f>
        <v>15</v>
      </c>
      <c r="Q41" s="13">
        <f t="shared" si="11"/>
        <v>15</v>
      </c>
      <c r="R41" s="13">
        <f t="shared" si="12"/>
        <v>15</v>
      </c>
    </row>
    <row r="42" spans="1:18">
      <c r="A42" t="s">
        <v>168</v>
      </c>
      <c r="B42" t="str">
        <f>INDEX(Visits!$A$1:$AI$336,MATCH('Manual Cleanup'!$A42,Visits!$E$1:$E$336,0),MATCH('Manual Cleanup'!B$1,Visits!$A$1:$AI$1,0))</f>
        <v>Tanvi</v>
      </c>
      <c r="C42" t="str">
        <f>INDEX(Visits!$A$1:$AI$336,MATCH('Manual Cleanup'!$A42,Visits!$E$1:$E$336,0),MATCH('Manual Cleanup'!C$1,Visits!$A$1:$AI$1,0))</f>
        <v>Sethi</v>
      </c>
      <c r="G42" s="1" cm="1">
        <f t="array" ref="G42">MAX(_xlfn._xlws.FILTER(Visits!AF:AF,Visits!W:W='Manual Cleanup'!A42))</f>
        <v>45492</v>
      </c>
      <c r="H42">
        <f>COUNTIF(Visits!$E$2:$E$90,'Manual Cleanup'!$A42)</f>
        <v>1</v>
      </c>
      <c r="I42">
        <f>COUNTIFS(Visits!$E$2:$E$90,'Manual Cleanup'!$A40,Visits!$AF$2:$AF$90,"&gt;4/20/24")</f>
        <v>0</v>
      </c>
      <c r="J42" s="19">
        <f>COUNTIFS(Visits!$E$2:$E$90,'Manual Cleanup'!$A42,Visits!$AF$2:$AF$90,"&gt;3/28/24")</f>
        <v>1</v>
      </c>
      <c r="K42">
        <f>COUNTIFS(Visits!$E$2:$E$90,'Manual Cleanup'!$A40,Visits!$AF$2:$AF$90,"&lt;3/28/24")</f>
        <v>0</v>
      </c>
      <c r="L42">
        <f t="shared" si="8"/>
        <v>0</v>
      </c>
      <c r="M42">
        <f t="shared" si="9"/>
        <v>1</v>
      </c>
      <c r="N42">
        <f t="shared" si="10"/>
        <v>0</v>
      </c>
      <c r="O42" s="4">
        <f>SUMIF(Visits!$E$2:$E$90,'Manual Cleanup'!$A42,Visits!$T$2:$T$90)</f>
        <v>15</v>
      </c>
      <c r="P42" s="4">
        <f>SUMIFS(Visits!$T$2:$T$90,Visits!$E$2:$E$90,'Manual Cleanup'!$A42,Visits!$AF$2:$AF$90,"&gt;3/28/24")</f>
        <v>15</v>
      </c>
      <c r="Q42" s="13">
        <f t="shared" si="11"/>
        <v>15</v>
      </c>
      <c r="R42" s="13">
        <f t="shared" si="12"/>
        <v>15</v>
      </c>
    </row>
    <row r="43" spans="1:18">
      <c r="A43" t="s">
        <v>169</v>
      </c>
      <c r="B43" t="str">
        <f>INDEX(Visits!$A$1:$AI$336,MATCH('Manual Cleanup'!$A43,Visits!$E$1:$E$336,0),MATCH('Manual Cleanup'!B$1,Visits!$A$1:$AI$1,0))</f>
        <v>zinab</v>
      </c>
      <c r="C43" t="str">
        <f>INDEX(Visits!$A$1:$AI$336,MATCH('Manual Cleanup'!$A43,Visits!$E$1:$E$336,0),MATCH('Manual Cleanup'!C$1,Visits!$A$1:$AI$1,0))</f>
        <v>al ramathany</v>
      </c>
      <c r="G43" s="1" cm="1">
        <f t="array" ref="G43">MAX(_xlfn._xlws.FILTER(Visits!AF:AF,Visits!W:W='Manual Cleanup'!A43))</f>
        <v>45402</v>
      </c>
      <c r="H43">
        <f>COUNTIF(Visits!$E$2:$E$90,'Manual Cleanup'!$A43)</f>
        <v>2</v>
      </c>
      <c r="I43">
        <f>COUNTIFS(Visits!$E$2:$E$90,'Manual Cleanup'!$A41,Visits!$AF$2:$AF$90,"&gt;4/20/24")</f>
        <v>0</v>
      </c>
      <c r="J43" s="19">
        <f>COUNTIFS(Visits!$E$2:$E$90,'Manual Cleanup'!$A43,Visits!$AF$2:$AF$90,"&gt;3/28/24")</f>
        <v>2</v>
      </c>
      <c r="K43">
        <f>COUNTIFS(Visits!$E$2:$E$90,'Manual Cleanup'!$A41,Visits!$AF$2:$AF$90,"&lt;3/28/24")</f>
        <v>0</v>
      </c>
      <c r="L43">
        <f t="shared" si="8"/>
        <v>0</v>
      </c>
      <c r="M43">
        <f t="shared" si="9"/>
        <v>1</v>
      </c>
      <c r="N43">
        <f t="shared" si="10"/>
        <v>0</v>
      </c>
      <c r="O43" s="4">
        <f>SUMIF(Visits!$E$2:$E$90,'Manual Cleanup'!$A43,Visits!$T$2:$T$90)</f>
        <v>15</v>
      </c>
      <c r="P43" s="4">
        <f>SUMIFS(Visits!$T$2:$T$90,Visits!$E$2:$E$90,'Manual Cleanup'!$A43,Visits!$AF$2:$AF$90,"&gt;3/28/24")</f>
        <v>15</v>
      </c>
      <c r="Q43" s="13">
        <f t="shared" si="11"/>
        <v>7.5</v>
      </c>
      <c r="R43" s="13">
        <f t="shared" si="12"/>
        <v>7.5</v>
      </c>
    </row>
    <row r="44" spans="1:18">
      <c r="A44" t="s">
        <v>170</v>
      </c>
      <c r="B44" t="str">
        <f>INDEX(Visits!$A$1:$AI$336,MATCH('Manual Cleanup'!$A44,Visits!$E$1:$E$336,0),MATCH('Manual Cleanup'!B$1,Visits!$A$1:$AI$1,0))</f>
        <v>Win</v>
      </c>
      <c r="C44" t="str">
        <f>INDEX(Visits!$A$1:$AI$336,MATCH('Manual Cleanup'!$A44,Visits!$E$1:$E$336,0),MATCH('Manual Cleanup'!C$1,Visits!$A$1:$AI$1,0))</f>
        <v>Man</v>
      </c>
      <c r="G44" s="1" cm="1">
        <f t="array" ref="G44">MAX(_xlfn._xlws.FILTER(Visits!AF:AF,Visits!W:W='Manual Cleanup'!A44))</f>
        <v>45499</v>
      </c>
      <c r="H44">
        <f>COUNTIF(Visits!$E$2:$E$90,'Manual Cleanup'!$A44)</f>
        <v>1</v>
      </c>
      <c r="I44">
        <f>COUNTIFS(Visits!$E$2:$E$90,'Manual Cleanup'!$A42,Visits!$AF$2:$AF$90,"&gt;4/20/24")</f>
        <v>0</v>
      </c>
      <c r="J44" s="19">
        <f>COUNTIFS(Visits!$E$2:$E$90,'Manual Cleanup'!$A44,Visits!$AF$2:$AF$90,"&gt;3/28/24")</f>
        <v>1</v>
      </c>
      <c r="K44">
        <f>COUNTIFS(Visits!$E$2:$E$90,'Manual Cleanup'!$A42,Visits!$AF$2:$AF$90,"&lt;3/28/24")</f>
        <v>0</v>
      </c>
      <c r="L44">
        <f t="shared" si="8"/>
        <v>0</v>
      </c>
      <c r="M44">
        <f t="shared" si="9"/>
        <v>1</v>
      </c>
      <c r="N44">
        <f t="shared" si="10"/>
        <v>0</v>
      </c>
      <c r="O44" s="4">
        <f>SUMIF(Visits!$E$2:$E$90,'Manual Cleanup'!$A44,Visits!$T$2:$T$90)</f>
        <v>15</v>
      </c>
      <c r="P44" s="4">
        <f>SUMIFS(Visits!$T$2:$T$90,Visits!$E$2:$E$90,'Manual Cleanup'!$A44,Visits!$AF$2:$AF$90,"&gt;3/28/24")</f>
        <v>15</v>
      </c>
      <c r="Q44" s="13">
        <f t="shared" si="11"/>
        <v>15</v>
      </c>
      <c r="R44" s="13">
        <f t="shared" si="12"/>
        <v>15</v>
      </c>
    </row>
    <row r="45" spans="1:18">
      <c r="A45" t="s">
        <v>171</v>
      </c>
      <c r="B45" t="str">
        <f>INDEX(Visits!$A$1:$AI$336,MATCH('Manual Cleanup'!$A45,Visits!$E$1:$E$336,0),MATCH('Manual Cleanup'!B$1,Visits!$A$1:$AI$1,0))</f>
        <v>Elena</v>
      </c>
      <c r="C45" t="str">
        <f>INDEX(Visits!$A$1:$AI$336,MATCH('Manual Cleanup'!$A45,Visits!$E$1:$E$336,0),MATCH('Manual Cleanup'!C$1,Visits!$A$1:$AI$1,0))</f>
        <v>Kuvshinnikova</v>
      </c>
      <c r="G45" s="1" cm="1">
        <f t="array" ref="G45">MAX(_xlfn._xlws.FILTER(Visits!AF:AF,Visits!W:W='Manual Cleanup'!A45))</f>
        <v>45395</v>
      </c>
      <c r="H45">
        <f>COUNTIF(Visits!$E$2:$E$90,'Manual Cleanup'!$A45)</f>
        <v>1</v>
      </c>
      <c r="I45">
        <f>COUNTIFS(Visits!$E$2:$E$90,'Manual Cleanup'!$A43,Visits!$AF$2:$AF$90,"&gt;4/20/24")</f>
        <v>0</v>
      </c>
      <c r="J45" s="19">
        <f>COUNTIFS(Visits!$E$2:$E$90,'Manual Cleanup'!$A45,Visits!$AF$2:$AF$90,"&gt;3/28/24")</f>
        <v>1</v>
      </c>
      <c r="K45">
        <f>COUNTIFS(Visits!$E$2:$E$90,'Manual Cleanup'!$A43,Visits!$AF$2:$AF$90,"&lt;3/28/24")</f>
        <v>0</v>
      </c>
      <c r="L45">
        <f t="shared" si="8"/>
        <v>0</v>
      </c>
      <c r="M45">
        <f t="shared" si="9"/>
        <v>1</v>
      </c>
      <c r="N45">
        <f t="shared" si="10"/>
        <v>0</v>
      </c>
      <c r="O45" s="4">
        <f>SUMIF(Visits!$E$2:$E$90,'Manual Cleanup'!$A45,Visits!$T$2:$T$90)</f>
        <v>15</v>
      </c>
      <c r="P45" s="4">
        <f>SUMIFS(Visits!$T$2:$T$90,Visits!$E$2:$E$90,'Manual Cleanup'!$A45,Visits!$AF$2:$AF$90,"&gt;3/28/24")</f>
        <v>15</v>
      </c>
      <c r="Q45" s="13">
        <f t="shared" si="11"/>
        <v>15</v>
      </c>
      <c r="R45" s="13">
        <f t="shared" si="12"/>
        <v>15</v>
      </c>
    </row>
    <row r="46" spans="1:18">
      <c r="A46" t="s">
        <v>172</v>
      </c>
      <c r="B46" t="str">
        <f>INDEX(Visits!$A$1:$AI$336,MATCH('Manual Cleanup'!$A46,Visits!$E$1:$E$336,0),MATCH('Manual Cleanup'!B$1,Visits!$A$1:$AI$1,0))</f>
        <v>Yasemin</v>
      </c>
      <c r="C46" t="str">
        <f>INDEX(Visits!$A$1:$AI$336,MATCH('Manual Cleanup'!$A46,Visits!$E$1:$E$336,0),MATCH('Manual Cleanup'!C$1,Visits!$A$1:$AI$1,0))</f>
        <v>Mermer</v>
      </c>
      <c r="G46" s="1" cm="1">
        <f t="array" ref="G46">MAX(_xlfn._xlws.FILTER(Visits!AF:AF,Visits!W:W='Manual Cleanup'!A46))</f>
        <v>45395</v>
      </c>
      <c r="H46">
        <f>COUNTIF(Visits!$E$2:$E$90,'Manual Cleanup'!$A46)</f>
        <v>1</v>
      </c>
      <c r="I46">
        <f>COUNTIFS(Visits!$E$2:$E$90,'Manual Cleanup'!$A44,Visits!$AF$2:$AF$90,"&gt;4/20/24")</f>
        <v>0</v>
      </c>
      <c r="J46" s="19">
        <f>COUNTIFS(Visits!$E$2:$E$90,'Manual Cleanup'!$A46,Visits!$AF$2:$AF$90,"&gt;3/28/24")</f>
        <v>1</v>
      </c>
      <c r="K46">
        <f>COUNTIFS(Visits!$E$2:$E$90,'Manual Cleanup'!$A44,Visits!$AF$2:$AF$90,"&lt;3/28/24")</f>
        <v>0</v>
      </c>
      <c r="L46">
        <f t="shared" si="8"/>
        <v>0</v>
      </c>
      <c r="M46">
        <f t="shared" si="9"/>
        <v>1</v>
      </c>
      <c r="N46">
        <f t="shared" si="10"/>
        <v>0</v>
      </c>
      <c r="O46" s="4">
        <f>SUMIF(Visits!$E$2:$E$90,'Manual Cleanup'!$A46,Visits!$T$2:$T$90)</f>
        <v>15</v>
      </c>
      <c r="P46" s="4">
        <f>SUMIFS(Visits!$T$2:$T$90,Visits!$E$2:$E$90,'Manual Cleanup'!$A46,Visits!$AF$2:$AF$90,"&gt;3/28/24")</f>
        <v>15</v>
      </c>
      <c r="Q46" s="13">
        <f t="shared" si="11"/>
        <v>15</v>
      </c>
      <c r="R46" s="13">
        <f t="shared" si="12"/>
        <v>15</v>
      </c>
    </row>
    <row r="47" spans="1:18">
      <c r="A47" t="s">
        <v>173</v>
      </c>
      <c r="B47" t="str">
        <f>INDEX(Visits!$A$1:$AI$336,MATCH('Manual Cleanup'!$A47,Visits!$E$1:$E$336,0),MATCH('Manual Cleanup'!B$1,Visits!$A$1:$AI$1,0))</f>
        <v>Alina</v>
      </c>
      <c r="C47" t="str">
        <f>INDEX(Visits!$A$1:$AI$336,MATCH('Manual Cleanup'!$A47,Visits!$E$1:$E$336,0),MATCH('Manual Cleanup'!C$1,Visits!$A$1:$AI$1,0))</f>
        <v>Galimova</v>
      </c>
      <c r="G47" s="1" cm="1">
        <f t="array" ref="G47">MAX(_xlfn._xlws.FILTER(Visits!AF:AF,Visits!W:W='Manual Cleanup'!A47))</f>
        <v>45393</v>
      </c>
      <c r="H47">
        <f>COUNTIF(Visits!$E$2:$E$90,'Manual Cleanup'!$A47)</f>
        <v>1</v>
      </c>
      <c r="I47">
        <f>COUNTIFS(Visits!$E$2:$E$90,'Manual Cleanup'!$A45,Visits!$AF$2:$AF$90,"&gt;4/20/24")</f>
        <v>0</v>
      </c>
      <c r="J47" s="19">
        <f>COUNTIFS(Visits!$E$2:$E$90,'Manual Cleanup'!$A47,Visits!$AF$2:$AF$90,"&gt;3/28/24")</f>
        <v>1</v>
      </c>
      <c r="K47">
        <f>COUNTIFS(Visits!$E$2:$E$90,'Manual Cleanup'!$A45,Visits!$AF$2:$AF$90,"&lt;3/28/24")</f>
        <v>0</v>
      </c>
      <c r="L47">
        <f t="shared" si="8"/>
        <v>0</v>
      </c>
      <c r="M47">
        <f t="shared" si="9"/>
        <v>1</v>
      </c>
      <c r="N47">
        <f t="shared" si="10"/>
        <v>0</v>
      </c>
      <c r="O47" s="4">
        <f>SUMIF(Visits!$E$2:$E$90,'Manual Cleanup'!$A47,Visits!$T$2:$T$90)</f>
        <v>10</v>
      </c>
      <c r="P47" s="4">
        <f>SUMIFS(Visits!$T$2:$T$90,Visits!$E$2:$E$90,'Manual Cleanup'!$A47,Visits!$AF$2:$AF$90,"&gt;3/28/24")</f>
        <v>10</v>
      </c>
      <c r="Q47" s="13">
        <f t="shared" si="11"/>
        <v>10</v>
      </c>
      <c r="R47" s="13">
        <f t="shared" si="12"/>
        <v>10</v>
      </c>
    </row>
    <row r="48" spans="1:18">
      <c r="A48" t="s">
        <v>174</v>
      </c>
      <c r="B48" t="str">
        <f>INDEX(Visits!$A$1:$AI$336,MATCH('Manual Cleanup'!$A48,Visits!$E$1:$E$336,0),MATCH('Manual Cleanup'!B$1,Visits!$A$1:$AI$1,0))</f>
        <v>Egemen</v>
      </c>
      <c r="C48" t="str">
        <f>INDEX(Visits!$A$1:$AI$336,MATCH('Manual Cleanup'!$A48,Visits!$E$1:$E$336,0),MATCH('Manual Cleanup'!C$1,Visits!$A$1:$AI$1,0))</f>
        <v>U</v>
      </c>
      <c r="G48" s="1" cm="1">
        <f t="array" ref="G48">MAX(_xlfn._xlws.FILTER(Visits!AF:AF,Visits!W:W='Manual Cleanup'!A48))</f>
        <v>45395</v>
      </c>
      <c r="H48">
        <f>COUNTIF(Visits!$E$2:$E$90,'Manual Cleanup'!$A48)</f>
        <v>1</v>
      </c>
      <c r="I48">
        <f>COUNTIFS(Visits!$E$2:$E$90,'Manual Cleanup'!$A47,Visits!$AF$2:$AF$90,"&gt;4/20/24")</f>
        <v>0</v>
      </c>
      <c r="J48" s="19">
        <f>COUNTIFS(Visits!$E$2:$E$90,'Manual Cleanup'!$A48,Visits!$AF$2:$AF$90,"&gt;3/28/24")</f>
        <v>1</v>
      </c>
      <c r="K48">
        <f>COUNTIFS(Visits!$E$2:$E$90,'Manual Cleanup'!$A47,Visits!$AF$2:$AF$90,"&lt;3/28/24")</f>
        <v>0</v>
      </c>
      <c r="L48">
        <f t="shared" si="8"/>
        <v>0</v>
      </c>
      <c r="M48">
        <f t="shared" si="9"/>
        <v>1</v>
      </c>
      <c r="N48">
        <f t="shared" si="10"/>
        <v>0</v>
      </c>
      <c r="O48" s="4">
        <f>SUMIF(Visits!$E$2:$E$90,'Manual Cleanup'!$A48,Visits!$T$2:$T$90)</f>
        <v>10</v>
      </c>
      <c r="P48" s="4">
        <f>SUMIFS(Visits!$T$2:$T$90,Visits!$E$2:$E$90,'Manual Cleanup'!$A48,Visits!$AF$2:$AF$90,"&gt;3/28/24")</f>
        <v>10</v>
      </c>
      <c r="Q48" s="13">
        <f t="shared" si="11"/>
        <v>10</v>
      </c>
      <c r="R48" s="13">
        <f t="shared" si="12"/>
        <v>10</v>
      </c>
    </row>
    <row r="49" spans="1:18">
      <c r="A49" t="s">
        <v>175</v>
      </c>
      <c r="B49" t="str">
        <f>INDEX(Visits!$A$1:$AI$336,MATCH('Manual Cleanup'!$A49,Visits!$E$1:$E$336,0),MATCH('Manual Cleanup'!B$1,Visits!$A$1:$AI$1,0))</f>
        <v>Andrew</v>
      </c>
      <c r="C49" t="str">
        <f>INDEX(Visits!$A$1:$AI$336,MATCH('Manual Cleanup'!$A49,Visits!$E$1:$E$336,0),MATCH('Manual Cleanup'!C$1,Visits!$A$1:$AI$1,0))</f>
        <v>Hetherington</v>
      </c>
      <c r="G49" s="1" cm="1">
        <f t="array" ref="G49">MAX(_xlfn._xlws.FILTER(Visits!AF:AF,Visits!W:W='Manual Cleanup'!A49))</f>
        <v>45403</v>
      </c>
      <c r="H49">
        <f>COUNTIF(Visits!$E$2:$E$90,'Manual Cleanup'!$A49)</f>
        <v>0</v>
      </c>
      <c r="I49">
        <f>COUNTIFS(Visits!$E$2:$E$90,'Manual Cleanup'!$A49,Visits!$AF$2:$AF$90,"&gt;4/20/24")</f>
        <v>0</v>
      </c>
      <c r="J49" s="19">
        <f>COUNTIFS(Visits!$E$2:$E$90,'Manual Cleanup'!$A49,Visits!$AF$2:$AF$90,"&gt;3/28/24")</f>
        <v>0</v>
      </c>
      <c r="K49">
        <f>COUNTIFS(Visits!$E$2:$E$90,'Manual Cleanup'!$A49,Visits!$AF$2:$AF$90,"&lt;3/28/24")</f>
        <v>0</v>
      </c>
      <c r="L49">
        <f t="shared" si="8"/>
        <v>1</v>
      </c>
      <c r="M49">
        <f t="shared" si="9"/>
        <v>0</v>
      </c>
      <c r="N49">
        <f t="shared" si="10"/>
        <v>0</v>
      </c>
      <c r="O49" s="4">
        <f>SUMIF(Visits!$E$2:$E$90,'Manual Cleanup'!$A49,Visits!$T$2:$T$90)</f>
        <v>0</v>
      </c>
      <c r="P49" s="4">
        <f>SUMIFS(Visits!$T$2:$T$90,Visits!$E$2:$E$90,'Manual Cleanup'!$A49,Visits!$AF$2:$AF$90,"&gt;3/28/24")</f>
        <v>0</v>
      </c>
      <c r="Q49" s="13" t="e">
        <f t="shared" si="11"/>
        <v>#DIV/0!</v>
      </c>
      <c r="R49" s="13" t="str">
        <f t="shared" si="12"/>
        <v>n/a</v>
      </c>
    </row>
    <row r="50" spans="1:18">
      <c r="A50" t="s">
        <v>176</v>
      </c>
      <c r="B50" t="str">
        <f>INDEX(Visits!$A$1:$AI$336,MATCH('Manual Cleanup'!$A50,Visits!$E$1:$E$336,0),MATCH('Manual Cleanup'!B$1,Visits!$A$1:$AI$1,0))</f>
        <v>Tom</v>
      </c>
      <c r="C50" t="str">
        <f>INDEX(Visits!$A$1:$AI$336,MATCH('Manual Cleanup'!$A50,Visits!$E$1:$E$336,0),MATCH('Manual Cleanup'!C$1,Visits!$A$1:$AI$1,0))</f>
        <v>Saville</v>
      </c>
      <c r="G50" s="1" cm="1">
        <f t="array" ref="G50">MAX(_xlfn._xlws.FILTER(Visits!AF:AF,Visits!W:W='Manual Cleanup'!A50))</f>
        <v>45403</v>
      </c>
      <c r="H50">
        <f>COUNTIF(Visits!$E$2:$E$90,'Manual Cleanup'!$A50)</f>
        <v>1</v>
      </c>
      <c r="I50">
        <f>COUNTIFS(Visits!$E$2:$E$90,'Manual Cleanup'!$A50,Visits!$AF$2:$AF$90,"&gt;4/20/24")</f>
        <v>0</v>
      </c>
      <c r="J50" s="19">
        <f>COUNTIFS(Visits!$E$2:$E$90,'Manual Cleanup'!$A50,Visits!$AF$2:$AF$90,"&gt;3/28/24")</f>
        <v>1</v>
      </c>
      <c r="K50">
        <f>COUNTIFS(Visits!$E$2:$E$90,'Manual Cleanup'!$A50,Visits!$AF$2:$AF$90,"&lt;3/28/24")</f>
        <v>0</v>
      </c>
      <c r="L50">
        <f t="shared" si="8"/>
        <v>0</v>
      </c>
      <c r="M50">
        <f t="shared" si="9"/>
        <v>1</v>
      </c>
      <c r="N50">
        <f t="shared" si="10"/>
        <v>0</v>
      </c>
      <c r="O50" s="4">
        <f>SUMIF(Visits!$E$2:$E$90,'Manual Cleanup'!$A50,Visits!$T$2:$T$90)</f>
        <v>0</v>
      </c>
      <c r="P50" s="4">
        <f>SUMIFS(Visits!$T$2:$T$90,Visits!$E$2:$E$90,'Manual Cleanup'!$A50,Visits!$AF$2:$AF$90,"&gt;3/28/24")</f>
        <v>0</v>
      </c>
      <c r="Q50" s="13">
        <f t="shared" si="11"/>
        <v>0</v>
      </c>
      <c r="R50" s="13">
        <f t="shared" si="12"/>
        <v>0</v>
      </c>
    </row>
    <row r="51" spans="1:18">
      <c r="A51" t="s">
        <v>177</v>
      </c>
      <c r="B51" t="str">
        <f>INDEX(Visits!$A$1:$AI$336,MATCH('Manual Cleanup'!$A51,Visits!$E$1:$E$336,0),MATCH('Manual Cleanup'!B$1,Visits!$A$1:$AI$1,0))</f>
        <v>Pragyapti</v>
      </c>
      <c r="C51" t="str">
        <f>INDEX(Visits!$A$1:$AI$336,MATCH('Manual Cleanup'!$A51,Visits!$E$1:$E$336,0),MATCH('Manual Cleanup'!C$1,Visits!$A$1:$AI$1,0))</f>
        <v>Bhandari</v>
      </c>
      <c r="G51" s="1" cm="1">
        <f t="array" ref="G51">MAX(_xlfn._xlws.FILTER(Visits!AF:AF,Visits!W:W='Manual Cleanup'!A51))</f>
        <v>45403</v>
      </c>
      <c r="H51">
        <f>COUNTIF(Visits!$E$2:$E$90,'Manual Cleanup'!$A51)</f>
        <v>0</v>
      </c>
      <c r="I51">
        <f>COUNTIFS(Visits!$E$2:$E$90,'Manual Cleanup'!$A51,Visits!$AF$2:$AF$90,"&gt;4/20/24")</f>
        <v>0</v>
      </c>
      <c r="J51" s="19">
        <f>COUNTIFS(Visits!$E$2:$E$90,'Manual Cleanup'!$A51,Visits!$AF$2:$AF$90,"&gt;3/28/24")</f>
        <v>0</v>
      </c>
      <c r="K51">
        <f>COUNTIFS(Visits!$E$2:$E$90,'Manual Cleanup'!$A51,Visits!$AF$2:$AF$90,"&lt;3/28/24")</f>
        <v>0</v>
      </c>
      <c r="L51">
        <f t="shared" si="8"/>
        <v>1</v>
      </c>
      <c r="M51">
        <f t="shared" si="9"/>
        <v>0</v>
      </c>
      <c r="N51">
        <f t="shared" si="10"/>
        <v>0</v>
      </c>
      <c r="O51" s="4">
        <f>SUMIF(Visits!$E$2:$E$90,'Manual Cleanup'!$A51,Visits!$T$2:$T$90)</f>
        <v>0</v>
      </c>
      <c r="P51" s="4">
        <f>SUMIFS(Visits!$T$2:$T$90,Visits!$E$2:$E$90,'Manual Cleanup'!$A51,Visits!$AF$2:$AF$90,"&gt;3/28/24")</f>
        <v>0</v>
      </c>
      <c r="Q51" s="13" t="e">
        <f t="shared" si="11"/>
        <v>#DIV/0!</v>
      </c>
      <c r="R51" s="13" t="str">
        <f t="shared" si="12"/>
        <v>n/a</v>
      </c>
    </row>
    <row r="52" spans="1:18">
      <c r="A52" t="s">
        <v>178</v>
      </c>
      <c r="B52" t="str">
        <f>INDEX(Visits!$A$1:$AI$336,MATCH('Manual Cleanup'!$A52,Visits!$E$1:$E$336,0),MATCH('Manual Cleanup'!B$1,Visits!$A$1:$AI$1,0))</f>
        <v>Matthew</v>
      </c>
      <c r="C52" t="str">
        <f>INDEX(Visits!$A$1:$AI$336,MATCH('Manual Cleanup'!$A52,Visits!$E$1:$E$336,0),MATCH('Manual Cleanup'!C$1,Visits!$A$1:$AI$1,0))</f>
        <v>Watts</v>
      </c>
      <c r="G52" s="1" cm="1">
        <f t="array" ref="G52">MAX(_xlfn._xlws.FILTER(Visits!AF:AF,Visits!W:W='Manual Cleanup'!A52))</f>
        <v>45442.770833333336</v>
      </c>
      <c r="H52">
        <f>COUNTIF(Visits!$E$2:$E$90,'Manual Cleanup'!$A52)</f>
        <v>1</v>
      </c>
      <c r="I52">
        <f>COUNTIFS(Visits!$E$2:$E$90,'Manual Cleanup'!$A52,Visits!$AF$2:$AF$90,"&gt;4/20/24")</f>
        <v>0</v>
      </c>
      <c r="J52" s="19">
        <f>COUNTIFS(Visits!$E$2:$E$90,'Manual Cleanup'!$A52,Visits!$AF$2:$AF$90,"&gt;3/28/24")</f>
        <v>1</v>
      </c>
      <c r="K52">
        <f>COUNTIFS(Visits!$E$2:$E$90,'Manual Cleanup'!$A52,Visits!$AF$2:$AF$90,"&lt;3/28/24")</f>
        <v>0</v>
      </c>
      <c r="L52">
        <f t="shared" si="8"/>
        <v>0</v>
      </c>
      <c r="M52">
        <f t="shared" si="9"/>
        <v>1</v>
      </c>
      <c r="N52">
        <f t="shared" si="10"/>
        <v>0</v>
      </c>
      <c r="O52" s="4">
        <f>SUMIF(Visits!$E$2:$E$90,'Manual Cleanup'!$A52,Visits!$T$2:$T$90)</f>
        <v>15</v>
      </c>
      <c r="P52" s="4">
        <f>SUMIFS(Visits!$T$2:$T$90,Visits!$E$2:$E$90,'Manual Cleanup'!$A52,Visits!$AF$2:$AF$90,"&gt;3/28/24")</f>
        <v>15</v>
      </c>
      <c r="Q52" s="13">
        <f t="shared" si="11"/>
        <v>15</v>
      </c>
      <c r="R52" s="13">
        <f t="shared" si="12"/>
        <v>15</v>
      </c>
    </row>
    <row r="53" spans="1:18">
      <c r="A53" t="s">
        <v>179</v>
      </c>
      <c r="B53" t="str">
        <f>INDEX(Visits!$A$1:$AI$336,MATCH('Manual Cleanup'!$A53,Visits!$E$1:$E$336,0),MATCH('Manual Cleanup'!B$1,Visits!$A$1:$AI$1,0))</f>
        <v>Jinish</v>
      </c>
      <c r="C53" t="str">
        <f>INDEX(Visits!$A$1:$AI$336,MATCH('Manual Cleanup'!$A53,Visits!$E$1:$E$336,0),MATCH('Manual Cleanup'!C$1,Visits!$A$1:$AI$1,0))</f>
        <v>Gohil</v>
      </c>
      <c r="G53" s="1" cm="1">
        <f t="array" ref="G53">MAX(_xlfn._xlws.FILTER(Visits!AF:AF,Visits!W:W='Manual Cleanup'!A53))</f>
        <v>45402</v>
      </c>
      <c r="H53">
        <f>COUNTIF(Visits!$E$2:$E$90,'Manual Cleanup'!$A53)</f>
        <v>1</v>
      </c>
      <c r="I53">
        <f>COUNTIFS(Visits!$E$2:$E$90,'Manual Cleanup'!$A53,Visits!$AF$2:$AF$90,"&gt;4/20/24")</f>
        <v>0</v>
      </c>
      <c r="J53" s="19">
        <f>COUNTIFS(Visits!$E$2:$E$90,'Manual Cleanup'!$A53,Visits!$AF$2:$AF$90,"&gt;3/28/24")</f>
        <v>1</v>
      </c>
      <c r="K53">
        <f>COUNTIFS(Visits!$E$2:$E$90,'Manual Cleanup'!$A53,Visits!$AF$2:$AF$90,"&lt;3/28/24")</f>
        <v>0</v>
      </c>
      <c r="L53">
        <f t="shared" si="8"/>
        <v>0</v>
      </c>
      <c r="M53">
        <f t="shared" si="9"/>
        <v>1</v>
      </c>
      <c r="N53">
        <f t="shared" si="10"/>
        <v>0</v>
      </c>
      <c r="O53" s="4">
        <f>SUMIF(Visits!$E$2:$E$90,'Manual Cleanup'!$A53,Visits!$T$2:$T$90)</f>
        <v>15</v>
      </c>
      <c r="P53" s="4">
        <f>SUMIFS(Visits!$T$2:$T$90,Visits!$E$2:$E$90,'Manual Cleanup'!$A53,Visits!$AF$2:$AF$90,"&gt;3/28/24")</f>
        <v>15</v>
      </c>
      <c r="Q53" s="13">
        <f t="shared" si="11"/>
        <v>15</v>
      </c>
      <c r="R53" s="13">
        <f t="shared" si="12"/>
        <v>15</v>
      </c>
    </row>
    <row r="54" spans="1:18">
      <c r="A54" t="s">
        <v>180</v>
      </c>
      <c r="B54" t="str">
        <f>INDEX(Visits!$A$1:$AI$336,MATCH('Manual Cleanup'!$A54,Visits!$E$1:$E$336,0),MATCH('Manual Cleanup'!B$1,Visits!$A$1:$AI$1,0))</f>
        <v>Jing</v>
      </c>
      <c r="C54" t="str">
        <f>INDEX(Visits!$A$1:$AI$336,MATCH('Manual Cleanup'!$A54,Visits!$E$1:$E$336,0),MATCH('Manual Cleanup'!C$1,Visits!$A$1:$AI$1,0))</f>
        <v>Zhang</v>
      </c>
      <c r="G54" s="1" cm="1">
        <f t="array" ref="G54">MAX(_xlfn._xlws.FILTER(Visits!AF:AF,Visits!W:W='Manual Cleanup'!A54))</f>
        <v>45402</v>
      </c>
      <c r="H54">
        <f>COUNTIF(Visits!$E$2:$E$90,'Manual Cleanup'!$A54)</f>
        <v>1</v>
      </c>
      <c r="I54">
        <f>COUNTIFS(Visits!$E$2:$E$90,'Manual Cleanup'!$A54,Visits!$AF$2:$AF$90,"&gt;4/20/24")</f>
        <v>0</v>
      </c>
      <c r="J54" s="19">
        <f>COUNTIFS(Visits!$E$2:$E$90,'Manual Cleanup'!$A54,Visits!$AF$2:$AF$90,"&gt;3/28/24")</f>
        <v>1</v>
      </c>
      <c r="K54">
        <f>COUNTIFS(Visits!$E$2:$E$90,'Manual Cleanup'!$A54,Visits!$AF$2:$AF$90,"&lt;3/28/24")</f>
        <v>0</v>
      </c>
      <c r="L54">
        <f t="shared" si="8"/>
        <v>0</v>
      </c>
      <c r="M54">
        <f t="shared" si="9"/>
        <v>1</v>
      </c>
      <c r="N54">
        <f t="shared" si="10"/>
        <v>0</v>
      </c>
      <c r="O54" s="4">
        <f>SUMIF(Visits!$E$2:$E$90,'Manual Cleanup'!$A54,Visits!$T$2:$T$90)</f>
        <v>10</v>
      </c>
      <c r="P54" s="4">
        <f>SUMIFS(Visits!$T$2:$T$90,Visits!$E$2:$E$90,'Manual Cleanup'!$A54,Visits!$AF$2:$AF$90,"&gt;3/28/24")</f>
        <v>10</v>
      </c>
      <c r="Q54" s="13">
        <f t="shared" si="11"/>
        <v>10</v>
      </c>
      <c r="R54" s="13">
        <f t="shared" si="12"/>
        <v>10</v>
      </c>
    </row>
    <row r="55" spans="1:18">
      <c r="A55" t="s">
        <v>181</v>
      </c>
      <c r="B55" t="str">
        <f>INDEX(Visits!$A$1:$AI$336,MATCH('Manual Cleanup'!$A55,Visits!$E$1:$E$336,0),MATCH('Manual Cleanup'!B$1,Visits!$A$1:$AI$1,0))</f>
        <v>Serena</v>
      </c>
      <c r="C55" t="str">
        <f>INDEX(Visits!$A$1:$AI$336,MATCH('Manual Cleanup'!$A55,Visits!$E$1:$E$336,0),MATCH('Manual Cleanup'!C$1,Visits!$A$1:$AI$1,0))</f>
        <v>Or</v>
      </c>
      <c r="E55" t="s">
        <v>120</v>
      </c>
      <c r="G55" s="1" cm="1">
        <f t="array" ref="G55">MAX(_xlfn._xlws.FILTER(Visits!AF:AF,Visits!W:W='Manual Cleanup'!A55))</f>
        <v>45423</v>
      </c>
      <c r="H55">
        <f>COUNTIF(Visits!$E$2:$E$90,'Manual Cleanup'!$A55)</f>
        <v>0</v>
      </c>
      <c r="I55">
        <f>COUNTIFS(Visits!$E$2:$E$90,'Manual Cleanup'!$A55,Visits!$AF$2:$AF$90,"&gt;4/20/24")</f>
        <v>0</v>
      </c>
      <c r="J55" s="19">
        <f>COUNTIFS(Visits!$E$2:$E$90,'Manual Cleanup'!$A55,Visits!$AF$2:$AF$90,"&gt;3/28/24")</f>
        <v>0</v>
      </c>
      <c r="K55">
        <f>COUNTIFS(Visits!$E$2:$E$90,'Manual Cleanup'!$A55,Visits!$AF$2:$AF$90,"&lt;3/28/24")</f>
        <v>0</v>
      </c>
      <c r="L55">
        <f t="shared" si="8"/>
        <v>1</v>
      </c>
      <c r="M55">
        <f t="shared" si="9"/>
        <v>0</v>
      </c>
      <c r="N55">
        <f t="shared" si="10"/>
        <v>0</v>
      </c>
      <c r="O55" s="4">
        <f>SUMIF(Visits!$E$2:$E$90,'Manual Cleanup'!$A55,Visits!$T$2:$T$90)</f>
        <v>0</v>
      </c>
      <c r="P55" s="4">
        <f>SUMIFS(Visits!$T$2:$T$90,Visits!$E$2:$E$90,'Manual Cleanup'!$A55,Visits!$AF$2:$AF$90,"&gt;3/28/24")</f>
        <v>0</v>
      </c>
      <c r="Q55" s="13" t="e">
        <f t="shared" si="11"/>
        <v>#DIV/0!</v>
      </c>
      <c r="R55" s="13" t="str">
        <f t="shared" si="12"/>
        <v>n/a</v>
      </c>
    </row>
    <row r="56" spans="1:18">
      <c r="A56">
        <v>0</v>
      </c>
      <c r="G56" s="1"/>
      <c r="H56"/>
      <c r="I56"/>
      <c r="K56"/>
      <c r="L56"/>
      <c r="M56"/>
      <c r="N56"/>
      <c r="Q56" s="13"/>
      <c r="R56" s="13"/>
    </row>
    <row r="57" spans="1:18">
      <c r="G57" s="1"/>
      <c r="H57"/>
      <c r="I57"/>
      <c r="J57" s="19" t="s">
        <v>121</v>
      </c>
      <c r="K57"/>
      <c r="L57"/>
      <c r="M57"/>
      <c r="N57"/>
      <c r="O57">
        <f>SUM(O2:O5,O17)</f>
        <v>200</v>
      </c>
      <c r="P57">
        <f>SUM(H2:H5,H17)</f>
        <v>16</v>
      </c>
      <c r="Q57">
        <f>SUM(J2:J5,J17)</f>
        <v>14</v>
      </c>
    </row>
    <row r="58" spans="1:18">
      <c r="G58" s="1"/>
      <c r="H58"/>
      <c r="I58"/>
      <c r="J58" s="19" t="s">
        <v>182</v>
      </c>
      <c r="K58"/>
      <c r="L58"/>
      <c r="M58"/>
      <c r="N58"/>
      <c r="O58">
        <f>O57/5</f>
        <v>40</v>
      </c>
      <c r="P58" s="18">
        <f>O57/P57</f>
        <v>12.5</v>
      </c>
      <c r="Q58"/>
    </row>
    <row r="59" spans="1:18">
      <c r="G59" s="1"/>
      <c r="H59"/>
      <c r="I59"/>
      <c r="O59" s="4">
        <f>SUM(P2:P5,P17)</f>
        <v>135</v>
      </c>
      <c r="P59"/>
      <c r="Q59">
        <f>O59/Q57</f>
        <v>9.6428571428571423</v>
      </c>
    </row>
    <row r="60" spans="1:18">
      <c r="G60" s="1"/>
      <c r="H60"/>
      <c r="I60"/>
      <c r="O60" s="4">
        <f>O59/5</f>
        <v>27</v>
      </c>
      <c r="P60"/>
      <c r="Q60"/>
    </row>
    <row r="61" spans="1:18">
      <c r="G61" s="1"/>
      <c r="H61"/>
      <c r="I61"/>
      <c r="K61"/>
      <c r="L61"/>
      <c r="M61"/>
      <c r="N61"/>
      <c r="O61"/>
      <c r="P61"/>
      <c r="Q61"/>
    </row>
    <row r="62" spans="1:18">
      <c r="G62" s="1"/>
      <c r="H62"/>
      <c r="I62"/>
      <c r="J62" s="19" t="s">
        <v>126</v>
      </c>
      <c r="K62"/>
      <c r="L62"/>
      <c r="M62"/>
      <c r="N62"/>
      <c r="O62">
        <f>SUM(O6:O13)</f>
        <v>242</v>
      </c>
      <c r="P62">
        <f>SUM(H6:H13)</f>
        <v>21</v>
      </c>
      <c r="Q62">
        <f>SUM(J6:J13)</f>
        <v>15</v>
      </c>
    </row>
    <row r="63" spans="1:18">
      <c r="G63" s="1"/>
      <c r="H63"/>
      <c r="I63"/>
      <c r="J63" s="19" t="s">
        <v>183</v>
      </c>
      <c r="K63"/>
      <c r="L63"/>
      <c r="M63"/>
      <c r="N63"/>
      <c r="O63">
        <f>O62/7</f>
        <v>34.571428571428569</v>
      </c>
      <c r="P63">
        <f>O62/P62</f>
        <v>11.523809523809524</v>
      </c>
      <c r="Q63"/>
    </row>
    <row r="64" spans="1:18">
      <c r="G64" s="1"/>
      <c r="H64"/>
      <c r="I64"/>
      <c r="K64"/>
      <c r="L64"/>
      <c r="M64"/>
      <c r="N64"/>
      <c r="O64">
        <f>SUM(P6:P13)</f>
        <v>95</v>
      </c>
      <c r="P64"/>
      <c r="Q64">
        <f>O64/Q62</f>
        <v>6.333333333333333</v>
      </c>
    </row>
    <row r="65" spans="1:17">
      <c r="G65" s="1"/>
      <c r="H65"/>
      <c r="I65"/>
      <c r="K65"/>
      <c r="L65"/>
      <c r="M65"/>
      <c r="N65"/>
      <c r="O65">
        <f>O64/7</f>
        <v>13.571428571428571</v>
      </c>
      <c r="P65"/>
      <c r="Q65"/>
    </row>
    <row r="66" spans="1:17">
      <c r="G66" s="1"/>
      <c r="H66"/>
      <c r="I66"/>
      <c r="K66"/>
      <c r="L66"/>
      <c r="M66"/>
      <c r="N66"/>
      <c r="O66"/>
      <c r="P66"/>
      <c r="Q66"/>
    </row>
    <row r="67" spans="1:17">
      <c r="G67" s="1"/>
      <c r="H67">
        <f>AVERAGE(H2:H55)</f>
        <v>1.5740740740740742</v>
      </c>
      <c r="I67"/>
      <c r="J67" s="19">
        <f>AVERAGE(J2:J55)</f>
        <v>1.3148148148148149</v>
      </c>
      <c r="K67"/>
      <c r="L67"/>
      <c r="M67"/>
      <c r="N67"/>
      <c r="O67"/>
      <c r="P67"/>
      <c r="Q67"/>
    </row>
    <row r="68" spans="1:17">
      <c r="G68" s="1"/>
      <c r="H68"/>
      <c r="I68"/>
      <c r="J68" s="19">
        <f>COUNTIF(J2:J55,"&gt;1")</f>
        <v>15</v>
      </c>
      <c r="K68"/>
      <c r="L68"/>
      <c r="M68"/>
      <c r="N68"/>
      <c r="O68"/>
      <c r="P68"/>
      <c r="Q68"/>
    </row>
    <row r="69" spans="1:17">
      <c r="A69" s="2"/>
      <c r="G69" s="1"/>
      <c r="H69"/>
      <c r="I69"/>
      <c r="J69" s="19">
        <f>J68/56</f>
        <v>0.26785714285714285</v>
      </c>
      <c r="K69"/>
      <c r="L69"/>
      <c r="M69"/>
      <c r="N69"/>
      <c r="O69"/>
      <c r="P69"/>
      <c r="Q69"/>
    </row>
    <row r="70" spans="1:17">
      <c r="G70" s="1"/>
      <c r="H70"/>
      <c r="I70"/>
      <c r="J70" s="19">
        <f>7/56</f>
        <v>0.125</v>
      </c>
      <c r="K70"/>
      <c r="L70"/>
      <c r="M70"/>
      <c r="N70"/>
      <c r="O70"/>
      <c r="P70"/>
      <c r="Q70"/>
    </row>
    <row r="71" spans="1:17">
      <c r="G71" s="1"/>
      <c r="H71"/>
      <c r="I71"/>
      <c r="K71"/>
      <c r="L71"/>
      <c r="M71"/>
      <c r="N71"/>
      <c r="O71"/>
      <c r="P71"/>
      <c r="Q71"/>
    </row>
    <row r="72" spans="1:17">
      <c r="G72" s="1"/>
      <c r="H72"/>
      <c r="I72"/>
      <c r="K72"/>
      <c r="L72"/>
      <c r="M72"/>
      <c r="N72"/>
      <c r="O72"/>
      <c r="P72"/>
      <c r="Q72"/>
    </row>
    <row r="73" spans="1:17">
      <c r="G73" s="1"/>
      <c r="H73"/>
      <c r="I73"/>
      <c r="K73"/>
      <c r="L73"/>
      <c r="M73"/>
      <c r="N73"/>
      <c r="O73"/>
      <c r="P73"/>
      <c r="Q73"/>
    </row>
    <row r="74" spans="1:17">
      <c r="G74" s="1"/>
      <c r="H74"/>
      <c r="I74"/>
      <c r="K74"/>
      <c r="L74"/>
      <c r="M74"/>
      <c r="N74"/>
      <c r="O74"/>
      <c r="P74"/>
      <c r="Q74"/>
    </row>
    <row r="75" spans="1:17">
      <c r="G75" s="1"/>
      <c r="H75"/>
      <c r="I75"/>
      <c r="K75"/>
      <c r="L75"/>
      <c r="M75"/>
      <c r="N75"/>
      <c r="O75"/>
      <c r="P75"/>
      <c r="Q75"/>
    </row>
    <row r="76" spans="1:17">
      <c r="G76" s="1"/>
      <c r="H76"/>
      <c r="I76"/>
      <c r="K76"/>
      <c r="L76"/>
      <c r="M76"/>
      <c r="N76"/>
      <c r="O76"/>
      <c r="P76"/>
      <c r="Q76"/>
    </row>
    <row r="77" spans="1:17">
      <c r="G77" s="1"/>
      <c r="H77"/>
      <c r="I77"/>
      <c r="K77"/>
      <c r="L77"/>
      <c r="M77"/>
      <c r="N77"/>
      <c r="O77"/>
      <c r="P77"/>
      <c r="Q77"/>
    </row>
    <row r="78" spans="1:17">
      <c r="G78" s="1"/>
      <c r="H78"/>
      <c r="I78"/>
      <c r="K78"/>
      <c r="L78"/>
      <c r="M78"/>
      <c r="N78"/>
      <c r="O78"/>
      <c r="P78"/>
      <c r="Q78"/>
    </row>
    <row r="79" spans="1:17">
      <c r="G79" s="1"/>
      <c r="H79"/>
      <c r="I79"/>
      <c r="K79"/>
      <c r="L79"/>
      <c r="M79"/>
      <c r="N79"/>
      <c r="O79"/>
      <c r="P79"/>
      <c r="Q79"/>
    </row>
    <row r="80" spans="1:17">
      <c r="G80" s="1"/>
      <c r="H80"/>
      <c r="I80"/>
      <c r="K80"/>
      <c r="L80"/>
      <c r="M80"/>
      <c r="N80"/>
      <c r="O80"/>
      <c r="P80"/>
      <c r="Q80"/>
    </row>
    <row r="81" spans="7:17">
      <c r="G81" s="1"/>
      <c r="H81"/>
      <c r="I81"/>
      <c r="K81"/>
      <c r="L81"/>
      <c r="M81"/>
      <c r="N81"/>
      <c r="O81"/>
      <c r="P81"/>
      <c r="Q81"/>
    </row>
    <row r="82" spans="7:17">
      <c r="G82" s="1"/>
      <c r="H82"/>
      <c r="I82"/>
      <c r="K82"/>
      <c r="L82"/>
      <c r="M82"/>
      <c r="N82"/>
      <c r="O82"/>
      <c r="P82"/>
      <c r="Q82"/>
    </row>
    <row r="83" spans="7:17">
      <c r="G83" s="1"/>
      <c r="H83"/>
      <c r="I83"/>
      <c r="K83"/>
      <c r="L83"/>
      <c r="M83"/>
      <c r="N83"/>
      <c r="O83"/>
      <c r="P83"/>
      <c r="Q83"/>
    </row>
    <row r="84" spans="7:17">
      <c r="G84" s="1"/>
      <c r="H84"/>
      <c r="I84"/>
      <c r="K84"/>
      <c r="L84"/>
      <c r="M84"/>
      <c r="N84"/>
      <c r="O84"/>
      <c r="P84"/>
      <c r="Q84"/>
    </row>
    <row r="85" spans="7:17">
      <c r="G85" s="1"/>
      <c r="H85"/>
      <c r="I85"/>
      <c r="K85"/>
      <c r="L85"/>
      <c r="M85"/>
      <c r="N85"/>
      <c r="O85"/>
      <c r="P85"/>
      <c r="Q85"/>
    </row>
    <row r="86" spans="7:17">
      <c r="G86" s="1"/>
      <c r="H86"/>
      <c r="I86"/>
      <c r="K86"/>
      <c r="L86"/>
      <c r="M86"/>
      <c r="N86"/>
      <c r="O86"/>
      <c r="P86"/>
      <c r="Q86"/>
    </row>
    <row r="87" spans="7:17">
      <c r="G87" s="1"/>
      <c r="H87"/>
      <c r="I87"/>
      <c r="K87"/>
      <c r="L87"/>
      <c r="M87"/>
      <c r="N87"/>
      <c r="O87"/>
      <c r="P87"/>
      <c r="Q87"/>
    </row>
    <row r="88" spans="7:17">
      <c r="G88" s="1"/>
      <c r="H88"/>
      <c r="I88"/>
      <c r="K88"/>
      <c r="L88"/>
      <c r="M88"/>
      <c r="N88"/>
      <c r="O88"/>
      <c r="P88"/>
      <c r="Q88"/>
    </row>
    <row r="89" spans="7:17">
      <c r="G89" s="1"/>
      <c r="H89"/>
      <c r="I89"/>
      <c r="K89"/>
      <c r="L89"/>
      <c r="M89"/>
      <c r="N89"/>
      <c r="O89"/>
      <c r="P89"/>
      <c r="Q89"/>
    </row>
    <row r="90" spans="7:17">
      <c r="G90" s="1"/>
      <c r="H90"/>
      <c r="I90"/>
      <c r="K90"/>
      <c r="L90"/>
      <c r="M90"/>
      <c r="N90"/>
      <c r="O90"/>
      <c r="P90"/>
      <c r="Q90"/>
    </row>
    <row r="91" spans="7:17">
      <c r="G91" s="1"/>
      <c r="H91"/>
      <c r="I91"/>
      <c r="K91"/>
      <c r="L91"/>
      <c r="M91"/>
      <c r="N91"/>
      <c r="O91"/>
      <c r="P91"/>
      <c r="Q91"/>
    </row>
    <row r="92" spans="7:17">
      <c r="G92" s="1"/>
      <c r="H92"/>
      <c r="I92"/>
      <c r="K92"/>
      <c r="L92"/>
      <c r="M92"/>
      <c r="N92"/>
      <c r="O92"/>
      <c r="P92"/>
      <c r="Q92"/>
    </row>
    <row r="93" spans="7:17">
      <c r="G93" s="1"/>
      <c r="H93"/>
      <c r="I93"/>
      <c r="K93"/>
      <c r="L93"/>
      <c r="M93"/>
      <c r="N93"/>
      <c r="O93"/>
      <c r="P93"/>
      <c r="Q93"/>
    </row>
    <row r="94" spans="7:17">
      <c r="G94" s="1"/>
      <c r="H94"/>
      <c r="I94"/>
      <c r="K94"/>
      <c r="L94"/>
      <c r="M94"/>
      <c r="N94"/>
      <c r="O94"/>
      <c r="P94"/>
      <c r="Q94"/>
    </row>
    <row r="95" spans="7:17">
      <c r="G95" s="1"/>
      <c r="H95"/>
      <c r="I95"/>
      <c r="K95"/>
      <c r="L95"/>
      <c r="M95"/>
      <c r="N95"/>
      <c r="O95"/>
      <c r="P95"/>
      <c r="Q95"/>
    </row>
    <row r="96" spans="7:17">
      <c r="G96" s="1"/>
      <c r="H96"/>
      <c r="I96"/>
      <c r="K96"/>
      <c r="L96"/>
      <c r="M96"/>
      <c r="N96"/>
      <c r="O96"/>
      <c r="P96"/>
      <c r="Q96"/>
    </row>
    <row r="97" spans="7:17">
      <c r="G97" s="1"/>
      <c r="H97"/>
      <c r="I97"/>
      <c r="K97"/>
      <c r="L97"/>
      <c r="M97"/>
      <c r="N97"/>
      <c r="O97"/>
      <c r="P97"/>
      <c r="Q97"/>
    </row>
    <row r="98" spans="7:17">
      <c r="G98" s="1"/>
      <c r="H98"/>
      <c r="I98"/>
      <c r="K98"/>
      <c r="L98"/>
      <c r="M98"/>
      <c r="N98"/>
      <c r="O98"/>
      <c r="P98"/>
      <c r="Q98"/>
    </row>
    <row r="99" spans="7:17">
      <c r="G99" s="1"/>
      <c r="H99"/>
      <c r="I99"/>
      <c r="K99"/>
      <c r="L99"/>
      <c r="M99"/>
      <c r="N99"/>
      <c r="O99"/>
      <c r="P99"/>
      <c r="Q99"/>
    </row>
    <row r="100" spans="7:17">
      <c r="G100" s="1"/>
      <c r="H100"/>
      <c r="I100"/>
      <c r="K100"/>
      <c r="L100"/>
      <c r="M100"/>
      <c r="N100"/>
      <c r="O100"/>
      <c r="P100"/>
      <c r="Q100"/>
    </row>
    <row r="101" spans="7:17">
      <c r="G101" s="1"/>
      <c r="Q101" s="4">
        <f ca="1">SUMIFS(Visits!T:T,Visits!E:E,'Manual Cleanup'!A101,Visits!AF:AF,"&gt;"&amp;(TODAY()-30))</f>
        <v>0</v>
      </c>
    </row>
    <row r="102" spans="7:17">
      <c r="G102" s="1"/>
      <c r="Q102" s="4">
        <f ca="1">SUMIFS(Visits!T:T,Visits!E:E,'Manual Cleanup'!A102,Visits!AF:AF,"&gt;"&amp;(TODAY()-30))</f>
        <v>0</v>
      </c>
    </row>
    <row r="103" spans="7:17">
      <c r="G103" s="1"/>
      <c r="Q103" s="4">
        <f ca="1">SUMIFS(Visits!T:T,Visits!E:E,'Manual Cleanup'!A103,Visits!AF:AF,"&gt;"&amp;(TODAY()-30))</f>
        <v>0</v>
      </c>
    </row>
    <row r="104" spans="7:17">
      <c r="G104" s="1"/>
      <c r="H104"/>
      <c r="I104"/>
      <c r="K104"/>
      <c r="L104"/>
      <c r="M104"/>
      <c r="N104"/>
      <c r="O104"/>
      <c r="P104"/>
      <c r="Q104"/>
    </row>
    <row r="105" spans="7:17">
      <c r="G105" s="1"/>
      <c r="H105"/>
      <c r="I105"/>
      <c r="K105"/>
      <c r="L105"/>
      <c r="M105"/>
      <c r="N105"/>
      <c r="O105"/>
      <c r="P105"/>
      <c r="Q105"/>
    </row>
    <row r="106" spans="7:17">
      <c r="G106" s="1"/>
      <c r="H106"/>
      <c r="I106"/>
      <c r="K106"/>
      <c r="L106"/>
      <c r="M106"/>
      <c r="N106"/>
      <c r="O106"/>
      <c r="P106"/>
      <c r="Q106"/>
    </row>
    <row r="107" spans="7:17">
      <c r="G107" s="1"/>
      <c r="Q107" s="4">
        <f ca="1">SUMIFS(Visits!T:T,Visits!E:E,'Manual Cleanup'!A107,Visits!AF:AF,"&gt;"&amp;(TODAY()-30))</f>
        <v>0</v>
      </c>
    </row>
    <row r="108" spans="7:17">
      <c r="G108" s="1"/>
      <c r="Q108" s="4">
        <f ca="1">SUMIFS(Visits!T:T,Visits!E:E,'Manual Cleanup'!A108,Visits!AF:AF,"&gt;"&amp;(TODAY()-30))</f>
        <v>0</v>
      </c>
    </row>
    <row r="109" spans="7:17">
      <c r="G109" s="1"/>
      <c r="Q109" s="4">
        <f ca="1">SUMIFS(Visits!T:T,Visits!E:E,'Manual Cleanup'!A109,Visits!AF:AF,"&gt;"&amp;(TODAY()-30))</f>
        <v>0</v>
      </c>
    </row>
    <row r="110" spans="7:17">
      <c r="G110" s="1"/>
      <c r="H110"/>
      <c r="I110"/>
      <c r="K110"/>
      <c r="L110"/>
      <c r="M110"/>
      <c r="N110"/>
      <c r="O110"/>
      <c r="P110"/>
      <c r="Q110"/>
    </row>
    <row r="111" spans="7:17">
      <c r="G111" s="1"/>
      <c r="H111"/>
      <c r="I111"/>
      <c r="K111"/>
      <c r="L111"/>
      <c r="M111"/>
      <c r="N111"/>
      <c r="O111"/>
      <c r="P111"/>
      <c r="Q111"/>
    </row>
    <row r="112" spans="7:17">
      <c r="G112" s="1"/>
      <c r="H112"/>
      <c r="I112"/>
      <c r="K112"/>
      <c r="L112"/>
      <c r="M112"/>
      <c r="N112"/>
      <c r="O112"/>
      <c r="P112"/>
      <c r="Q112"/>
    </row>
    <row r="113" spans="7:17">
      <c r="G113" s="1"/>
      <c r="H113"/>
      <c r="I113"/>
      <c r="K113"/>
      <c r="L113"/>
      <c r="M113"/>
      <c r="N113"/>
      <c r="O113"/>
      <c r="P113"/>
      <c r="Q113"/>
    </row>
    <row r="114" spans="7:17">
      <c r="G114" s="1"/>
      <c r="H114"/>
      <c r="I114"/>
      <c r="K114"/>
      <c r="L114"/>
      <c r="M114"/>
      <c r="N114"/>
      <c r="O114"/>
      <c r="P114"/>
      <c r="Q114"/>
    </row>
    <row r="115" spans="7:17">
      <c r="G115" s="1"/>
      <c r="H115"/>
      <c r="I115"/>
      <c r="K115"/>
      <c r="L115"/>
      <c r="M115"/>
      <c r="N115"/>
      <c r="O115"/>
      <c r="P115"/>
      <c r="Q115"/>
    </row>
    <row r="116" spans="7:17">
      <c r="G116" s="1"/>
      <c r="H116"/>
      <c r="I116"/>
      <c r="K116"/>
      <c r="L116"/>
      <c r="M116"/>
      <c r="N116"/>
      <c r="O116"/>
      <c r="P116"/>
      <c r="Q116"/>
    </row>
    <row r="117" spans="7:17">
      <c r="G117" s="1"/>
      <c r="H117"/>
      <c r="I117"/>
      <c r="K117"/>
      <c r="L117"/>
      <c r="M117"/>
      <c r="N117"/>
      <c r="O117"/>
      <c r="P117"/>
      <c r="Q117"/>
    </row>
    <row r="118" spans="7:17">
      <c r="G118" s="1"/>
      <c r="H118"/>
      <c r="I118"/>
      <c r="K118"/>
      <c r="L118"/>
      <c r="M118"/>
      <c r="N118"/>
      <c r="O118"/>
      <c r="P118"/>
      <c r="Q118"/>
    </row>
    <row r="119" spans="7:17">
      <c r="G119" s="1"/>
      <c r="H119"/>
      <c r="I119"/>
      <c r="K119"/>
      <c r="L119"/>
      <c r="M119"/>
      <c r="N119"/>
      <c r="O119"/>
      <c r="P119"/>
      <c r="Q119"/>
    </row>
    <row r="120" spans="7:17">
      <c r="G120" s="1"/>
      <c r="H120"/>
      <c r="I120"/>
      <c r="K120"/>
      <c r="L120"/>
      <c r="M120"/>
      <c r="N120"/>
      <c r="O120"/>
      <c r="P120"/>
      <c r="Q120"/>
    </row>
    <row r="121" spans="7:17">
      <c r="G121" s="1"/>
      <c r="H121"/>
      <c r="I121"/>
      <c r="K121"/>
      <c r="L121"/>
      <c r="M121"/>
      <c r="N121"/>
      <c r="O121"/>
      <c r="P121"/>
      <c r="Q121"/>
    </row>
    <row r="122" spans="7:17">
      <c r="G122" s="1"/>
      <c r="H122"/>
      <c r="I122"/>
      <c r="K122"/>
      <c r="L122"/>
      <c r="M122"/>
      <c r="N122"/>
      <c r="O122"/>
      <c r="P122"/>
      <c r="Q122"/>
    </row>
    <row r="123" spans="7:17">
      <c r="G123" s="1"/>
      <c r="H123"/>
      <c r="I123"/>
      <c r="K123"/>
      <c r="L123"/>
      <c r="M123"/>
      <c r="N123"/>
      <c r="O123"/>
      <c r="P123"/>
      <c r="Q123"/>
    </row>
    <row r="124" spans="7:17">
      <c r="G124" s="1"/>
      <c r="H124"/>
      <c r="I124"/>
      <c r="K124"/>
      <c r="L124"/>
      <c r="M124"/>
      <c r="N124"/>
      <c r="O124"/>
      <c r="P124"/>
      <c r="Q124"/>
    </row>
    <row r="125" spans="7:17">
      <c r="G125" s="1"/>
      <c r="H125"/>
      <c r="I125"/>
      <c r="K125"/>
      <c r="L125"/>
      <c r="M125"/>
      <c r="N125"/>
      <c r="O125"/>
      <c r="P125"/>
      <c r="Q125"/>
    </row>
    <row r="126" spans="7:17">
      <c r="G126" s="1"/>
      <c r="H126"/>
      <c r="I126"/>
      <c r="K126"/>
      <c r="L126"/>
      <c r="M126"/>
      <c r="N126"/>
      <c r="O126"/>
      <c r="P126"/>
      <c r="Q126"/>
    </row>
    <row r="127" spans="7:17">
      <c r="G127" s="1"/>
      <c r="H127"/>
      <c r="I127"/>
      <c r="K127"/>
      <c r="L127"/>
      <c r="M127"/>
      <c r="N127"/>
      <c r="O127"/>
      <c r="P127"/>
      <c r="Q127"/>
    </row>
    <row r="128" spans="7:17">
      <c r="G128" s="1"/>
      <c r="Q128" s="4">
        <f ca="1">SUMIFS(Visits!T:T,Visits!E:E,'Manual Cleanup'!A128,Visits!AF:AF,"&gt;"&amp;(TODAY()-30))</f>
        <v>0</v>
      </c>
    </row>
    <row r="129" spans="7:17">
      <c r="G129" s="1"/>
      <c r="Q129" s="4">
        <f ca="1">SUMIFS(Visits!T:T,Visits!E:E,'Manual Cleanup'!A129,Visits!AF:AF,"&gt;"&amp;(TODAY()-30))</f>
        <v>0</v>
      </c>
    </row>
    <row r="130" spans="7:17">
      <c r="G130" s="1"/>
      <c r="Q130" s="4">
        <f ca="1">SUMIFS(Visits!T:T,Visits!E:E,'Manual Cleanup'!A130,Visits!AF:AF,"&gt;"&amp;(TODAY()-30))</f>
        <v>0</v>
      </c>
    </row>
    <row r="131" spans="7:17">
      <c r="G131" s="1"/>
      <c r="Q131" s="4">
        <f ca="1">SUMIFS(Visits!T:T,Visits!E:E,'Manual Cleanup'!A131,Visits!AF:AF,"&gt;"&amp;(TODAY()-30))</f>
        <v>0</v>
      </c>
    </row>
    <row r="132" spans="7:17">
      <c r="G132" s="1"/>
      <c r="Q132" s="4">
        <f ca="1">SUMIFS(Visits!T:T,Visits!E:E,'Manual Cleanup'!A132,Visits!AF:AF,"&gt;"&amp;(TODAY()-30))</f>
        <v>0</v>
      </c>
    </row>
    <row r="133" spans="7:17">
      <c r="G133" s="1"/>
      <c r="Q133" s="4">
        <f ca="1">SUMIFS(Visits!T:T,Visits!E:E,'Manual Cleanup'!A133,Visits!AF:AF,"&gt;"&amp;(TODAY()-30))</f>
        <v>0</v>
      </c>
    </row>
    <row r="134" spans="7:17">
      <c r="G134" s="1"/>
      <c r="Q134" s="4">
        <f ca="1">SUMIFS(Visits!T:T,Visits!E:E,'Manual Cleanup'!A134,Visits!AF:AF,"&gt;"&amp;(TODAY()-30))</f>
        <v>0</v>
      </c>
    </row>
    <row r="135" spans="7:17">
      <c r="G135" s="1"/>
      <c r="Q135" s="4">
        <f ca="1">SUMIFS(Visits!T:T,Visits!E:E,'Manual Cleanup'!A135,Visits!AF:AF,"&gt;"&amp;(TODAY()-30))</f>
        <v>0</v>
      </c>
    </row>
    <row r="136" spans="7:17">
      <c r="G136" s="1"/>
      <c r="Q136" s="4">
        <f ca="1">SUMIFS(Visits!T:T,Visits!E:E,'Manual Cleanup'!A136,Visits!AF:AF,"&gt;"&amp;(TODAY()-30))</f>
        <v>0</v>
      </c>
    </row>
    <row r="137" spans="7:17">
      <c r="G137" s="1"/>
      <c r="Q137" s="4">
        <f ca="1">SUMIFS(Visits!T:T,Visits!E:E,'Manual Cleanup'!A137,Visits!AF:AF,"&gt;"&amp;(TODAY()-30))</f>
        <v>0</v>
      </c>
    </row>
    <row r="138" spans="7:17">
      <c r="G138" s="1"/>
      <c r="Q138" s="4">
        <f ca="1">SUMIFS(Visits!T:T,Visits!E:E,'Manual Cleanup'!A138,Visits!AF:AF,"&gt;"&amp;(TODAY()-30))</f>
        <v>0</v>
      </c>
    </row>
    <row r="139" spans="7:17">
      <c r="G139" s="1"/>
      <c r="Q139" s="4">
        <f ca="1">SUMIFS(Visits!T:T,Visits!E:E,'Manual Cleanup'!A139,Visits!AF:AF,"&gt;"&amp;(TODAY()-30))</f>
        <v>0</v>
      </c>
    </row>
    <row r="140" spans="7:17">
      <c r="G140" s="1"/>
      <c r="Q140" s="4">
        <f ca="1">SUMIFS(Visits!T:T,Visits!E:E,'Manual Cleanup'!A140,Visits!AF:AF,"&gt;"&amp;(TODAY()-30))</f>
        <v>0</v>
      </c>
    </row>
    <row r="141" spans="7:17">
      <c r="G141" s="1"/>
      <c r="Q141" s="4">
        <f ca="1">SUMIFS(Visits!T:T,Visits!E:E,'Manual Cleanup'!A141,Visits!AF:AF,"&gt;"&amp;(TODAY()-30))</f>
        <v>0</v>
      </c>
    </row>
    <row r="142" spans="7:17">
      <c r="G142" s="1"/>
      <c r="Q142" s="4">
        <f ca="1">SUMIFS(Visits!T:T,Visits!E:E,'Manual Cleanup'!A142,Visits!AF:AF,"&gt;"&amp;(TODAY()-30))</f>
        <v>0</v>
      </c>
    </row>
    <row r="143" spans="7:17">
      <c r="G143" s="1"/>
      <c r="Q143" s="4">
        <f ca="1">SUMIFS(Visits!T:T,Visits!E:E,'Manual Cleanup'!A143,Visits!AF:AF,"&gt;"&amp;(TODAY()-30))</f>
        <v>0</v>
      </c>
    </row>
    <row r="144" spans="7:17">
      <c r="G144" s="1"/>
      <c r="Q144" s="4">
        <f ca="1">SUMIFS(Visits!T:T,Visits!E:E,'Manual Cleanup'!A144,Visits!AF:AF,"&gt;"&amp;(TODAY()-30))</f>
        <v>0</v>
      </c>
    </row>
    <row r="145" spans="7:17">
      <c r="G145" s="1"/>
      <c r="Q145" s="4">
        <f ca="1">SUMIFS(Visits!T:T,Visits!E:E,'Manual Cleanup'!A145,Visits!AF:AF,"&gt;"&amp;(TODAY()-30))</f>
        <v>0</v>
      </c>
    </row>
    <row r="146" spans="7:17">
      <c r="G146" s="1"/>
      <c r="Q146" s="4">
        <f ca="1">SUMIFS(Visits!T:T,Visits!E:E,'Manual Cleanup'!A146,Visits!AF:AF,"&gt;"&amp;(TODAY()-30))</f>
        <v>0</v>
      </c>
    </row>
    <row r="147" spans="7:17">
      <c r="G147" s="1"/>
      <c r="Q147" s="4">
        <f ca="1">SUMIFS(Visits!T:T,Visits!E:E,'Manual Cleanup'!A147,Visits!AF:AF,"&gt;"&amp;(TODAY()-30))</f>
        <v>0</v>
      </c>
    </row>
    <row r="148" spans="7:17">
      <c r="G148" s="1"/>
      <c r="Q148" s="4">
        <f ca="1">SUMIFS(Visits!T:T,Visits!E:E,'Manual Cleanup'!A148,Visits!AF:AF,"&gt;"&amp;(TODAY()-30))</f>
        <v>0</v>
      </c>
    </row>
    <row r="149" spans="7:17">
      <c r="G149" s="1"/>
      <c r="Q149" s="4">
        <f ca="1">SUMIFS(Visits!T:T,Visits!E:E,'Manual Cleanup'!A149,Visits!AF:AF,"&gt;"&amp;(TODAY()-30))</f>
        <v>0</v>
      </c>
    </row>
    <row r="150" spans="7:17">
      <c r="G150" s="1"/>
      <c r="Q150" s="4">
        <f ca="1">SUMIFS(Visits!T:T,Visits!E:E,'Manual Cleanup'!A150,Visits!AF:AF,"&gt;"&amp;(TODAY()-30))</f>
        <v>0</v>
      </c>
    </row>
    <row r="151" spans="7:17">
      <c r="G151" s="1"/>
      <c r="Q151" s="4">
        <f ca="1">SUMIFS(Visits!T:T,Visits!E:E,'Manual Cleanup'!A151,Visits!AF:AF,"&gt;"&amp;(TODAY()-30))</f>
        <v>0</v>
      </c>
    </row>
    <row r="152" spans="7:17">
      <c r="G152" s="1"/>
      <c r="Q152" s="4">
        <f ca="1">SUMIFS(Visits!T:T,Visits!E:E,'Manual Cleanup'!A152,Visits!AF:AF,"&gt;"&amp;(TODAY()-30))</f>
        <v>0</v>
      </c>
    </row>
    <row r="153" spans="7:17">
      <c r="G153" s="1"/>
      <c r="Q153" s="4">
        <f ca="1">SUMIFS(Visits!T:T,Visits!E:E,'Manual Cleanup'!A153,Visits!AF:AF,"&gt;"&amp;(TODAY()-30))</f>
        <v>0</v>
      </c>
    </row>
    <row r="154" spans="7:17">
      <c r="G154" s="1"/>
      <c r="Q154" s="4">
        <f ca="1">SUMIFS(Visits!T:T,Visits!E:E,'Manual Cleanup'!A154,Visits!AF:AF,"&gt;"&amp;(TODAY()-30))</f>
        <v>0</v>
      </c>
    </row>
    <row r="155" spans="7:17">
      <c r="G155" s="1"/>
      <c r="Q155" s="4">
        <f ca="1">SUMIFS(Visits!T:T,Visits!E:E,'Manual Cleanup'!A155,Visits!AF:AF,"&gt;"&amp;(TODAY()-30))</f>
        <v>0</v>
      </c>
    </row>
    <row r="156" spans="7:17">
      <c r="G156" s="1"/>
      <c r="Q156" s="4">
        <f ca="1">SUMIFS(Visits!T:T,Visits!E:E,'Manual Cleanup'!A156,Visits!AF:AF,"&gt;"&amp;(TODAY()-30))</f>
        <v>0</v>
      </c>
    </row>
    <row r="157" spans="7:17">
      <c r="G157" s="1"/>
      <c r="Q157" s="4">
        <f ca="1">SUMIFS(Visits!T:T,Visits!E:E,'Manual Cleanup'!A157,Visits!AF:AF,"&gt;"&amp;(TODAY()-30))</f>
        <v>0</v>
      </c>
    </row>
    <row r="158" spans="7:17">
      <c r="G158" s="1"/>
      <c r="Q158" s="4">
        <f ca="1">SUMIFS(Visits!T:T,Visits!E:E,'Manual Cleanup'!A158,Visits!AF:AF,"&gt;"&amp;(TODAY()-30))</f>
        <v>0</v>
      </c>
    </row>
    <row r="159" spans="7:17">
      <c r="G159" s="1"/>
      <c r="Q159" s="4">
        <f ca="1">SUMIFS(Visits!T:T,Visits!E:E,'Manual Cleanup'!A159,Visits!AF:AF,"&gt;"&amp;(TODAY()-30))</f>
        <v>0</v>
      </c>
    </row>
    <row r="160" spans="7:17">
      <c r="G160" s="1"/>
      <c r="Q160" s="4">
        <f ca="1">SUMIFS(Visits!T:T,Visits!E:E,'Manual Cleanup'!A160,Visits!AF:AF,"&gt;"&amp;(TODAY()-30))</f>
        <v>0</v>
      </c>
    </row>
    <row r="161" spans="7:17">
      <c r="G161" s="1"/>
      <c r="Q161" s="4">
        <f ca="1">SUMIFS(Visits!T:T,Visits!E:E,'Manual Cleanup'!A161,Visits!AF:AF,"&gt;"&amp;(TODAY()-30))</f>
        <v>0</v>
      </c>
    </row>
    <row r="162" spans="7:17">
      <c r="G162" s="1"/>
      <c r="Q162" s="4">
        <f ca="1">SUMIFS(Visits!T:T,Visits!E:E,'Manual Cleanup'!A162,Visits!AF:AF,"&gt;"&amp;(TODAY()-30))</f>
        <v>0</v>
      </c>
    </row>
    <row r="163" spans="7:17">
      <c r="G163" s="1"/>
      <c r="Q163" s="4">
        <f ca="1">SUMIFS(Visits!T:T,Visits!E:E,'Manual Cleanup'!A163,Visits!AF:AF,"&gt;"&amp;(TODAY()-30))</f>
        <v>0</v>
      </c>
    </row>
    <row r="164" spans="7:17">
      <c r="G164" s="1"/>
      <c r="Q164" s="4">
        <f ca="1">SUMIFS(Visits!T:T,Visits!E:E,'Manual Cleanup'!A164,Visits!AF:AF,"&gt;"&amp;(TODAY()-30))</f>
        <v>0</v>
      </c>
    </row>
    <row r="165" spans="7:17">
      <c r="G165" s="1"/>
      <c r="Q165" s="4">
        <f ca="1">SUMIFS(Visits!T:T,Visits!E:E,'Manual Cleanup'!A165,Visits!AF:AF,"&gt;"&amp;(TODAY()-30))</f>
        <v>0</v>
      </c>
    </row>
    <row r="166" spans="7:17">
      <c r="G166" s="1"/>
      <c r="Q166" s="4">
        <f ca="1">SUMIFS(Visits!T:T,Visits!E:E,'Manual Cleanup'!A166,Visits!AF:AF,"&gt;"&amp;(TODAY()-30))</f>
        <v>0</v>
      </c>
    </row>
    <row r="167" spans="7:17">
      <c r="G167" s="1"/>
      <c r="Q167" s="4">
        <f ca="1">SUMIFS(Visits!T:T,Visits!E:E,'Manual Cleanup'!A167,Visits!AF:AF,"&gt;"&amp;(TODAY()-30))</f>
        <v>0</v>
      </c>
    </row>
    <row r="168" spans="7:17">
      <c r="G168" s="1"/>
      <c r="Q168" s="4">
        <f ca="1">SUMIFS(Visits!T:T,Visits!E:E,'Manual Cleanup'!A168,Visits!AF:AF,"&gt;"&amp;(TODAY()-30))</f>
        <v>0</v>
      </c>
    </row>
    <row r="169" spans="7:17">
      <c r="G169" s="1"/>
      <c r="Q169" s="4">
        <f ca="1">SUMIFS(Visits!T:T,Visits!E:E,'Manual Cleanup'!A169,Visits!AF:AF,"&gt;"&amp;(TODAY()-30))</f>
        <v>0</v>
      </c>
    </row>
    <row r="170" spans="7:17">
      <c r="G170" s="1"/>
      <c r="Q170" s="4">
        <f ca="1">SUMIFS(Visits!T:T,Visits!E:E,'Manual Cleanup'!A170,Visits!AF:AF,"&gt;"&amp;(TODAY()-30))</f>
        <v>0</v>
      </c>
    </row>
    <row r="171" spans="7:17">
      <c r="G171" s="1"/>
      <c r="Q171" s="4">
        <f ca="1">SUMIFS(Visits!T:T,Visits!E:E,'Manual Cleanup'!A171,Visits!AF:AF,"&gt;"&amp;(TODAY()-30))</f>
        <v>0</v>
      </c>
    </row>
    <row r="172" spans="7:17">
      <c r="G172" s="1"/>
      <c r="Q172" s="4">
        <f ca="1">SUMIFS(Visits!T:T,Visits!E:E,'Manual Cleanup'!A172,Visits!AF:AF,"&gt;"&amp;(TODAY()-30))</f>
        <v>0</v>
      </c>
    </row>
    <row r="173" spans="7:17">
      <c r="G173" s="1"/>
      <c r="Q173" s="4">
        <f ca="1">SUMIFS(Visits!T:T,Visits!E:E,'Manual Cleanup'!A173,Visits!AF:AF,"&gt;"&amp;(TODAY()-30))</f>
        <v>0</v>
      </c>
    </row>
    <row r="174" spans="7:17">
      <c r="G174" s="1"/>
      <c r="Q174" s="4">
        <f ca="1">SUMIFS(Visits!T:T,Visits!E:E,'Manual Cleanup'!A174,Visits!AF:AF,"&gt;"&amp;(TODAY()-30))</f>
        <v>0</v>
      </c>
    </row>
    <row r="175" spans="7:17">
      <c r="G175" s="1"/>
      <c r="Q175" s="4">
        <f ca="1">SUMIFS(Visits!T:T,Visits!E:E,'Manual Cleanup'!A175,Visits!AF:AF,"&gt;"&amp;(TODAY()-30))</f>
        <v>0</v>
      </c>
    </row>
    <row r="176" spans="7:17">
      <c r="G176" s="1"/>
    </row>
    <row r="177" spans="1:21">
      <c r="G177" s="1"/>
    </row>
    <row r="178" spans="1:21">
      <c r="G178" s="1"/>
    </row>
    <row r="179" spans="1:21">
      <c r="G179" s="1"/>
    </row>
    <row r="180" spans="1:21">
      <c r="G180" s="1"/>
    </row>
    <row r="181" spans="1:21">
      <c r="G181" s="1"/>
    </row>
    <row r="182" spans="1:21">
      <c r="G182" s="1"/>
    </row>
    <row r="183" spans="1:21">
      <c r="G183" s="1"/>
    </row>
    <row r="184" spans="1:21">
      <c r="G184" s="1"/>
    </row>
    <row r="185" spans="1:21">
      <c r="G185" s="1"/>
    </row>
    <row r="186" spans="1:21">
      <c r="G186" s="1"/>
    </row>
    <row r="187" spans="1:21">
      <c r="G187" s="1"/>
    </row>
    <row r="188" spans="1:21">
      <c r="G188" s="1"/>
    </row>
    <row r="189" spans="1:21">
      <c r="G189" s="1"/>
    </row>
    <row r="190" spans="1:21" s="4" customFormat="1">
      <c r="A190"/>
      <c r="B190"/>
      <c r="C190"/>
      <c r="D190"/>
      <c r="E190"/>
      <c r="F190"/>
      <c r="G190" s="1"/>
      <c r="J190" s="19"/>
      <c r="R190"/>
      <c r="S190"/>
      <c r="T190"/>
      <c r="U190"/>
    </row>
    <row r="191" spans="1:21" s="4" customFormat="1">
      <c r="A191"/>
      <c r="B191"/>
      <c r="C191"/>
      <c r="D191"/>
      <c r="E191"/>
      <c r="F191"/>
      <c r="G191" s="1"/>
      <c r="J191" s="19"/>
      <c r="R191"/>
      <c r="S191"/>
      <c r="T191"/>
      <c r="U191"/>
    </row>
    <row r="192" spans="1:21" s="4" customFormat="1">
      <c r="A192"/>
      <c r="B192"/>
      <c r="C192"/>
      <c r="D192"/>
      <c r="E192"/>
      <c r="F192"/>
      <c r="G192" s="1"/>
      <c r="J192" s="19"/>
      <c r="R192"/>
      <c r="S192"/>
      <c r="T192"/>
      <c r="U192"/>
    </row>
    <row r="193" spans="1:21" s="4" customFormat="1">
      <c r="A193"/>
      <c r="B193"/>
      <c r="C193"/>
      <c r="D193"/>
      <c r="E193"/>
      <c r="F193"/>
      <c r="G193" s="1"/>
      <c r="J193" s="19"/>
      <c r="R193"/>
      <c r="S193"/>
      <c r="T193"/>
      <c r="U193"/>
    </row>
    <row r="194" spans="1:21" s="4" customFormat="1">
      <c r="A194"/>
      <c r="B194"/>
      <c r="C194"/>
      <c r="D194"/>
      <c r="E194"/>
      <c r="F194"/>
      <c r="G194" s="1"/>
      <c r="J194" s="19"/>
      <c r="R194"/>
      <c r="S194"/>
      <c r="T194"/>
      <c r="U194"/>
    </row>
    <row r="195" spans="1:21" s="4" customFormat="1">
      <c r="A195"/>
      <c r="B195"/>
      <c r="C195"/>
      <c r="D195"/>
      <c r="E195"/>
      <c r="F195"/>
      <c r="G195" s="1"/>
      <c r="J195" s="19"/>
      <c r="R195"/>
      <c r="S195"/>
      <c r="T195"/>
      <c r="U195"/>
    </row>
    <row r="196" spans="1:21" s="4" customFormat="1">
      <c r="A196"/>
      <c r="B196"/>
      <c r="C196"/>
      <c r="D196"/>
      <c r="E196"/>
      <c r="F196"/>
      <c r="G196" s="1"/>
      <c r="J196" s="19"/>
      <c r="R196"/>
      <c r="S196"/>
      <c r="T196"/>
      <c r="U196"/>
    </row>
    <row r="197" spans="1:21" s="4" customFormat="1">
      <c r="A197"/>
      <c r="B197"/>
      <c r="C197"/>
      <c r="D197"/>
      <c r="E197"/>
      <c r="F197"/>
      <c r="G197" s="1"/>
      <c r="J197" s="19"/>
      <c r="R197"/>
      <c r="S197"/>
      <c r="T197"/>
      <c r="U197"/>
    </row>
    <row r="198" spans="1:21" s="4" customFormat="1">
      <c r="A198"/>
      <c r="B198"/>
      <c r="C198"/>
      <c r="D198"/>
      <c r="E198"/>
      <c r="F198"/>
      <c r="G198" s="1"/>
      <c r="J198" s="19"/>
      <c r="R198"/>
      <c r="S198"/>
      <c r="T198"/>
      <c r="U198"/>
    </row>
    <row r="199" spans="1:21" s="4" customFormat="1">
      <c r="A199"/>
      <c r="B199"/>
      <c r="C199"/>
      <c r="D199"/>
      <c r="E199"/>
      <c r="F199"/>
      <c r="G199" s="1"/>
      <c r="J199" s="19"/>
      <c r="R199"/>
      <c r="S199"/>
      <c r="T199"/>
      <c r="U199"/>
    </row>
    <row r="200" spans="1:21" s="4" customFormat="1">
      <c r="A200"/>
      <c r="B200"/>
      <c r="C200"/>
      <c r="D200"/>
      <c r="E200"/>
      <c r="F200"/>
      <c r="G200" s="1"/>
      <c r="J200" s="19"/>
      <c r="R200"/>
      <c r="S200"/>
      <c r="T200"/>
      <c r="U200"/>
    </row>
    <row r="201" spans="1:21" s="4" customFormat="1">
      <c r="A201"/>
      <c r="B201"/>
      <c r="C201"/>
      <c r="D201"/>
      <c r="E201"/>
      <c r="F201"/>
      <c r="G201" s="1"/>
      <c r="J201" s="19"/>
      <c r="R201"/>
      <c r="S201"/>
      <c r="T201"/>
      <c r="U201"/>
    </row>
    <row r="202" spans="1:21" s="4" customFormat="1">
      <c r="A202"/>
      <c r="B202"/>
      <c r="C202"/>
      <c r="D202"/>
      <c r="E202"/>
      <c r="F202"/>
      <c r="G202" s="1"/>
      <c r="J202" s="19"/>
      <c r="R202"/>
      <c r="S202"/>
      <c r="T202"/>
      <c r="U202"/>
    </row>
    <row r="203" spans="1:21" s="4" customFormat="1">
      <c r="A203"/>
      <c r="B203"/>
      <c r="C203"/>
      <c r="D203"/>
      <c r="E203"/>
      <c r="F203"/>
      <c r="G203" s="1"/>
      <c r="J203" s="19"/>
      <c r="R203"/>
      <c r="S203"/>
      <c r="T203"/>
      <c r="U203"/>
    </row>
    <row r="204" spans="1:21" s="4" customFormat="1">
      <c r="A204"/>
      <c r="B204"/>
      <c r="C204"/>
      <c r="D204"/>
      <c r="E204"/>
      <c r="F204"/>
      <c r="G204" s="1"/>
      <c r="J204" s="19"/>
      <c r="R204"/>
      <c r="S204"/>
      <c r="T204"/>
      <c r="U204"/>
    </row>
    <row r="205" spans="1:21" s="4" customFormat="1">
      <c r="A205"/>
      <c r="B205"/>
      <c r="C205"/>
      <c r="D205"/>
      <c r="E205"/>
      <c r="F205"/>
      <c r="G205" s="1"/>
      <c r="J205" s="19"/>
      <c r="R205"/>
      <c r="S205"/>
      <c r="T205"/>
      <c r="U205"/>
    </row>
  </sheetData>
  <autoFilter ref="A1:U56" xr:uid="{B843ACFC-4ABF-744F-B768-F3DAD832B8CE}">
    <sortState xmlns:xlrd2="http://schemas.microsoft.com/office/spreadsheetml/2017/richdata2" ref="A2:U56">
      <sortCondition ref="F1:F56"/>
    </sortState>
  </autoFilter>
  <conditionalFormatting sqref="H2:H55">
    <cfRule type="colorScale" priority="24">
      <colorScale>
        <cfvo type="min"/>
        <cfvo type="max"/>
        <color rgb="FFFCFCFF"/>
        <color rgb="FF63BE7B"/>
      </colorScale>
    </cfRule>
  </conditionalFormatting>
  <conditionalFormatting sqref="J2:J55">
    <cfRule type="colorScale" priority="26">
      <colorScale>
        <cfvo type="min"/>
        <cfvo type="max"/>
        <color rgb="FFFCFCFF"/>
        <color rgb="FF63BE7B"/>
      </colorScale>
    </cfRule>
  </conditionalFormatting>
  <conditionalFormatting sqref="O2:O55">
    <cfRule type="colorScale" priority="28">
      <colorScale>
        <cfvo type="min"/>
        <cfvo type="max"/>
        <color rgb="FFFCFCFF"/>
        <color rgb="FF63BE7B"/>
      </colorScale>
    </cfRule>
  </conditionalFormatting>
  <conditionalFormatting sqref="P2:P55">
    <cfRule type="colorScale" priority="30">
      <colorScale>
        <cfvo type="min"/>
        <cfvo type="max"/>
        <color rgb="FFFCFCFF"/>
        <color rgb="FF63BE7B"/>
      </colorScale>
    </cfRule>
  </conditionalFormatting>
  <conditionalFormatting sqref="Q2:Q55">
    <cfRule type="colorScale" priority="32">
      <colorScale>
        <cfvo type="min"/>
        <cfvo type="max"/>
        <color rgb="FFFCFCFF"/>
        <color rgb="FF63BE7B"/>
      </colorScale>
    </cfRule>
  </conditionalFormatting>
  <hyperlinks>
    <hyperlink ref="A8" r:id="rId1" xr:uid="{C0E9C4F7-4F83-D143-968D-2D923085EA00}"/>
  </hyperlinks>
  <pageMargins left="0.7" right="0.7" top="0.75" bottom="0.75" header="0.3" footer="0.3"/>
  <ignoredErrors>
    <ignoredError sqref="O59 O64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F67D4-8DB8-4589-AF59-D2941883DC9A}">
  <sheetPr>
    <tabColor rgb="FFFF0000"/>
  </sheetPr>
  <dimension ref="A1"/>
  <sheetViews>
    <sheetView workbookViewId="0"/>
  </sheetViews>
  <sheetFormatPr defaultColWidth="8.875" defaultRowHeight="15.9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83825-5EE1-44A0-97CF-4C7336F8D91D}">
  <sheetPr>
    <tabColor rgb="FFFF0000"/>
  </sheetPr>
  <dimension ref="A1:T327"/>
  <sheetViews>
    <sheetView zoomScale="130" zoomScaleNormal="130" workbookViewId="0">
      <pane xSplit="4" ySplit="3" topLeftCell="N104" activePane="bottomRight" state="frozen"/>
      <selection pane="bottomRight" activeCell="C9" sqref="C9"/>
      <selection pane="bottomLeft"/>
      <selection pane="topRight"/>
    </sheetView>
  </sheetViews>
  <sheetFormatPr defaultColWidth="11" defaultRowHeight="15.75" customHeight="1"/>
  <cols>
    <col min="1" max="1" width="11" customWidth="1"/>
    <col min="2" max="2" width="33.375" hidden="1" customWidth="1"/>
    <col min="3" max="3" width="16.625" customWidth="1"/>
    <col min="4" max="4" width="20.375" bestFit="1" customWidth="1"/>
    <col min="5" max="5" width="16.125" style="99" customWidth="1"/>
    <col min="6" max="6" width="16.125" style="101" customWidth="1"/>
    <col min="7" max="8" width="16.125" customWidth="1"/>
    <col min="9" max="9" width="18" style="103" hidden="1" customWidth="1"/>
    <col min="10" max="10" width="16.125" hidden="1" customWidth="1"/>
    <col min="11" max="13" width="12.625" customWidth="1"/>
    <col min="14" max="14" width="16.125" customWidth="1"/>
    <col min="15" max="18" width="13.5" customWidth="1"/>
    <col min="19" max="19" width="34" customWidth="1"/>
  </cols>
  <sheetData>
    <row r="1" spans="1:20" ht="42.75" customHeight="1">
      <c r="A1" t="s">
        <v>184</v>
      </c>
      <c r="C1" s="1">
        <f>'New Dashboard'!B3</f>
        <v>45503</v>
      </c>
      <c r="E1" s="167" t="s">
        <v>185</v>
      </c>
      <c r="F1" s="168"/>
      <c r="G1" s="168"/>
      <c r="H1" s="168"/>
      <c r="I1" s="169"/>
    </row>
    <row r="2" spans="1:20" ht="15.95" customHeight="1">
      <c r="E2" s="164" t="s">
        <v>186</v>
      </c>
      <c r="F2" s="165"/>
      <c r="G2" s="166" t="s">
        <v>187</v>
      </c>
      <c r="H2" s="166"/>
      <c r="I2" s="105" t="s">
        <v>188</v>
      </c>
      <c r="O2" s="24" t="s">
        <v>189</v>
      </c>
      <c r="P2" s="24"/>
      <c r="Q2" s="24"/>
      <c r="R2" s="24"/>
    </row>
    <row r="3" spans="1:20" s="2" customFormat="1" ht="33.950000000000003">
      <c r="A3" s="98" t="s">
        <v>97</v>
      </c>
      <c r="B3" s="98"/>
      <c r="C3" s="98" t="s">
        <v>98</v>
      </c>
      <c r="D3" s="98" t="s">
        <v>99</v>
      </c>
      <c r="E3" s="100" t="s">
        <v>190</v>
      </c>
      <c r="F3" s="102" t="s">
        <v>191</v>
      </c>
      <c r="G3" s="97"/>
      <c r="H3" s="97" t="s">
        <v>192</v>
      </c>
      <c r="I3" s="104" t="s">
        <v>193</v>
      </c>
      <c r="J3" s="97" t="s">
        <v>194</v>
      </c>
      <c r="K3" s="98" t="s">
        <v>195</v>
      </c>
      <c r="L3" s="98" t="s">
        <v>196</v>
      </c>
      <c r="M3" s="98" t="s">
        <v>197</v>
      </c>
      <c r="N3" s="98" t="s">
        <v>198</v>
      </c>
      <c r="O3" s="107">
        <v>45464</v>
      </c>
      <c r="P3" s="107">
        <v>45330</v>
      </c>
      <c r="Q3" s="97" t="s">
        <v>199</v>
      </c>
      <c r="R3" s="97" t="s">
        <v>199</v>
      </c>
      <c r="S3" s="98" t="s">
        <v>200</v>
      </c>
      <c r="T3" s="98" t="s">
        <v>4</v>
      </c>
    </row>
    <row r="4" spans="1:20" ht="14.25" customHeight="1">
      <c r="A4" t="str">
        <f>Users!A109</f>
        <v>aaliyahyates1738@gmail.com</v>
      </c>
      <c r="C4" s="23" t="str">
        <f>VLOOKUP(A4,Users!A:D,2,FALSE)</f>
        <v>Aaliyah</v>
      </c>
      <c r="D4" s="23" t="str">
        <f>VLOOKUP(A4,Users!A:D,3,FALSE)</f>
        <v>Yates</v>
      </c>
      <c r="E4" s="99">
        <f>COUNTIF(Visits!AJ:AJ,'Summer Challenge'!A112)</f>
        <v>0</v>
      </c>
      <c r="G4" cm="1">
        <f t="array" ref="G4">SUM(--(FREQUENCY(IF(Visits!E:E='Summer Challenge'!A4,Visits!AK:AK),Visits!AK:AK)&gt;0))</f>
        <v>1</v>
      </c>
      <c r="H4">
        <f>SUMIF(Visits!E:E,'Summer Challenge'!A4,Visits!AK:AK)</f>
        <v>2</v>
      </c>
      <c r="J4" s="106"/>
      <c r="K4" s="106">
        <f>L4*10/2</f>
        <v>10</v>
      </c>
      <c r="L4" s="4">
        <f>SUMIF(Visits!E:E,'Summer Challenge'!A4,Visits!AL:AL)</f>
        <v>2</v>
      </c>
      <c r="M4" s="4">
        <f>L4*4</f>
        <v>8</v>
      </c>
      <c r="N4" s="4"/>
      <c r="O4" t="s">
        <v>201</v>
      </c>
      <c r="P4" t="s">
        <v>202</v>
      </c>
      <c r="Q4" t="str">
        <f>IF(SUM('User Engagement'!G111:H111)&gt;=0,"YES", "NO")</f>
        <v>YES</v>
      </c>
      <c r="S4" s="2" t="str">
        <f t="shared" ref="S4:S35" si="0">"Hello "&amp;C4&amp;"! Here is your progress in the *Summer Quest* so far.
👨🏼‍🤝‍👨🏽 *"&amp;K4&amp;"* new friends
🖼️ *"&amp;L4&amp;"* exhibitions
🕑 *"&amp;M4&amp;"* hours of art experiences
Dive deeper into the Guilds and Journeys. Find your next experience bit.ly/3MfEXat
We’re excited to see your adventures unfold over the next 4 weeks! 🚀
Share your journey with pride and don't forget to tag @nimi_collective."</f>
        <v>Hello Aaliyah! Here is your progress in the *Summer Quest* so far.
👨🏼‍🤝‍👨🏽 *10* new friends
🖼️ *2* exhibitions
🕑 *8* hours of art experiences
Dive deeper into the Guilds and Journeys. Find your next experience bit.ly/3MfEXat
We’re excited to see your adventures unfold over the next 4 weeks! 🚀
Share your journey with pride and don't forget to tag @nimi_collective.</v>
      </c>
      <c r="T4" t="s">
        <v>203</v>
      </c>
    </row>
    <row r="5" spans="1:20" ht="272.10000000000002">
      <c r="A5" t="str">
        <f>Users!A2</f>
        <v>aidanakassymova@gmail.com</v>
      </c>
      <c r="B5" s="66" t="str">
        <f>Users!D2</f>
        <v>7557571864</v>
      </c>
      <c r="C5" s="23" t="str">
        <f>VLOOKUP(A5,Users!A:D,2,FALSE)</f>
        <v>Aidana</v>
      </c>
      <c r="D5" s="23" t="str">
        <f>VLOOKUP(A5,Users!A:D,3,FALSE)</f>
        <v>Kassymova</v>
      </c>
      <c r="E5" s="99">
        <f>COUNTIF(Visits!AJ:AJ,'Summer Challenge'!A113)</f>
        <v>3</v>
      </c>
      <c r="G5" cm="1">
        <f t="array" ref="G5">SUM(--(FREQUENCY(IF(Visits!E:E='Summer Challenge'!A5,Visits!AK:AK),Visits!AK:AK)&gt;0))</f>
        <v>1</v>
      </c>
      <c r="H5">
        <f>SUMIF(Visits!E:E,'Summer Challenge'!A5,Visits!AK:AK)</f>
        <v>3</v>
      </c>
      <c r="J5" s="106"/>
      <c r="K5" s="106">
        <f t="shared" ref="K5:K68" si="1">L5*10/2</f>
        <v>15</v>
      </c>
      <c r="L5" s="4">
        <f>SUMIF(Visits!E:E,'Summer Challenge'!A5,Visits!AL:AL)</f>
        <v>3</v>
      </c>
      <c r="M5" s="4">
        <f t="shared" ref="M5:M68" si="2">L5*4</f>
        <v>12</v>
      </c>
      <c r="N5" s="4"/>
      <c r="O5" t="s">
        <v>202</v>
      </c>
      <c r="P5" t="s">
        <v>202</v>
      </c>
      <c r="Q5" t="str">
        <f>IF(SUM('User Engagement'!G4:H4)&gt;=0,"YES", "NO")</f>
        <v>YES</v>
      </c>
      <c r="S5" s="2" t="str">
        <f t="shared" si="0"/>
        <v>Hello Aidana! Here is your progress in the *Summer Quest* so far.
👨🏼‍🤝‍👨🏽 *15* new friends
🖼️ *3* exhibitions
🕑 *12* hours of art experiences
Dive deeper into the Guilds and Journeys. Find your next experience bit.ly/3MfEXat
We’re excited to see your adventures unfold over the next 4 weeks! 🚀
Share your journey with pride and don't forget to tag @nimi_collective.</v>
      </c>
      <c r="T5" t="s">
        <v>203</v>
      </c>
    </row>
    <row r="6" spans="1:20" ht="272.10000000000002">
      <c r="A6" t="str">
        <f>Users!A113</f>
        <v>akhil1189@gmail.com</v>
      </c>
      <c r="C6" s="23" t="str">
        <f>VLOOKUP(A6,Users!A:D,2,FALSE)</f>
        <v>Akhil</v>
      </c>
      <c r="D6" s="23" t="str">
        <f>VLOOKUP(A6,Users!A:D,3,FALSE)</f>
        <v>Madan</v>
      </c>
      <c r="E6" s="99">
        <f>COUNTIF(Visits!AJ:AJ,'Summer Challenge'!A114)</f>
        <v>0</v>
      </c>
      <c r="G6" cm="1">
        <f t="array" ref="G6">SUM(--(FREQUENCY(IF(Visits!E:E='Summer Challenge'!A6,Visits!AK:AK),Visits!AK:AK)&gt;0))</f>
        <v>1</v>
      </c>
      <c r="H6">
        <f>SUMIF(Visits!E:E,'Summer Challenge'!A6,Visits!AK:AK)</f>
        <v>1</v>
      </c>
      <c r="J6" s="106"/>
      <c r="K6" s="106">
        <f t="shared" si="1"/>
        <v>5</v>
      </c>
      <c r="L6" s="4">
        <f>SUMIF(Visits!E:E,'Summer Challenge'!A6,Visits!AL:AL)</f>
        <v>1</v>
      </c>
      <c r="M6" s="4">
        <f t="shared" si="2"/>
        <v>4</v>
      </c>
      <c r="N6" s="4"/>
      <c r="O6" t="s">
        <v>201</v>
      </c>
      <c r="P6" t="s">
        <v>202</v>
      </c>
      <c r="Q6" t="str">
        <f>IF(SUM('User Engagement'!G115:H115)&gt;=0,"YES", "NO")</f>
        <v>YES</v>
      </c>
      <c r="S6" s="2" t="str">
        <f t="shared" si="0"/>
        <v>Hello Akhil! Here is your progress in the *Summer Quest* so far.
👨🏼‍🤝‍👨🏽 *5* new friends
🖼️ *1* exhibitions
🕑 *4* hours of art experiences
Dive deeper into the Guilds and Journeys. Find your next experience bit.ly/3MfEXat
We’re excited to see your adventures unfold over the next 4 weeks! 🚀
Share your journey with pride and don't forget to tag @nimi_collective.</v>
      </c>
      <c r="T6" t="s">
        <v>203</v>
      </c>
    </row>
    <row r="7" spans="1:20" ht="272.10000000000002">
      <c r="A7" t="str">
        <f>Users!A3</f>
        <v>alekseypleshkov17@gmail.com</v>
      </c>
      <c r="B7" s="66">
        <f>Users!D3</f>
        <v>0</v>
      </c>
      <c r="C7" s="23" t="str">
        <f>VLOOKUP(A7,Users!A:D,2,FALSE)</f>
        <v>Aleksejs</v>
      </c>
      <c r="D7" s="23" t="str">
        <f>VLOOKUP(A7,Users!A:D,3,FALSE)</f>
        <v>Pleskovs</v>
      </c>
      <c r="E7" s="99">
        <f>COUNTIF(Visits!AJ:AJ,'Summer Challenge'!A115)</f>
        <v>0</v>
      </c>
      <c r="G7" cm="1">
        <f t="array" ref="G7">SUM(--(FREQUENCY(IF(Visits!E:E='Summer Challenge'!A7,Visits!AK:AK),Visits!AK:AK)&gt;0))</f>
        <v>1</v>
      </c>
      <c r="H7">
        <f>SUMIF(Visits!E:E,'Summer Challenge'!A7,Visits!AK:AK)</f>
        <v>0</v>
      </c>
      <c r="J7" s="106"/>
      <c r="K7" s="106">
        <f t="shared" si="1"/>
        <v>0</v>
      </c>
      <c r="L7" s="4">
        <f>SUMIF(Visits!E:E,'Summer Challenge'!A7,Visits!AL:AL)</f>
        <v>0</v>
      </c>
      <c r="M7" s="4">
        <f t="shared" si="2"/>
        <v>0</v>
      </c>
      <c r="N7" s="4"/>
      <c r="O7" t="s">
        <v>201</v>
      </c>
      <c r="P7" t="s">
        <v>202</v>
      </c>
      <c r="Q7" t="str">
        <f>IF(SUM('User Engagement'!G5:H5)&gt;=0,"YES", "NO")</f>
        <v>YES</v>
      </c>
      <c r="S7" s="2" t="str">
        <f t="shared" si="0"/>
        <v>Hello Aleksejs! Here is your progress in the *Summer Quest* so far.
👨🏼‍🤝‍👨🏽 *0* new friends
🖼️ *0* exhibitions
🕑 *0* hours of art experiences
Dive deeper into the Guilds and Journeys. Find your next experience bit.ly/3MfEXat
We’re excited to see your adventures unfold over the next 4 weeks! 🚀
Share your journey with pride and don't forget to tag @nimi_collective.</v>
      </c>
    </row>
    <row r="8" spans="1:20" ht="272.10000000000002">
      <c r="A8" t="str">
        <f>Users!A5</f>
        <v>galimova.al.al@gmail.com</v>
      </c>
      <c r="B8" s="66" t="str">
        <f>Users!D5</f>
        <v>07548016207</v>
      </c>
      <c r="C8" s="23" t="str">
        <f>VLOOKUP(A8,Users!A:D,2,FALSE)</f>
        <v>Alina</v>
      </c>
      <c r="D8" s="23" t="str">
        <f>VLOOKUP(A8,Users!A:D,3,FALSE)</f>
        <v>Galimova</v>
      </c>
      <c r="E8" s="99">
        <f>COUNTIF(Visits!AJ:AJ,'Summer Challenge'!A116)</f>
        <v>0</v>
      </c>
      <c r="G8" cm="1">
        <f t="array" ref="G8">SUM(--(FREQUENCY(IF(Visits!E:E='Summer Challenge'!A8,Visits!AK:AK),Visits!AK:AK)&gt;0))</f>
        <v>1</v>
      </c>
      <c r="H8">
        <f>SUMIF(Visits!E:E,'Summer Challenge'!A8,Visits!AK:AK)</f>
        <v>0</v>
      </c>
      <c r="J8" s="106"/>
      <c r="K8" s="106">
        <f t="shared" si="1"/>
        <v>0</v>
      </c>
      <c r="L8" s="4">
        <f>SUMIF(Visits!E:E,'Summer Challenge'!A8,Visits!AL:AL)</f>
        <v>0</v>
      </c>
      <c r="M8" s="4">
        <f t="shared" si="2"/>
        <v>0</v>
      </c>
      <c r="N8" s="4"/>
      <c r="O8" t="s">
        <v>201</v>
      </c>
      <c r="P8" t="s">
        <v>202</v>
      </c>
      <c r="Q8" t="str">
        <f>IF(SUM('User Engagement'!G7:H7)&gt;=0,"YES", "NO")</f>
        <v>YES</v>
      </c>
      <c r="S8" s="2" t="str">
        <f t="shared" si="0"/>
        <v>Hello Alina! Here is your progress in the *Summer Quest* so far.
👨🏼‍🤝‍👨🏽 *0* new friends
🖼️ *0* exhibitions
🕑 *0* hours of art experiences
Dive deeper into the Guilds and Journeys. Find your next experience bit.ly/3MfEXat
We’re excited to see your adventures unfold over the next 4 weeks! 🚀
Share your journey with pride and don't forget to tag @nimi_collective.</v>
      </c>
    </row>
    <row r="9" spans="1:20" ht="272.10000000000002">
      <c r="A9" t="str">
        <f>Users!A6</f>
        <v>alina.flatscher@gmail.com</v>
      </c>
      <c r="B9" s="66" t="str">
        <f>Users!D6</f>
        <v>+44 7443 108741</v>
      </c>
      <c r="C9" s="23" t="str">
        <f>VLOOKUP(A9,Users!A:D,2,FALSE)</f>
        <v>Alina</v>
      </c>
      <c r="D9" s="23" t="str">
        <f>VLOOKUP(A9,Users!A:D,3,FALSE)</f>
        <v>Flatscher</v>
      </c>
      <c r="E9" s="99">
        <f>COUNTIF(Visits!AJ:AJ,'Summer Challenge'!A117)</f>
        <v>0</v>
      </c>
      <c r="G9" cm="1">
        <f t="array" ref="G9">SUM(--(FREQUENCY(IF(Visits!E:E='Summer Challenge'!A9,Visits!AK:AK),Visits!AK:AK)&gt;0))</f>
        <v>1</v>
      </c>
      <c r="H9">
        <f>SUMIF(Visits!E:E,'Summer Challenge'!A9,Visits!AK:AK)</f>
        <v>0</v>
      </c>
      <c r="J9" s="106"/>
      <c r="K9" s="106">
        <f t="shared" si="1"/>
        <v>0</v>
      </c>
      <c r="L9" s="4">
        <f>SUMIF(Visits!E:E,'Summer Challenge'!A9,Visits!AL:AL)</f>
        <v>0</v>
      </c>
      <c r="M9" s="4">
        <f t="shared" si="2"/>
        <v>0</v>
      </c>
      <c r="N9" s="4"/>
      <c r="O9" t="s">
        <v>202</v>
      </c>
      <c r="P9" t="s">
        <v>202</v>
      </c>
      <c r="Q9" t="str">
        <f>IF(SUM('User Engagement'!G8:H8)&gt;=0,"YES", "NO")</f>
        <v>YES</v>
      </c>
      <c r="S9" s="2" t="str">
        <f t="shared" si="0"/>
        <v>Hello Alina! Here is your progress in the *Summer Quest* so far.
👨🏼‍🤝‍👨🏽 *0* new friends
🖼️ *0* exhibitions
🕑 *0* hours of art experiences
Dive deeper into the Guilds and Journeys. Find your next experience bit.ly/3MfEXat
We’re excited to see your adventures unfold over the next 4 weeks! 🚀
Share your journey with pride and don't forget to tag @nimi_collective.</v>
      </c>
    </row>
    <row r="10" spans="1:20" ht="272.10000000000002">
      <c r="A10" t="str">
        <f>Users!A119</f>
        <v>kaolinokaimana@gmail.com</v>
      </c>
      <c r="C10" s="23" t="str">
        <f>VLOOKUP(A10,Users!A:D,2,FALSE)</f>
        <v>Alison</v>
      </c>
      <c r="D10" s="23" t="str">
        <f>VLOOKUP(A10,Users!A:D,3,FALSE)</f>
        <v>Yasuoka</v>
      </c>
      <c r="E10" s="99">
        <f>COUNTIF(Visits!AJ:AJ,'Summer Challenge'!A118)</f>
        <v>0</v>
      </c>
      <c r="G10" cm="1">
        <f t="array" ref="G10">SUM(--(FREQUENCY(IF(Visits!E:E='Summer Challenge'!A10,Visits!AK:AK),Visits!AK:AK)&gt;0))</f>
        <v>1</v>
      </c>
      <c r="H10">
        <f>SUMIF(Visits!E:E,'Summer Challenge'!A10,Visits!AK:AK)</f>
        <v>3</v>
      </c>
      <c r="J10" s="106"/>
      <c r="K10" s="106">
        <f t="shared" si="1"/>
        <v>15</v>
      </c>
      <c r="L10" s="4">
        <f>SUMIF(Visits!E:E,'Summer Challenge'!A10,Visits!AL:AL)</f>
        <v>3</v>
      </c>
      <c r="M10" s="4">
        <f t="shared" si="2"/>
        <v>12</v>
      </c>
      <c r="N10" s="4"/>
      <c r="O10" t="s">
        <v>201</v>
      </c>
      <c r="P10" t="s">
        <v>202</v>
      </c>
      <c r="Q10" t="str">
        <f>IF(SUM('User Engagement'!G121:H121)&gt;=0,"YES", "NO")</f>
        <v>YES</v>
      </c>
      <c r="S10" s="2" t="str">
        <f t="shared" si="0"/>
        <v>Hello Alison! Here is your progress in the *Summer Quest* so far.
👨🏼‍🤝‍👨🏽 *15* new friends
🖼️ *3* exhibitions
🕑 *12* hours of art experiences
Dive deeper into the Guilds and Journeys. Find your next experience bit.ly/3MfEXat
We’re excited to see your adventures unfold over the next 4 weeks! 🚀
Share your journey with pride and don't forget to tag @nimi_collective.</v>
      </c>
      <c r="T10" t="s">
        <v>203</v>
      </c>
    </row>
    <row r="11" spans="1:20" ht="272.10000000000002">
      <c r="A11" t="str">
        <f>Users!A7</f>
        <v>vasques.anacarolina@gmail.com</v>
      </c>
      <c r="B11" s="66" t="str">
        <f>Users!D7</f>
        <v>+44 7769 343524</v>
      </c>
      <c r="C11" s="23" t="str">
        <f>VLOOKUP(A11,Users!A:D,2,FALSE)</f>
        <v>Ana</v>
      </c>
      <c r="D11" s="23" t="str">
        <f>VLOOKUP(A11,Users!A:D,3,FALSE)</f>
        <v>Vasques</v>
      </c>
      <c r="E11" s="99">
        <f>COUNTIF(Visits!AJ:AJ,'Summer Challenge'!A119)</f>
        <v>0</v>
      </c>
      <c r="G11" cm="1">
        <f t="array" ref="G11">SUM(--(FREQUENCY(IF(Visits!E:E='Summer Challenge'!A11,Visits!AK:AK),Visits!AK:AK)&gt;0))</f>
        <v>1</v>
      </c>
      <c r="H11">
        <f>SUMIF(Visits!E:E,'Summer Challenge'!A11,Visits!AK:AK)</f>
        <v>0</v>
      </c>
      <c r="J11" s="106"/>
      <c r="K11" s="106">
        <f t="shared" si="1"/>
        <v>0</v>
      </c>
      <c r="L11" s="4">
        <f>SUMIF(Visits!E:E,'Summer Challenge'!A11,Visits!AL:AL)</f>
        <v>0</v>
      </c>
      <c r="M11" s="4">
        <f t="shared" si="2"/>
        <v>0</v>
      </c>
      <c r="N11" s="4"/>
      <c r="O11" t="s">
        <v>202</v>
      </c>
      <c r="P11" t="s">
        <v>202</v>
      </c>
      <c r="Q11" t="str">
        <f>IF(SUM('User Engagement'!G9:H9)&gt;=0,"YES", "NO")</f>
        <v>YES</v>
      </c>
      <c r="S11" s="2" t="str">
        <f t="shared" si="0"/>
        <v>Hello Ana! Here is your progress in the *Summer Quest* so far.
👨🏼‍🤝‍👨🏽 *0* new friends
🖼️ *0* exhibitions
🕑 *0* hours of art experiences
Dive deeper into the Guilds and Journeys. Find your next experience bit.ly/3MfEXat
We’re excited to see your adventures unfold over the next 4 weeks! 🚀
Share your journey with pride and don't forget to tag @nimi_collective.</v>
      </c>
      <c r="T11" t="s">
        <v>203</v>
      </c>
    </row>
    <row r="12" spans="1:20" ht="272.10000000000002">
      <c r="A12" t="str">
        <f>Users!A8</f>
        <v>anayosefi@gmail.com</v>
      </c>
      <c r="B12" s="66" t="str">
        <f>Users!D8</f>
        <v>+4799386437</v>
      </c>
      <c r="C12" s="23" t="str">
        <f>VLOOKUP(A12,Users!A:D,2,FALSE)</f>
        <v>Anahita</v>
      </c>
      <c r="D12" s="23" t="str">
        <f>VLOOKUP(A12,Users!A:D,3,FALSE)</f>
        <v>Yousefi</v>
      </c>
      <c r="E12" s="99">
        <f>COUNTIF(Visits!AJ:AJ,'Summer Challenge'!A120)</f>
        <v>0</v>
      </c>
      <c r="G12" cm="1">
        <f t="array" ref="G12">SUM(--(FREQUENCY(IF(Visits!E:E='Summer Challenge'!A12,Visits!AK:AK),Visits!AK:AK)&gt;0))</f>
        <v>1</v>
      </c>
      <c r="H12">
        <f>SUMIF(Visits!E:E,'Summer Challenge'!A12,Visits!AK:AK)</f>
        <v>0</v>
      </c>
      <c r="J12" s="106"/>
      <c r="K12" s="106">
        <f t="shared" si="1"/>
        <v>0</v>
      </c>
      <c r="L12" s="4">
        <f>SUMIF(Visits!E:E,'Summer Challenge'!A12,Visits!AL:AL)</f>
        <v>0</v>
      </c>
      <c r="M12" s="4">
        <f t="shared" si="2"/>
        <v>0</v>
      </c>
      <c r="N12" s="4"/>
      <c r="O12" t="s">
        <v>201</v>
      </c>
      <c r="P12" t="s">
        <v>202</v>
      </c>
      <c r="Q12" t="str">
        <f>IF(SUM('User Engagement'!G10:H10)&gt;=0,"YES", "NO")</f>
        <v>YES</v>
      </c>
      <c r="S12" s="2" t="str">
        <f t="shared" si="0"/>
        <v>Hello Anahita! Here is your progress in the *Summer Quest* so far.
👨🏼‍🤝‍👨🏽 *0* new friends
🖼️ *0* exhibitions
🕑 *0* hours of art experiences
Dive deeper into the Guilds and Journeys. Find your next experience bit.ly/3MfEXat
We’re excited to see your adventures unfold over the next 4 weeks! 🚀
Share your journey with pride and don't forget to tag @nimi_collective.</v>
      </c>
    </row>
    <row r="13" spans="1:20" ht="272.10000000000002">
      <c r="A13" t="str">
        <f>Users!A9</f>
        <v>rtranaita@gmail.com</v>
      </c>
      <c r="B13" s="66">
        <f>Users!D9</f>
        <v>0</v>
      </c>
      <c r="C13" s="23" t="str">
        <f>VLOOKUP(A13,Users!A:D,2,FALSE)</f>
        <v>Anaita</v>
      </c>
      <c r="D13" s="23" t="str">
        <f>VLOOKUP(A13,Users!A:D,3,FALSE)</f>
        <v>Agatic</v>
      </c>
      <c r="E13" s="99">
        <f>COUNTIF(Visits!AJ:AJ,'Summer Challenge'!A121)</f>
        <v>0</v>
      </c>
      <c r="G13" cm="1">
        <f t="array" ref="G13">SUM(--(FREQUENCY(IF(Visits!E:E='Summer Challenge'!A13,Visits!AK:AK),Visits!AK:AK)&gt;0))</f>
        <v>1</v>
      </c>
      <c r="H13">
        <f>SUMIF(Visits!E:E,'Summer Challenge'!A13,Visits!AK:AK)</f>
        <v>0</v>
      </c>
      <c r="J13" s="106"/>
      <c r="K13" s="106">
        <f t="shared" si="1"/>
        <v>0</v>
      </c>
      <c r="L13" s="4">
        <f>SUMIF(Visits!E:E,'Summer Challenge'!A13,Visits!AL:AL)</f>
        <v>0</v>
      </c>
      <c r="M13" s="4">
        <f t="shared" si="2"/>
        <v>0</v>
      </c>
      <c r="N13" s="4"/>
      <c r="O13" t="s">
        <v>201</v>
      </c>
      <c r="P13" t="s">
        <v>202</v>
      </c>
      <c r="Q13" t="str">
        <f>IF(SUM('User Engagement'!G11:H11)&gt;=0,"YES", "NO")</f>
        <v>YES</v>
      </c>
      <c r="S13" s="2" t="str">
        <f t="shared" si="0"/>
        <v>Hello Anaita! Here is your progress in the *Summer Quest* so far.
👨🏼‍🤝‍👨🏽 *0* new friends
🖼️ *0* exhibitions
🕑 *0* hours of art experiences
Dive deeper into the Guilds and Journeys. Find your next experience bit.ly/3MfEXat
We’re excited to see your adventures unfold over the next 4 weeks! 🚀
Share your journey with pride and don't forget to tag @nimi_collective.</v>
      </c>
    </row>
    <row r="14" spans="1:20" ht="272.10000000000002">
      <c r="A14" t="str">
        <f>Users!A10</f>
        <v>anamariaperu@hotmail.co.uk</v>
      </c>
      <c r="B14" s="66" t="str">
        <f>Users!D10</f>
        <v>07980320717</v>
      </c>
      <c r="C14" s="23" t="str">
        <f>VLOOKUP(A14,Users!A:D,2,FALSE)</f>
        <v>Anamaria</v>
      </c>
      <c r="D14" s="23" t="str">
        <f>VLOOKUP(A14,Users!A:D,3,FALSE)</f>
        <v>Parsons</v>
      </c>
      <c r="E14" s="99">
        <f>COUNTIF(Visits!AJ:AJ,'Summer Challenge'!A122)</f>
        <v>0</v>
      </c>
      <c r="G14" cm="1">
        <f t="array" ref="G14">SUM(--(FREQUENCY(IF(Visits!E:E='Summer Challenge'!A14,Visits!AK:AK),Visits!AK:AK)&gt;0))</f>
        <v>1</v>
      </c>
      <c r="H14">
        <f>SUMIF(Visits!E:E,'Summer Challenge'!A14,Visits!AK:AK)</f>
        <v>0</v>
      </c>
      <c r="J14" s="106"/>
      <c r="K14" s="106">
        <f t="shared" si="1"/>
        <v>0</v>
      </c>
      <c r="L14" s="4">
        <f>SUMIF(Visits!E:E,'Summer Challenge'!A14,Visits!AL:AL)</f>
        <v>0</v>
      </c>
      <c r="M14" s="4">
        <f t="shared" si="2"/>
        <v>0</v>
      </c>
      <c r="N14" s="4"/>
      <c r="O14" t="s">
        <v>201</v>
      </c>
      <c r="P14" t="s">
        <v>202</v>
      </c>
      <c r="Q14" t="str">
        <f>IF(SUM('User Engagement'!G12:H12)&gt;=0,"YES", "NO")</f>
        <v>YES</v>
      </c>
      <c r="S14" s="2" t="str">
        <f t="shared" si="0"/>
        <v>Hello Anamaria! Here is your progress in the *Summer Quest* so far.
👨🏼‍🤝‍👨🏽 *0* new friends
🖼️ *0* exhibitions
🕑 *0* hours of art experiences
Dive deeper into the Guilds and Journeys. Find your next experience bit.ly/3MfEXat
We’re excited to see your adventures unfold over the next 4 weeks! 🚀
Share your journey with pride and don't forget to tag @nimi_collective.</v>
      </c>
    </row>
    <row r="15" spans="1:20" ht="272.10000000000002">
      <c r="A15" t="str">
        <f>Users!A11</f>
        <v>apbhetherington@gmail.com</v>
      </c>
      <c r="B15" s="66" t="str">
        <f>Users!D11</f>
        <v>07540949525</v>
      </c>
      <c r="C15" s="23" t="str">
        <f>VLOOKUP(A15,Users!A:D,2,FALSE)</f>
        <v>Andrew</v>
      </c>
      <c r="D15" s="23" t="str">
        <f>VLOOKUP(A15,Users!A:D,3,FALSE)</f>
        <v>Hetherington</v>
      </c>
      <c r="E15" s="99">
        <f>COUNTIF(Visits!AJ:AJ,'Summer Challenge'!A123)</f>
        <v>0</v>
      </c>
      <c r="G15" cm="1">
        <f t="array" ref="G15">SUM(--(FREQUENCY(IF(Visits!E:E='Summer Challenge'!A15,Visits!AK:AK),Visits!AK:AK)&gt;0))</f>
        <v>1</v>
      </c>
      <c r="H15">
        <f>SUMIF(Visits!E:E,'Summer Challenge'!A15,Visits!AK:AK)</f>
        <v>0</v>
      </c>
      <c r="J15" s="106"/>
      <c r="K15" s="106">
        <f t="shared" si="1"/>
        <v>0</v>
      </c>
      <c r="L15" s="4">
        <f>SUMIF(Visits!E:E,'Summer Challenge'!A15,Visits!AL:AL)</f>
        <v>0</v>
      </c>
      <c r="M15" s="4">
        <f t="shared" si="2"/>
        <v>0</v>
      </c>
      <c r="N15" s="4"/>
      <c r="O15" t="s">
        <v>201</v>
      </c>
      <c r="P15" t="s">
        <v>202</v>
      </c>
      <c r="Q15" t="str">
        <f>IF(SUM('User Engagement'!G13:H13)&gt;=0,"YES", "NO")</f>
        <v>YES</v>
      </c>
      <c r="S15" s="2" t="str">
        <f t="shared" si="0"/>
        <v>Hello Andrew! Here is your progress in the *Summer Quest* so far.
👨🏼‍🤝‍👨🏽 *0* new friends
🖼️ *0* exhibitions
🕑 *0* hours of art experiences
Dive deeper into the Guilds and Journeys. Find your next experience bit.ly/3MfEXat
We’re excited to see your adventures unfold over the next 4 weeks! 🚀
Share your journey with pride and don't forget to tag @nimi_collective.</v>
      </c>
    </row>
    <row r="16" spans="1:20" ht="272.10000000000002">
      <c r="A16" t="str">
        <f>Users!A12</f>
        <v>andrew.restlesspanda@gmail.com</v>
      </c>
      <c r="B16" s="66" t="str">
        <f>Users!D12</f>
        <v>+447536484874</v>
      </c>
      <c r="C16" s="23" t="str">
        <f>VLOOKUP(A16,Users!A:D,2,FALSE)</f>
        <v>Andrew</v>
      </c>
      <c r="D16" s="23" t="str">
        <f>VLOOKUP(A16,Users!A:D,3,FALSE)</f>
        <v>Ikonnikov</v>
      </c>
      <c r="E16" s="99">
        <f>COUNTIF(Visits!AJ:AJ,'Summer Challenge'!A124)</f>
        <v>0</v>
      </c>
      <c r="G16" cm="1">
        <f t="array" ref="G16">SUM(--(FREQUENCY(IF(Visits!E:E='Summer Challenge'!A16,Visits!AK:AK),Visits!AK:AK)&gt;0))</f>
        <v>1</v>
      </c>
      <c r="H16">
        <f>SUMIF(Visits!E:E,'Summer Challenge'!A16,Visits!AK:AK)</f>
        <v>0</v>
      </c>
      <c r="J16" s="106"/>
      <c r="K16" s="106">
        <f t="shared" si="1"/>
        <v>0</v>
      </c>
      <c r="L16" s="4">
        <f>SUMIF(Visits!E:E,'Summer Challenge'!A16,Visits!AL:AL)</f>
        <v>0</v>
      </c>
      <c r="M16" s="4">
        <f t="shared" si="2"/>
        <v>0</v>
      </c>
      <c r="N16" s="4"/>
      <c r="O16" t="s">
        <v>202</v>
      </c>
      <c r="P16" t="s">
        <v>202</v>
      </c>
      <c r="Q16" t="str">
        <f>IF(SUM('User Engagement'!G14:H14)&gt;=0,"YES", "NO")</f>
        <v>YES</v>
      </c>
      <c r="S16" s="2" t="str">
        <f t="shared" si="0"/>
        <v>Hello Andrew! Here is your progress in the *Summer Quest* so far.
👨🏼‍🤝‍👨🏽 *0* new friends
🖼️ *0* exhibitions
🕑 *0* hours of art experiences
Dive deeper into the Guilds and Journeys. Find your next experience bit.ly/3MfEXat
We’re excited to see your adventures unfold over the next 4 weeks! 🚀
Share your journey with pride and don't forget to tag @nimi_collective.</v>
      </c>
    </row>
    <row r="17" spans="1:20" ht="272.10000000000002">
      <c r="A17" t="str">
        <f>Users!A13</f>
        <v>angelakiva10@gmail.com</v>
      </c>
      <c r="B17" s="66">
        <f>Users!D13</f>
        <v>7730398818</v>
      </c>
      <c r="C17" s="23" t="str">
        <f>VLOOKUP(A17,Users!A:D,2,FALSE)</f>
        <v>Angela</v>
      </c>
      <c r="D17" s="23" t="str">
        <f>VLOOKUP(A17,Users!A:D,3,FALSE)</f>
        <v>Kiva</v>
      </c>
      <c r="E17" s="99">
        <f>COUNTIF(Visits!AJ:AJ,'Summer Challenge'!A125)</f>
        <v>0</v>
      </c>
      <c r="G17" cm="1">
        <f t="array" ref="G17">SUM(--(FREQUENCY(IF(Visits!E:E='Summer Challenge'!A17,Visits!AK:AK),Visits!AK:AK)&gt;0))</f>
        <v>1</v>
      </c>
      <c r="H17">
        <f>SUMIF(Visits!E:E,'Summer Challenge'!A17,Visits!AK:AK)</f>
        <v>0</v>
      </c>
      <c r="J17" s="106"/>
      <c r="K17" s="106">
        <f t="shared" si="1"/>
        <v>0</v>
      </c>
      <c r="L17" s="4">
        <f>SUMIF(Visits!E:E,'Summer Challenge'!A17,Visits!AL:AL)</f>
        <v>0</v>
      </c>
      <c r="M17" s="4">
        <f t="shared" si="2"/>
        <v>0</v>
      </c>
      <c r="N17" s="4"/>
      <c r="O17" t="s">
        <v>202</v>
      </c>
      <c r="P17" t="s">
        <v>202</v>
      </c>
      <c r="Q17" t="str">
        <f>IF(SUM('User Engagement'!G15:H15)&gt;=0,"YES", "NO")</f>
        <v>YES</v>
      </c>
      <c r="S17" s="2" t="str">
        <f t="shared" si="0"/>
        <v>Hello Angela! Here is your progress in the *Summer Quest* so far.
👨🏼‍🤝‍👨🏽 *0* new friends
🖼️ *0* exhibitions
🕑 *0* hours of art experiences
Dive deeper into the Guilds and Journeys. Find your next experience bit.ly/3MfEXat
We’re excited to see your adventures unfold over the next 4 weeks! 🚀
Share your journey with pride and don't forget to tag @nimi_collective.</v>
      </c>
    </row>
    <row r="18" spans="1:20" ht="272.10000000000002">
      <c r="A18" t="str">
        <f>Users!A14</f>
        <v>Anishasood26@gmail.com</v>
      </c>
      <c r="B18" s="66" t="str">
        <f>Users!D14</f>
        <v>+44 7873 956356</v>
      </c>
      <c r="C18" s="23" t="str">
        <f>VLOOKUP(A18,Users!A:D,2,FALSE)</f>
        <v>Anisha</v>
      </c>
      <c r="D18" s="23" t="str">
        <f>VLOOKUP(A18,Users!A:D,3,FALSE)</f>
        <v>Sood</v>
      </c>
      <c r="E18" s="99">
        <f>COUNTIF(Visits!AJ:AJ,'Summer Challenge'!A126)</f>
        <v>0</v>
      </c>
      <c r="G18" cm="1">
        <f t="array" ref="G18">SUM(--(FREQUENCY(IF(Visits!E:E='Summer Challenge'!A18,Visits!AK:AK),Visits!AK:AK)&gt;0))</f>
        <v>1</v>
      </c>
      <c r="H18">
        <f>SUMIF(Visits!E:E,'Summer Challenge'!A18,Visits!AK:AK)</f>
        <v>2</v>
      </c>
      <c r="J18" s="106"/>
      <c r="K18" s="106">
        <f t="shared" si="1"/>
        <v>10</v>
      </c>
      <c r="L18" s="4">
        <f>SUMIF(Visits!E:E,'Summer Challenge'!A18,Visits!AL:AL)</f>
        <v>2</v>
      </c>
      <c r="M18" s="4">
        <f t="shared" si="2"/>
        <v>8</v>
      </c>
      <c r="N18" s="4"/>
      <c r="O18" t="s">
        <v>202</v>
      </c>
      <c r="P18" t="s">
        <v>202</v>
      </c>
      <c r="Q18" t="str">
        <f>IF(SUM('User Engagement'!G16:H16)&gt;=0,"YES", "NO")</f>
        <v>YES</v>
      </c>
      <c r="S18" s="2" t="str">
        <f t="shared" si="0"/>
        <v>Hello Anisha! Here is your progress in the *Summer Quest* so far.
👨🏼‍🤝‍👨🏽 *10* new friends
🖼️ *2* exhibitions
🕑 *8* hours of art experiences
Dive deeper into the Guilds and Journeys. Find your next experience bit.ly/3MfEXat
We’re excited to see your adventures unfold over the next 4 weeks! 🚀
Share your journey with pride and don't forget to tag @nimi_collective.</v>
      </c>
      <c r="T18" t="s">
        <v>203</v>
      </c>
    </row>
    <row r="19" spans="1:20" ht="272.10000000000002">
      <c r="A19" t="str">
        <f>Users!A114</f>
        <v>annesandesu@yahoo.com</v>
      </c>
      <c r="C19" s="23" t="str">
        <f>VLOOKUP(A19,Users!A:D,2,FALSE)</f>
        <v>Anne</v>
      </c>
      <c r="D19" s="23" t="str">
        <f>VLOOKUP(A19,Users!A:D,3,FALSE)</f>
        <v>Constant</v>
      </c>
      <c r="E19" s="99">
        <f>COUNTIF(Visits!AJ:AJ,'Summer Challenge'!A127)</f>
        <v>0</v>
      </c>
      <c r="G19" cm="1">
        <f t="array" ref="G19">SUM(--(FREQUENCY(IF(Visits!E:E='Summer Challenge'!A19,Visits!AK:AK),Visits!AK:AK)&gt;0))</f>
        <v>1</v>
      </c>
      <c r="H19">
        <f>SUMIF(Visits!E:E,'Summer Challenge'!A19,Visits!AK:AK)</f>
        <v>1</v>
      </c>
      <c r="J19" s="106"/>
      <c r="K19" s="106">
        <f t="shared" si="1"/>
        <v>5</v>
      </c>
      <c r="L19" s="4">
        <f>SUMIF(Visits!E:E,'Summer Challenge'!A19,Visits!AL:AL)</f>
        <v>1</v>
      </c>
      <c r="M19" s="4">
        <f t="shared" si="2"/>
        <v>4</v>
      </c>
      <c r="N19" s="4"/>
      <c r="O19" t="s">
        <v>201</v>
      </c>
      <c r="P19" t="s">
        <v>202</v>
      </c>
      <c r="Q19" t="str">
        <f>IF(SUM('User Engagement'!G116:H116)&gt;=0,"YES", "NO")</f>
        <v>YES</v>
      </c>
      <c r="S19" s="2" t="str">
        <f t="shared" si="0"/>
        <v>Hello Anne! Here is your progress in the *Summer Quest* so far.
👨🏼‍🤝‍👨🏽 *5* new friends
🖼️ *1* exhibitions
🕑 *4* hours of art experiences
Dive deeper into the Guilds and Journeys. Find your next experience bit.ly/3MfEXat
We’re excited to see your adventures unfold over the next 4 weeks! 🚀
Share your journey with pride and don't forget to tag @nimi_collective.</v>
      </c>
      <c r="T19" t="s">
        <v>203</v>
      </c>
    </row>
    <row r="20" spans="1:20" ht="272.10000000000002">
      <c r="A20" t="str">
        <f>Users!A15</f>
        <v>audreyrebeccahutabarat@gmail.com</v>
      </c>
      <c r="B20" s="66" t="str">
        <f>Users!D15</f>
        <v>07714021821</v>
      </c>
      <c r="C20" s="23" t="str">
        <f>VLOOKUP(A20,Users!A:D,2,FALSE)</f>
        <v>Audrey</v>
      </c>
      <c r="D20" s="23" t="str">
        <f>VLOOKUP(A20,Users!A:D,3,FALSE)</f>
        <v>Hutabarat</v>
      </c>
      <c r="E20" s="99">
        <f>COUNTIF(Visits!AJ:AJ,'Summer Challenge'!A128)</f>
        <v>0</v>
      </c>
      <c r="G20" cm="1">
        <f t="array" ref="G20">SUM(--(FREQUENCY(IF(Visits!E:E='Summer Challenge'!A20,Visits!AK:AK),Visits!AK:AK)&gt;0))</f>
        <v>1</v>
      </c>
      <c r="H20">
        <f>SUMIF(Visits!E:E,'Summer Challenge'!A20,Visits!AK:AK)</f>
        <v>0</v>
      </c>
      <c r="J20" s="106"/>
      <c r="K20" s="106">
        <f t="shared" si="1"/>
        <v>0</v>
      </c>
      <c r="L20" s="4">
        <f>SUMIF(Visits!E:E,'Summer Challenge'!A20,Visits!AL:AL)</f>
        <v>0</v>
      </c>
      <c r="M20" s="4">
        <f t="shared" si="2"/>
        <v>0</v>
      </c>
      <c r="N20" s="4"/>
      <c r="O20" t="s">
        <v>201</v>
      </c>
      <c r="P20" t="s">
        <v>202</v>
      </c>
      <c r="Q20" t="str">
        <f>IF(SUM('User Engagement'!G17:H17)&gt;=0,"YES", "NO")</f>
        <v>YES</v>
      </c>
      <c r="S20" s="2" t="str">
        <f t="shared" si="0"/>
        <v>Hello Audrey! Here is your progress in the *Summer Quest* so far.
👨🏼‍🤝‍👨🏽 *0* new friends
🖼️ *0* exhibitions
🕑 *0* hours of art experiences
Dive deeper into the Guilds and Journeys. Find your next experience bit.ly/3MfEXat
We’re excited to see your adventures unfold over the next 4 weeks! 🚀
Share your journey with pride and don't forget to tag @nimi_collective.</v>
      </c>
    </row>
    <row r="21" spans="1:20" ht="272.10000000000002">
      <c r="A21" t="str">
        <f>Users!A16</f>
        <v>beverly.mccrory@gmail.com</v>
      </c>
      <c r="B21" s="66" t="str">
        <f>Users!D16</f>
        <v>+447300421972</v>
      </c>
      <c r="C21" s="23" t="str">
        <f>VLOOKUP(A21,Users!A:D,2,FALSE)</f>
        <v>Bev</v>
      </c>
      <c r="D21" s="23" t="str">
        <f>VLOOKUP(A21,Users!A:D,3,FALSE)</f>
        <v>McCrory</v>
      </c>
      <c r="E21" s="99">
        <f>COUNTIF(Visits!AJ:AJ,'Summer Challenge'!A129)</f>
        <v>0</v>
      </c>
      <c r="G21" cm="1">
        <f t="array" ref="G21">SUM(--(FREQUENCY(IF(Visits!E:E='Summer Challenge'!A21,Visits!AK:AK),Visits!AK:AK)&gt;0))</f>
        <v>1</v>
      </c>
      <c r="H21">
        <f>SUMIF(Visits!E:E,'Summer Challenge'!A21,Visits!AK:AK)</f>
        <v>1</v>
      </c>
      <c r="J21" s="106"/>
      <c r="K21" s="106">
        <f t="shared" si="1"/>
        <v>5</v>
      </c>
      <c r="L21" s="4">
        <f>SUMIF(Visits!E:E,'Summer Challenge'!A21,Visits!AL:AL)</f>
        <v>1</v>
      </c>
      <c r="M21" s="4">
        <f t="shared" si="2"/>
        <v>4</v>
      </c>
      <c r="N21" s="4"/>
      <c r="O21" t="s">
        <v>202</v>
      </c>
      <c r="P21" t="s">
        <v>202</v>
      </c>
      <c r="Q21" t="str">
        <f>IF(SUM('User Engagement'!G18:H18)&gt;=0,"YES", "NO")</f>
        <v>YES</v>
      </c>
      <c r="S21" s="2" t="str">
        <f t="shared" si="0"/>
        <v>Hello Bev! Here is your progress in the *Summer Quest* so far.
👨🏼‍🤝‍👨🏽 *5* new friends
🖼️ *1* exhibitions
🕑 *4* hours of art experiences
Dive deeper into the Guilds and Journeys. Find your next experience bit.ly/3MfEXat
We’re excited to see your adventures unfold over the next 4 weeks! 🚀
Share your journey with pride and don't forget to tag @nimi_collective.</v>
      </c>
      <c r="T21" t="s">
        <v>203</v>
      </c>
    </row>
    <row r="22" spans="1:20" ht="272.10000000000002">
      <c r="A22" t="str">
        <f>Users!A17</f>
        <v>camilla@sphero.network</v>
      </c>
      <c r="B22" s="66" t="str">
        <f>Users!D17</f>
        <v>+55 11 99319-8180</v>
      </c>
      <c r="C22" s="23" t="str">
        <f>VLOOKUP(A22,Users!A:D,2,FALSE)</f>
        <v>Camilla</v>
      </c>
      <c r="D22" s="23" t="str">
        <f>VLOOKUP(A22,Users!A:D,3,FALSE)</f>
        <v>Carrapatoso</v>
      </c>
      <c r="E22" s="99">
        <f>COUNTIF(Visits!AJ:AJ,'Summer Challenge'!A130)</f>
        <v>0</v>
      </c>
      <c r="G22" cm="1">
        <f t="array" ref="G22">SUM(--(FREQUENCY(IF(Visits!E:E='Summer Challenge'!A22,Visits!AK:AK),Visits!AK:AK)&gt;0))</f>
        <v>0</v>
      </c>
      <c r="H22">
        <f>SUMIF(Visits!E:E,'Summer Challenge'!A22,Visits!AK:AK)</f>
        <v>0</v>
      </c>
      <c r="J22" s="106"/>
      <c r="K22" s="106">
        <f t="shared" si="1"/>
        <v>0</v>
      </c>
      <c r="L22" s="4">
        <f>SUMIF(Visits!E:E,'Summer Challenge'!A22,Visits!AL:AL)</f>
        <v>0</v>
      </c>
      <c r="M22" s="4">
        <f t="shared" si="2"/>
        <v>0</v>
      </c>
      <c r="N22" s="4"/>
      <c r="O22" t="s">
        <v>201</v>
      </c>
      <c r="P22" t="s">
        <v>202</v>
      </c>
      <c r="Q22" t="str">
        <f>IF(SUM('User Engagement'!G19:H19)&gt;=0,"YES", "NO")</f>
        <v>YES</v>
      </c>
      <c r="S22" s="2" t="str">
        <f t="shared" si="0"/>
        <v>Hello Camilla! Here is your progress in the *Summer Quest* so far.
👨🏼‍🤝‍👨🏽 *0* new friends
🖼️ *0* exhibitions
🕑 *0* hours of art experiences
Dive deeper into the Guilds and Journeys. Find your next experience bit.ly/3MfEXat
We’re excited to see your adventures unfold over the next 4 weeks! 🚀
Share your journey with pride and don't forget to tag @nimi_collective.</v>
      </c>
    </row>
    <row r="23" spans="1:20" ht="272.10000000000002">
      <c r="A23" t="str">
        <f>Users!A18</f>
        <v>sweetkowi@gmail.com</v>
      </c>
      <c r="B23" s="66" t="str">
        <f>Users!D18</f>
        <v>07380407565</v>
      </c>
      <c r="C23" s="23" t="str">
        <f>VLOOKUP(A23,Users!A:D,2,FALSE)</f>
        <v>Cecilia</v>
      </c>
      <c r="D23" s="23" t="str">
        <f>VLOOKUP(A23,Users!A:D,3,FALSE)</f>
        <v>Lee</v>
      </c>
      <c r="E23" s="99">
        <f>COUNTIF(Visits!AJ:AJ,'Summer Challenge'!A131)</f>
        <v>0</v>
      </c>
      <c r="G23" cm="1">
        <f t="array" ref="G23">SUM(--(FREQUENCY(IF(Visits!E:E='Summer Challenge'!A23,Visits!AK:AK),Visits!AK:AK)&gt;0))</f>
        <v>1</v>
      </c>
      <c r="H23">
        <f>SUMIF(Visits!E:E,'Summer Challenge'!A23,Visits!AK:AK)</f>
        <v>1</v>
      </c>
      <c r="J23" s="106"/>
      <c r="K23" s="106">
        <f t="shared" si="1"/>
        <v>5</v>
      </c>
      <c r="L23" s="4">
        <f>SUMIF(Visits!E:E,'Summer Challenge'!A23,Visits!AL:AL)</f>
        <v>1</v>
      </c>
      <c r="M23" s="4">
        <f t="shared" si="2"/>
        <v>4</v>
      </c>
      <c r="N23" s="4"/>
      <c r="O23" t="s">
        <v>201</v>
      </c>
      <c r="P23" t="s">
        <v>202</v>
      </c>
      <c r="Q23" t="str">
        <f>IF(SUM('User Engagement'!G20:H20)&gt;=0,"YES", "NO")</f>
        <v>YES</v>
      </c>
      <c r="S23" s="2" t="str">
        <f t="shared" si="0"/>
        <v>Hello Cecilia! Here is your progress in the *Summer Quest* so far.
👨🏼‍🤝‍👨🏽 *5* new friends
🖼️ *1* exhibitions
🕑 *4* hours of art experiences
Dive deeper into the Guilds and Journeys. Find your next experience bit.ly/3MfEXat
We’re excited to see your adventures unfold over the next 4 weeks! 🚀
Share your journey with pride and don't forget to tag @nimi_collective.</v>
      </c>
      <c r="T23" t="s">
        <v>203</v>
      </c>
    </row>
    <row r="24" spans="1:20" ht="272.10000000000002">
      <c r="A24" t="str">
        <f>Users!A19</f>
        <v>celia.sattamino@gmail.com</v>
      </c>
      <c r="B24" s="66" t="str">
        <f>Users!D19</f>
        <v>+44 7939 929263</v>
      </c>
      <c r="C24" s="23" t="str">
        <f>VLOOKUP(A24,Users!A:D,2,FALSE)</f>
        <v>Celia</v>
      </c>
      <c r="D24" s="23" t="str">
        <f>VLOOKUP(A24,Users!A:D,3,FALSE)</f>
        <v>Sattamino</v>
      </c>
      <c r="E24" s="99">
        <f>COUNTIF(Visits!AJ:AJ,'Summer Challenge'!A132)</f>
        <v>0</v>
      </c>
      <c r="G24" cm="1">
        <f t="array" ref="G24">SUM(--(FREQUENCY(IF(Visits!E:E='Summer Challenge'!A24,Visits!AK:AK),Visits!AK:AK)&gt;0))</f>
        <v>1</v>
      </c>
      <c r="H24">
        <f>SUMIF(Visits!E:E,'Summer Challenge'!A24,Visits!AK:AK)</f>
        <v>0</v>
      </c>
      <c r="J24" s="106"/>
      <c r="K24" s="106">
        <f t="shared" si="1"/>
        <v>0</v>
      </c>
      <c r="L24" s="4">
        <f>SUMIF(Visits!E:E,'Summer Challenge'!A24,Visits!AL:AL)</f>
        <v>0</v>
      </c>
      <c r="M24" s="4">
        <f t="shared" si="2"/>
        <v>0</v>
      </c>
      <c r="N24" s="4"/>
      <c r="O24" t="s">
        <v>202</v>
      </c>
      <c r="P24" t="s">
        <v>202</v>
      </c>
      <c r="Q24" t="str">
        <f>IF(SUM('User Engagement'!G21:H21)&gt;=0,"YES", "NO")</f>
        <v>YES</v>
      </c>
      <c r="S24" s="2" t="str">
        <f t="shared" si="0"/>
        <v>Hello Celia! Here is your progress in the *Summer Quest* so far.
👨🏼‍🤝‍👨🏽 *0* new friends
🖼️ *0* exhibitions
🕑 *0* hours of art experiences
Dive deeper into the Guilds and Journeys. Find your next experience bit.ly/3MfEXat
We’re excited to see your adventures unfold over the next 4 weeks! 🚀
Share your journey with pride and don't forget to tag @nimi_collective.</v>
      </c>
    </row>
    <row r="25" spans="1:20" ht="272.10000000000002">
      <c r="A25" t="str">
        <f>Users!A117</f>
        <v>haixiangzhu@hotmail.com</v>
      </c>
      <c r="C25" s="23" t="str">
        <f>VLOOKUP(A25,Users!A:D,2,FALSE)</f>
        <v>Chloe</v>
      </c>
      <c r="D25" s="23" t="str">
        <f>VLOOKUP(A25,Users!A:D,3,FALSE)</f>
        <v>Yu</v>
      </c>
      <c r="E25" s="99">
        <f>COUNTIF(Visits!AJ:AJ,'Summer Challenge'!A133)</f>
        <v>0</v>
      </c>
      <c r="G25" cm="1">
        <f t="array" ref="G25">SUM(--(FREQUENCY(IF(Visits!E:E='Summer Challenge'!A25,Visits!AK:AK),Visits!AK:AK)&gt;0))</f>
        <v>1</v>
      </c>
      <c r="H25">
        <f>SUMIF(Visits!E:E,'Summer Challenge'!A25,Visits!AK:AK)</f>
        <v>1</v>
      </c>
      <c r="J25" s="106"/>
      <c r="K25" s="106">
        <f t="shared" si="1"/>
        <v>5</v>
      </c>
      <c r="L25" s="4">
        <f>SUMIF(Visits!E:E,'Summer Challenge'!A25,Visits!AL:AL)</f>
        <v>1</v>
      </c>
      <c r="M25" s="4">
        <f t="shared" si="2"/>
        <v>4</v>
      </c>
      <c r="N25" s="4"/>
      <c r="O25" t="s">
        <v>201</v>
      </c>
      <c r="P25" t="s">
        <v>202</v>
      </c>
      <c r="Q25" t="str">
        <f>IF(SUM('User Engagement'!G119:H119)&gt;=0,"YES", "NO")</f>
        <v>YES</v>
      </c>
      <c r="S25" s="2" t="str">
        <f t="shared" si="0"/>
        <v>Hello Chloe! Here is your progress in the *Summer Quest* so far.
👨🏼‍🤝‍👨🏽 *5* new friends
🖼️ *1* exhibitions
🕑 *4* hours of art experiences
Dive deeper into the Guilds and Journeys. Find your next experience bit.ly/3MfEXat
We’re excited to see your adventures unfold over the next 4 weeks! 🚀
Share your journey with pride and don't forget to tag @nimi_collective.</v>
      </c>
      <c r="T25" t="s">
        <v>203</v>
      </c>
    </row>
    <row r="26" spans="1:20" ht="272.10000000000002">
      <c r="A26" t="str">
        <f>Users!A20</f>
        <v>Clairelouisecouchman@hotmail.com</v>
      </c>
      <c r="B26" s="66" t="str">
        <f>Users!D20</f>
        <v>07739139930</v>
      </c>
      <c r="C26" s="23" t="str">
        <f>VLOOKUP(A26,Users!A:D,2,FALSE)</f>
        <v>Claire</v>
      </c>
      <c r="D26" s="23" t="str">
        <f>VLOOKUP(A26,Users!A:D,3,FALSE)</f>
        <v>Couchman</v>
      </c>
      <c r="E26" s="99">
        <f>COUNTIF(Visits!AJ:AJ,'Summer Challenge'!A134)</f>
        <v>0</v>
      </c>
      <c r="G26" cm="1">
        <f t="array" ref="G26">SUM(--(FREQUENCY(IF(Visits!E:E='Summer Challenge'!A26,Visits!AK:AK),Visits!AK:AK)&gt;0))</f>
        <v>1</v>
      </c>
      <c r="H26">
        <f>SUMIF(Visits!E:E,'Summer Challenge'!A26,Visits!AK:AK)</f>
        <v>4</v>
      </c>
      <c r="J26" s="106"/>
      <c r="K26" s="106">
        <f t="shared" si="1"/>
        <v>20</v>
      </c>
      <c r="L26" s="4">
        <f>SUMIF(Visits!E:E,'Summer Challenge'!A26,Visits!AL:AL)</f>
        <v>4</v>
      </c>
      <c r="M26" s="4">
        <f t="shared" si="2"/>
        <v>16</v>
      </c>
      <c r="N26" s="4"/>
      <c r="O26" t="s">
        <v>202</v>
      </c>
      <c r="P26" t="s">
        <v>202</v>
      </c>
      <c r="Q26" t="str">
        <f>IF(SUM('User Engagement'!G22:H22)&gt;=0,"YES", "NO")</f>
        <v>YES</v>
      </c>
      <c r="S26" s="2" t="str">
        <f t="shared" si="0"/>
        <v>Hello Claire! Here is your progress in the *Summer Quest* so far.
👨🏼‍🤝‍👨🏽 *20* new friends
🖼️ *4* exhibitions
🕑 *16* hours of art experiences
Dive deeper into the Guilds and Journeys. Find your next experience bit.ly/3MfEXat
We’re excited to see your adventures unfold over the next 4 weeks! 🚀
Share your journey with pride and don't forget to tag @nimi_collective.</v>
      </c>
      <c r="T26" t="s">
        <v>203</v>
      </c>
    </row>
    <row r="27" spans="1:20" ht="272.10000000000002">
      <c r="A27" t="str">
        <f>Users!A21</f>
        <v>claudiapaicu@yahoo.com</v>
      </c>
      <c r="B27" s="66" t="str">
        <f>Users!D21</f>
        <v>07877845663</v>
      </c>
      <c r="C27" s="23" t="str">
        <f>VLOOKUP(A27,Users!A:D,2,FALSE)</f>
        <v>Claudia</v>
      </c>
      <c r="D27" s="23" t="str">
        <f>VLOOKUP(A27,Users!A:D,3,FALSE)</f>
        <v>Claudia</v>
      </c>
      <c r="E27" s="99">
        <f>COUNTIF(Visits!AJ:AJ,'Summer Challenge'!A135)</f>
        <v>0</v>
      </c>
      <c r="G27" cm="1">
        <f t="array" ref="G27">SUM(--(FREQUENCY(IF(Visits!E:E='Summer Challenge'!A27,Visits!AK:AK),Visits!AK:AK)&gt;0))</f>
        <v>1</v>
      </c>
      <c r="H27">
        <f>SUMIF(Visits!E:E,'Summer Challenge'!A27,Visits!AK:AK)</f>
        <v>0</v>
      </c>
      <c r="J27" s="106"/>
      <c r="K27" s="106">
        <f t="shared" si="1"/>
        <v>0</v>
      </c>
      <c r="L27" s="4">
        <f>SUMIF(Visits!E:E,'Summer Challenge'!A27,Visits!AL:AL)</f>
        <v>0</v>
      </c>
      <c r="M27" s="4">
        <f t="shared" si="2"/>
        <v>0</v>
      </c>
      <c r="N27" s="4"/>
      <c r="O27" t="s">
        <v>202</v>
      </c>
      <c r="P27" t="s">
        <v>202</v>
      </c>
      <c r="Q27" t="str">
        <f>IF(SUM('User Engagement'!G23:H23)&gt;=0,"YES", "NO")</f>
        <v>YES</v>
      </c>
      <c r="S27" s="2" t="str">
        <f t="shared" si="0"/>
        <v>Hello Claudia! Here is your progress in the *Summer Quest* so far.
👨🏼‍🤝‍👨🏽 *0* new friends
🖼️ *0* exhibitions
🕑 *0* hours of art experiences
Dive deeper into the Guilds and Journeys. Find your next experience bit.ly/3MfEXat
We’re excited to see your adventures unfold over the next 4 weeks! 🚀
Share your journey with pride and don't forget to tag @nimi_collective.</v>
      </c>
    </row>
    <row r="28" spans="1:20" ht="272.10000000000002">
      <c r="A28" t="str">
        <f>Users!A22</f>
        <v>Corneliu.civig@gmail.com</v>
      </c>
      <c r="B28" s="66">
        <f>Users!D22</f>
        <v>0</v>
      </c>
      <c r="C28" s="23" t="str">
        <f>VLOOKUP(A28,Users!A:D,2,FALSE)</f>
        <v>Corneliu</v>
      </c>
      <c r="D28" s="23" t="str">
        <f>VLOOKUP(A28,Users!A:D,3,FALSE)</f>
        <v>Civig</v>
      </c>
      <c r="E28" s="99">
        <f>COUNTIF(Visits!AJ:AJ,'Summer Challenge'!A136)</f>
        <v>0</v>
      </c>
      <c r="G28" cm="1">
        <f t="array" ref="G28">SUM(--(FREQUENCY(IF(Visits!E:E='Summer Challenge'!A28,Visits!AK:AK),Visits!AK:AK)&gt;0))</f>
        <v>2</v>
      </c>
      <c r="H28">
        <f>SUMIF(Visits!E:E,'Summer Challenge'!A28,Visits!AK:AK)</f>
        <v>2</v>
      </c>
      <c r="J28" s="106"/>
      <c r="K28" s="106">
        <f t="shared" si="1"/>
        <v>5</v>
      </c>
      <c r="L28" s="4">
        <f>SUMIF(Visits!E:E,'Summer Challenge'!A28,Visits!AL:AL)</f>
        <v>1</v>
      </c>
      <c r="M28" s="4">
        <f t="shared" si="2"/>
        <v>4</v>
      </c>
      <c r="N28" s="4"/>
      <c r="O28" t="s">
        <v>202</v>
      </c>
      <c r="P28" t="s">
        <v>202</v>
      </c>
      <c r="Q28" t="str">
        <f>IF(SUM('User Engagement'!G24:H24)&gt;=0,"YES", "NO")</f>
        <v>YES</v>
      </c>
      <c r="S28" s="2" t="str">
        <f t="shared" si="0"/>
        <v>Hello Corneliu! Here is your progress in the *Summer Quest* so far.
👨🏼‍🤝‍👨🏽 *5* new friends
🖼️ *1* exhibitions
🕑 *4* hours of art experiences
Dive deeper into the Guilds and Journeys. Find your next experience bit.ly/3MfEXat
We’re excited to see your adventures unfold over the next 4 weeks! 🚀
Share your journey with pride and don't forget to tag @nimi_collective.</v>
      </c>
      <c r="T28" t="s">
        <v>203</v>
      </c>
    </row>
    <row r="29" spans="1:20" ht="272.10000000000002">
      <c r="A29" t="str">
        <f>Users!A23</f>
        <v>daniel.lugg@yahoo.com</v>
      </c>
      <c r="B29" s="66" t="str">
        <f>Users!D23</f>
        <v>07476276978</v>
      </c>
      <c r="C29" s="23" t="str">
        <f>VLOOKUP(A29,Users!A:D,2,FALSE)</f>
        <v>Daniel</v>
      </c>
      <c r="D29" s="23" t="str">
        <f>VLOOKUP(A29,Users!A:D,3,FALSE)</f>
        <v>Lugg</v>
      </c>
      <c r="E29" s="99">
        <f>COUNTIF(Visits!AJ:AJ,'Summer Challenge'!A137)</f>
        <v>0</v>
      </c>
      <c r="G29" cm="1">
        <f t="array" ref="G29">SUM(--(FREQUENCY(IF(Visits!E:E='Summer Challenge'!A29,Visits!AK:AK),Visits!AK:AK)&gt;0))</f>
        <v>1</v>
      </c>
      <c r="H29">
        <f>SUMIF(Visits!E:E,'Summer Challenge'!A29,Visits!AK:AK)</f>
        <v>3</v>
      </c>
      <c r="J29" s="106"/>
      <c r="K29" s="106">
        <f t="shared" si="1"/>
        <v>15</v>
      </c>
      <c r="L29" s="4">
        <f>SUMIF(Visits!E:E,'Summer Challenge'!A29,Visits!AL:AL)</f>
        <v>3</v>
      </c>
      <c r="M29" s="4">
        <f t="shared" si="2"/>
        <v>12</v>
      </c>
      <c r="N29" s="4"/>
      <c r="O29" t="s">
        <v>202</v>
      </c>
      <c r="P29" t="s">
        <v>202</v>
      </c>
      <c r="Q29" t="str">
        <f>IF(SUM('User Engagement'!G25:H25)&gt;=0,"YES", "NO")</f>
        <v>YES</v>
      </c>
      <c r="S29" s="2" t="str">
        <f t="shared" si="0"/>
        <v>Hello Daniel! Here is your progress in the *Summer Quest* so far.
👨🏼‍🤝‍👨🏽 *15* new friends
🖼️ *3* exhibitions
🕑 *12* hours of art experiences
Dive deeper into the Guilds and Journeys. Find your next experience bit.ly/3MfEXat
We’re excited to see your adventures unfold over the next 4 weeks! 🚀
Share your journey with pride and don't forget to tag @nimi_collective.</v>
      </c>
      <c r="T29" t="s">
        <v>203</v>
      </c>
    </row>
    <row r="30" spans="1:20" ht="272.10000000000002">
      <c r="A30" t="str">
        <f>Users!A24</f>
        <v>dmello.daniel@gmail.com</v>
      </c>
      <c r="B30" s="66" t="str">
        <f>Users!D24</f>
        <v>+447774734706</v>
      </c>
      <c r="C30" s="23" t="str">
        <f>VLOOKUP(A30,Users!A:D,2,FALSE)</f>
        <v>Daniel</v>
      </c>
      <c r="D30" s="23" t="str">
        <f>VLOOKUP(A30,Users!A:D,3,FALSE)</f>
        <v>Dmello</v>
      </c>
      <c r="E30" s="99">
        <f>COUNTIF(Visits!AJ:AJ,'Summer Challenge'!A138)</f>
        <v>0</v>
      </c>
      <c r="G30" cm="1">
        <f t="array" ref="G30">SUM(--(FREQUENCY(IF(Visits!E:E='Summer Challenge'!A30,Visits!AK:AK),Visits!AK:AK)&gt;0))</f>
        <v>1</v>
      </c>
      <c r="H30">
        <f>SUMIF(Visits!E:E,'Summer Challenge'!A30,Visits!AK:AK)</f>
        <v>0</v>
      </c>
      <c r="J30" s="106"/>
      <c r="K30" s="106">
        <f t="shared" si="1"/>
        <v>0</v>
      </c>
      <c r="L30" s="4">
        <f>SUMIF(Visits!E:E,'Summer Challenge'!A30,Visits!AL:AL)</f>
        <v>0</v>
      </c>
      <c r="M30" s="4">
        <f t="shared" si="2"/>
        <v>0</v>
      </c>
      <c r="N30" s="4"/>
      <c r="O30" t="s">
        <v>202</v>
      </c>
      <c r="P30" t="s">
        <v>202</v>
      </c>
      <c r="Q30" t="str">
        <f>IF(SUM('User Engagement'!G26:H26)&gt;=0,"YES", "NO")</f>
        <v>YES</v>
      </c>
      <c r="S30" s="2" t="str">
        <f t="shared" si="0"/>
        <v>Hello Daniel! Here is your progress in the *Summer Quest* so far.
👨🏼‍🤝‍👨🏽 *0* new friends
🖼️ *0* exhibitions
🕑 *0* hours of art experiences
Dive deeper into the Guilds and Journeys. Find your next experience bit.ly/3MfEXat
We’re excited to see your adventures unfold over the next 4 weeks! 🚀
Share your journey with pride and don't forget to tag @nimi_collective.</v>
      </c>
    </row>
    <row r="31" spans="1:20" ht="272.10000000000002">
      <c r="A31" t="str">
        <f>Users!A120</f>
        <v>danieldmello2002@yahoo.com</v>
      </c>
      <c r="C31" s="23" t="str">
        <f>VLOOKUP(A31,Users!A:D,2,FALSE)</f>
        <v>DANIEL</v>
      </c>
      <c r="D31" s="23" t="str">
        <f>VLOOKUP(A31,Users!A:D,3,FALSE)</f>
        <v>DMELLO</v>
      </c>
      <c r="E31" s="99">
        <f>COUNTIF(Visits!AJ:AJ,'Summer Challenge'!A139)</f>
        <v>0</v>
      </c>
      <c r="G31" cm="1">
        <f t="array" ref="G31">SUM(--(FREQUENCY(IF(Visits!E:E='Summer Challenge'!A31,Visits!AK:AK),Visits!AK:AK)&gt;0))</f>
        <v>1</v>
      </c>
      <c r="H31">
        <f>SUMIF(Visits!E:E,'Summer Challenge'!A31,Visits!AK:AK)</f>
        <v>1</v>
      </c>
      <c r="J31" s="106"/>
      <c r="K31" s="106">
        <f t="shared" si="1"/>
        <v>5</v>
      </c>
      <c r="L31" s="4">
        <f>SUMIF(Visits!E:E,'Summer Challenge'!A31,Visits!AL:AL)</f>
        <v>1</v>
      </c>
      <c r="M31" s="4">
        <f t="shared" si="2"/>
        <v>4</v>
      </c>
      <c r="N31" s="4"/>
      <c r="O31" t="s">
        <v>201</v>
      </c>
      <c r="P31" t="s">
        <v>202</v>
      </c>
      <c r="Q31" t="str">
        <f>IF(SUM('User Engagement'!G122:H122)&gt;=0,"YES", "NO")</f>
        <v>YES</v>
      </c>
      <c r="S31" s="2" t="str">
        <f t="shared" si="0"/>
        <v>Hello DANIEL! Here is your progress in the *Summer Quest* so far.
👨🏼‍🤝‍👨🏽 *5* new friends
🖼️ *1* exhibitions
🕑 *4* hours of art experiences
Dive deeper into the Guilds and Journeys. Find your next experience bit.ly/3MfEXat
We’re excited to see your adventures unfold over the next 4 weeks! 🚀
Share your journey with pride and don't forget to tag @nimi_collective.</v>
      </c>
      <c r="T31" t="s">
        <v>203</v>
      </c>
    </row>
    <row r="32" spans="1:20" ht="272.10000000000002">
      <c r="A32" t="str">
        <f>Users!A25</f>
        <v>jones_daniela@yahoo.co.uk</v>
      </c>
      <c r="B32" s="66" t="str">
        <f>Users!D25</f>
        <v>07979647510</v>
      </c>
      <c r="C32" s="23" t="str">
        <f>VLOOKUP(A32,Users!A:D,2,FALSE)</f>
        <v>Daniela</v>
      </c>
      <c r="D32" s="23" t="str">
        <f>VLOOKUP(A32,Users!A:D,3,FALSE)</f>
        <v>Jones</v>
      </c>
      <c r="E32" s="99">
        <f>COUNTIF(Visits!AJ:AJ,'Summer Challenge'!A140)</f>
        <v>0</v>
      </c>
      <c r="G32" cm="1">
        <f t="array" ref="G32">SUM(--(FREQUENCY(IF(Visits!E:E='Summer Challenge'!A32,Visits!AK:AK),Visits!AK:AK)&gt;0))</f>
        <v>1</v>
      </c>
      <c r="H32">
        <f>SUMIF(Visits!E:E,'Summer Challenge'!A32,Visits!AK:AK)</f>
        <v>1</v>
      </c>
      <c r="J32" s="106"/>
      <c r="K32" s="106">
        <f t="shared" si="1"/>
        <v>5</v>
      </c>
      <c r="L32" s="4">
        <f>SUMIF(Visits!E:E,'Summer Challenge'!A32,Visits!AL:AL)</f>
        <v>1</v>
      </c>
      <c r="M32" s="4">
        <f t="shared" si="2"/>
        <v>4</v>
      </c>
      <c r="N32" s="4"/>
      <c r="O32" t="s">
        <v>202</v>
      </c>
      <c r="P32" t="s">
        <v>202</v>
      </c>
      <c r="Q32" t="str">
        <f>IF(SUM('User Engagement'!G27:H27)&gt;=0,"YES", "NO")</f>
        <v>YES</v>
      </c>
      <c r="S32" s="2" t="str">
        <f t="shared" si="0"/>
        <v>Hello Daniela! Here is your progress in the *Summer Quest* so far.
👨🏼‍🤝‍👨🏽 *5* new friends
🖼️ *1* exhibitions
🕑 *4* hours of art experiences
Dive deeper into the Guilds and Journeys. Find your next experience bit.ly/3MfEXat
We’re excited to see your adventures unfold over the next 4 weeks! 🚀
Share your journey with pride and don't forget to tag @nimi_collective.</v>
      </c>
      <c r="T32" t="s">
        <v>203</v>
      </c>
    </row>
    <row r="33" spans="1:20" ht="272.10000000000002">
      <c r="A33" t="str">
        <f>Users!A26</f>
        <v>dmbarden@hotmail.co.uk</v>
      </c>
      <c r="B33" s="66">
        <f>Users!D26</f>
        <v>0</v>
      </c>
      <c r="C33" s="23" t="str">
        <f>VLOOKUP(A33,Users!A:D,2,FALSE)</f>
        <v>David</v>
      </c>
      <c r="D33" s="23" t="str">
        <f>VLOOKUP(A33,Users!A:D,3,FALSE)</f>
        <v>Barden</v>
      </c>
      <c r="E33" s="99">
        <f>COUNTIF(Visits!AJ:AJ,'Summer Challenge'!A141)</f>
        <v>0</v>
      </c>
      <c r="G33" cm="1">
        <f t="array" ref="G33">SUM(--(FREQUENCY(IF(Visits!E:E='Summer Challenge'!A33,Visits!AK:AK),Visits!AK:AK)&gt;0))</f>
        <v>1</v>
      </c>
      <c r="H33">
        <f>SUMIF(Visits!E:E,'Summer Challenge'!A33,Visits!AK:AK)</f>
        <v>0</v>
      </c>
      <c r="J33" s="106"/>
      <c r="K33" s="106">
        <f t="shared" si="1"/>
        <v>0</v>
      </c>
      <c r="L33" s="4">
        <f>SUMIF(Visits!E:E,'Summer Challenge'!A33,Visits!AL:AL)</f>
        <v>0</v>
      </c>
      <c r="M33" s="4">
        <f t="shared" si="2"/>
        <v>0</v>
      </c>
      <c r="N33" s="4"/>
      <c r="O33" t="s">
        <v>201</v>
      </c>
      <c r="P33" t="s">
        <v>202</v>
      </c>
      <c r="Q33" t="str">
        <f>IF(SUM('User Engagement'!G28:H28)&gt;=0,"YES", "NO")</f>
        <v>YES</v>
      </c>
      <c r="S33" s="2" t="str">
        <f t="shared" si="0"/>
        <v>Hello David! Here is your progress in the *Summer Quest* so far.
👨🏼‍🤝‍👨🏽 *0* new friends
🖼️ *0* exhibitions
🕑 *0* hours of art experiences
Dive deeper into the Guilds and Journeys. Find your next experience bit.ly/3MfEXat
We’re excited to see your adventures unfold over the next 4 weeks! 🚀
Share your journey with pride and don't forget to tag @nimi_collective.</v>
      </c>
    </row>
    <row r="34" spans="1:20" ht="272.10000000000002">
      <c r="A34" t="str">
        <f>Users!A27</f>
        <v>david.flatscher@gmail.com</v>
      </c>
      <c r="B34" s="66" t="str">
        <f>Users!D27</f>
        <v>+44 7707665074</v>
      </c>
      <c r="C34" s="23" t="str">
        <f>VLOOKUP(A34,Users!A:D,2,FALSE)</f>
        <v xml:space="preserve">David </v>
      </c>
      <c r="D34" s="23" t="str">
        <f>VLOOKUP(A34,Users!A:D,3,FALSE)</f>
        <v>Flatscher</v>
      </c>
      <c r="E34" s="99">
        <f>COUNTIF(Visits!AJ:AJ,'Summer Challenge'!A142)</f>
        <v>0</v>
      </c>
      <c r="G34" cm="1">
        <f t="array" ref="G34">SUM(--(FREQUENCY(IF(Visits!E:E='Summer Challenge'!A34,Visits!AK:AK),Visits!AK:AK)&gt;0))</f>
        <v>1</v>
      </c>
      <c r="H34">
        <f>SUMIF(Visits!E:E,'Summer Challenge'!A34,Visits!AK:AK)</f>
        <v>0</v>
      </c>
      <c r="J34" s="106"/>
      <c r="K34" s="106">
        <f t="shared" si="1"/>
        <v>0</v>
      </c>
      <c r="L34" s="4">
        <f>SUMIF(Visits!E:E,'Summer Challenge'!A34,Visits!AL:AL)</f>
        <v>0</v>
      </c>
      <c r="M34" s="4">
        <f t="shared" si="2"/>
        <v>0</v>
      </c>
      <c r="N34" s="4"/>
      <c r="O34" t="s">
        <v>202</v>
      </c>
      <c r="P34" t="s">
        <v>202</v>
      </c>
      <c r="Q34" t="str">
        <f>IF(SUM('User Engagement'!G29:H29)&gt;=0,"YES", "NO")</f>
        <v>YES</v>
      </c>
      <c r="S34" s="2" t="str">
        <f t="shared" si="0"/>
        <v>Hello David ! Here is your progress in the *Summer Quest* so far.
👨🏼‍🤝‍👨🏽 *0* new friends
🖼️ *0* exhibitions
🕑 *0* hours of art experiences
Dive deeper into the Guilds and Journeys. Find your next experience bit.ly/3MfEXat
We’re excited to see your adventures unfold over the next 4 weeks! 🚀
Share your journey with pride and don't forget to tag @nimi_collective.</v>
      </c>
    </row>
    <row r="35" spans="1:20" ht="272.10000000000002">
      <c r="A35" t="str">
        <f>Users!A28</f>
        <v>d.v.davideveronese@gmail.com</v>
      </c>
      <c r="B35" s="66" t="str">
        <f>Users!D28</f>
        <v>07342248068</v>
      </c>
      <c r="C35" s="23" t="str">
        <f>VLOOKUP(A35,Users!A:D,2,FALSE)</f>
        <v>Davide</v>
      </c>
      <c r="D35" s="23" t="str">
        <f>VLOOKUP(A35,Users!A:D,3,FALSE)</f>
        <v>Veronese</v>
      </c>
      <c r="E35" s="99">
        <f>COUNTIF(Visits!AJ:AJ,'Summer Challenge'!A143)</f>
        <v>0</v>
      </c>
      <c r="G35" cm="1">
        <f t="array" ref="G35">SUM(--(FREQUENCY(IF(Visits!E:E='Summer Challenge'!A35,Visits!AK:AK),Visits!AK:AK)&gt;0))</f>
        <v>1</v>
      </c>
      <c r="H35">
        <f>SUMIF(Visits!E:E,'Summer Challenge'!A35,Visits!AK:AK)</f>
        <v>0</v>
      </c>
      <c r="J35" s="106"/>
      <c r="K35" s="106">
        <f t="shared" si="1"/>
        <v>0</v>
      </c>
      <c r="L35" s="4">
        <f>SUMIF(Visits!E:E,'Summer Challenge'!A35,Visits!AL:AL)</f>
        <v>0</v>
      </c>
      <c r="M35" s="4">
        <f t="shared" si="2"/>
        <v>0</v>
      </c>
      <c r="N35" s="4"/>
      <c r="O35" t="s">
        <v>202</v>
      </c>
      <c r="P35" t="s">
        <v>202</v>
      </c>
      <c r="Q35" t="str">
        <f>IF(SUM('User Engagement'!G30:H30)&gt;=0,"YES", "NO")</f>
        <v>YES</v>
      </c>
      <c r="S35" s="2" t="str">
        <f t="shared" si="0"/>
        <v>Hello Davide! Here is your progress in the *Summer Quest* so far.
👨🏼‍🤝‍👨🏽 *0* new friends
🖼️ *0* exhibitions
🕑 *0* hours of art experiences
Dive deeper into the Guilds and Journeys. Find your next experience bit.ly/3MfEXat
We’re excited to see your adventures unfold over the next 4 weeks! 🚀
Share your journey with pride and don't forget to tag @nimi_collective.</v>
      </c>
    </row>
    <row r="36" spans="1:20" ht="272.10000000000002">
      <c r="A36" t="str">
        <f>Users!A111</f>
        <v>dmerrony@btinternet.com</v>
      </c>
      <c r="C36" s="23" t="str">
        <f>VLOOKUP(A36,Users!A:D,2,FALSE)</f>
        <v>Deborah</v>
      </c>
      <c r="D36" s="23" t="str">
        <f>VLOOKUP(A36,Users!A:D,3,FALSE)</f>
        <v>Merrony</v>
      </c>
      <c r="E36" s="99">
        <f>COUNTIF(Visits!AJ:AJ,'Summer Challenge'!A144)</f>
        <v>0</v>
      </c>
      <c r="G36" cm="1">
        <f t="array" ref="G36">SUM(--(FREQUENCY(IF(Visits!E:E='Summer Challenge'!A36,Visits!AK:AK),Visits!AK:AK)&gt;0))</f>
        <v>1</v>
      </c>
      <c r="H36">
        <f>SUMIF(Visits!E:E,'Summer Challenge'!A36,Visits!AK:AK)</f>
        <v>1</v>
      </c>
      <c r="J36" s="106"/>
      <c r="K36" s="106">
        <f t="shared" si="1"/>
        <v>5</v>
      </c>
      <c r="L36" s="4">
        <f>SUMIF(Visits!E:E,'Summer Challenge'!A36,Visits!AL:AL)</f>
        <v>1</v>
      </c>
      <c r="M36" s="4">
        <f t="shared" si="2"/>
        <v>4</v>
      </c>
      <c r="N36" s="4"/>
      <c r="O36" t="s">
        <v>201</v>
      </c>
      <c r="P36" t="s">
        <v>202</v>
      </c>
      <c r="Q36" t="str">
        <f>IF(SUM('User Engagement'!G113:H113)&gt;=0,"YES", "NO")</f>
        <v>YES</v>
      </c>
      <c r="S36" s="2" t="str">
        <f t="shared" ref="S36:S69" si="3">"Hello "&amp;C36&amp;"! Here is your progress in the *Summer Quest* so far.
👨🏼‍🤝‍👨🏽 *"&amp;K36&amp;"* new friends
🖼️ *"&amp;L36&amp;"* exhibitions
🕑 *"&amp;M36&amp;"* hours of art experiences
Dive deeper into the Guilds and Journeys. Find your next experience bit.ly/3MfEXat
We’re excited to see your adventures unfold over the next 4 weeks! 🚀
Share your journey with pride and don't forget to tag @nimi_collective."</f>
        <v>Hello Deborah! Here is your progress in the *Summer Quest* so far.
👨🏼‍🤝‍👨🏽 *5* new friends
🖼️ *1* exhibitions
🕑 *4* hours of art experiences
Dive deeper into the Guilds and Journeys. Find your next experience bit.ly/3MfEXat
We’re excited to see your adventures unfold over the next 4 weeks! 🚀
Share your journey with pride and don't forget to tag @nimi_collective.</v>
      </c>
      <c r="T36" t="s">
        <v>203</v>
      </c>
    </row>
    <row r="37" spans="1:20" ht="272.10000000000002">
      <c r="A37" t="str">
        <f>Users!A29</f>
        <v>dildeep96@gmail.com</v>
      </c>
      <c r="B37" s="66" t="str">
        <f>Users!D29</f>
        <v>07506474016</v>
      </c>
      <c r="C37" s="23" t="str">
        <f>VLOOKUP(A37,Users!A:D,2,FALSE)</f>
        <v>Dildeep</v>
      </c>
      <c r="D37" s="23" t="str">
        <f>VLOOKUP(A37,Users!A:D,3,FALSE)</f>
        <v>Singh</v>
      </c>
      <c r="E37" s="99">
        <f>COUNTIF(Visits!AJ:AJ,'Summer Challenge'!A145)</f>
        <v>0</v>
      </c>
      <c r="G37" cm="1">
        <f t="array" ref="G37">SUM(--(FREQUENCY(IF(Visits!E:E='Summer Challenge'!A37,Visits!AK:AK),Visits!AK:AK)&gt;0))</f>
        <v>1</v>
      </c>
      <c r="H37">
        <f>SUMIF(Visits!E:E,'Summer Challenge'!A37,Visits!AK:AK)</f>
        <v>0</v>
      </c>
      <c r="J37" s="106"/>
      <c r="K37" s="106">
        <f t="shared" si="1"/>
        <v>0</v>
      </c>
      <c r="L37" s="4">
        <f>SUMIF(Visits!E:E,'Summer Challenge'!A37,Visits!AL:AL)</f>
        <v>0</v>
      </c>
      <c r="M37" s="4">
        <f t="shared" si="2"/>
        <v>0</v>
      </c>
      <c r="N37" s="4"/>
      <c r="O37" t="s">
        <v>202</v>
      </c>
      <c r="P37" t="s">
        <v>202</v>
      </c>
      <c r="Q37" t="str">
        <f>IF(SUM('User Engagement'!G31:H31)&gt;=0,"YES", "NO")</f>
        <v>YES</v>
      </c>
      <c r="S37" s="2" t="str">
        <f t="shared" si="3"/>
        <v>Hello Dildeep! Here is your progress in the *Summer Quest* so far.
👨🏼‍🤝‍👨🏽 *0* new friends
🖼️ *0* exhibitions
🕑 *0* hours of art experiences
Dive deeper into the Guilds and Journeys. Find your next experience bit.ly/3MfEXat
We’re excited to see your adventures unfold over the next 4 weeks! 🚀
Share your journey with pride and don't forget to tag @nimi_collective.</v>
      </c>
    </row>
    <row r="38" spans="1:20" ht="272.10000000000002">
      <c r="A38" t="str">
        <f>Users!A30</f>
        <v>imanbudget@yahoo.co.uk</v>
      </c>
      <c r="B38" s="66" t="str">
        <f>Users!D30</f>
        <v xml:space="preserve"> 07818313299</v>
      </c>
      <c r="C38" s="23" t="str">
        <f>VLOOKUP(A38,Users!A:D,2,FALSE)</f>
        <v>Donna</v>
      </c>
      <c r="D38" s="23" t="str">
        <f>VLOOKUP(A38,Users!A:D,3,FALSE)</f>
        <v>Achara</v>
      </c>
      <c r="E38" s="99">
        <f>COUNTIF(Visits!AJ:AJ,'Summer Challenge'!A146)</f>
        <v>0</v>
      </c>
      <c r="G38" cm="1">
        <f t="array" ref="G38">SUM(--(FREQUENCY(IF(Visits!E:E='Summer Challenge'!A38,Visits!AK:AK),Visits!AK:AK)&gt;0))</f>
        <v>1</v>
      </c>
      <c r="H38">
        <f>SUMIF(Visits!E:E,'Summer Challenge'!A38,Visits!AK:AK)</f>
        <v>0</v>
      </c>
      <c r="J38" s="106"/>
      <c r="K38" s="106">
        <f t="shared" si="1"/>
        <v>0</v>
      </c>
      <c r="L38" s="4">
        <f>SUMIF(Visits!E:E,'Summer Challenge'!A38,Visits!AL:AL)</f>
        <v>0</v>
      </c>
      <c r="M38" s="4">
        <f t="shared" si="2"/>
        <v>0</v>
      </c>
      <c r="N38" s="4"/>
      <c r="O38" t="s">
        <v>202</v>
      </c>
      <c r="P38" t="s">
        <v>202</v>
      </c>
      <c r="Q38" t="str">
        <f>IF(SUM('User Engagement'!G32:H32)&gt;=0,"YES", "NO")</f>
        <v>YES</v>
      </c>
      <c r="S38" s="2" t="str">
        <f t="shared" si="3"/>
        <v>Hello Donna! Here is your progress in the *Summer Quest* so far.
👨🏼‍🤝‍👨🏽 *0* new friends
🖼️ *0* exhibitions
🕑 *0* hours of art experiences
Dive deeper into the Guilds and Journeys. Find your next experience bit.ly/3MfEXat
We’re excited to see your adventures unfold over the next 4 weeks! 🚀
Share your journey with pride and don't forget to tag @nimi_collective.</v>
      </c>
    </row>
    <row r="39" spans="1:20" ht="272.10000000000002">
      <c r="A39" t="str">
        <f>Users!A31</f>
        <v>egemensiphone@gmail.com</v>
      </c>
      <c r="B39" s="66" t="str">
        <f>Users!D31</f>
        <v>07789350831</v>
      </c>
      <c r="C39" s="23" t="str">
        <f>VLOOKUP(A39,Users!A:D,2,FALSE)</f>
        <v>Egemen</v>
      </c>
      <c r="D39" s="23" t="str">
        <f>VLOOKUP(A39,Users!A:D,3,FALSE)</f>
        <v>U</v>
      </c>
      <c r="E39" s="99">
        <f>COUNTIF(Visits!AJ:AJ,'Summer Challenge'!A147)</f>
        <v>0</v>
      </c>
      <c r="G39" cm="1">
        <f t="array" ref="G39">SUM(--(FREQUENCY(IF(Visits!E:E='Summer Challenge'!A39,Visits!AK:AK),Visits!AK:AK)&gt;0))</f>
        <v>1</v>
      </c>
      <c r="H39">
        <f>SUMIF(Visits!E:E,'Summer Challenge'!A39,Visits!AK:AK)</f>
        <v>0</v>
      </c>
      <c r="J39" s="106"/>
      <c r="K39" s="106">
        <f t="shared" si="1"/>
        <v>0</v>
      </c>
      <c r="L39" s="4">
        <f>SUMIF(Visits!E:E,'Summer Challenge'!A39,Visits!AL:AL)</f>
        <v>0</v>
      </c>
      <c r="M39" s="4">
        <f t="shared" si="2"/>
        <v>0</v>
      </c>
      <c r="N39" s="4"/>
      <c r="O39" t="s">
        <v>201</v>
      </c>
      <c r="P39" t="s">
        <v>202</v>
      </c>
      <c r="Q39" t="str">
        <f>IF(SUM('User Engagement'!G33:H33)&gt;=0,"YES", "NO")</f>
        <v>YES</v>
      </c>
      <c r="S39" s="2" t="str">
        <f t="shared" si="3"/>
        <v>Hello Egemen! Here is your progress in the *Summer Quest* so far.
👨🏼‍🤝‍👨🏽 *0* new friends
🖼️ *0* exhibitions
🕑 *0* hours of art experiences
Dive deeper into the Guilds and Journeys. Find your next experience bit.ly/3MfEXat
We’re excited to see your adventures unfold over the next 4 weeks! 🚀
Share your journey with pride and don't forget to tag @nimi_collective.</v>
      </c>
    </row>
    <row r="40" spans="1:20" ht="272.10000000000002">
      <c r="A40" t="str">
        <f>Users!A32</f>
        <v>ejike.onuchukwu@gmail.com</v>
      </c>
      <c r="B40" s="66" t="str">
        <f>Users!D32</f>
        <v>07875 521439</v>
      </c>
      <c r="C40" s="23" t="str">
        <f>VLOOKUP(A40,Users!A:D,2,FALSE)</f>
        <v>Ejike</v>
      </c>
      <c r="D40" s="23" t="str">
        <f>VLOOKUP(A40,Users!A:D,3,FALSE)</f>
        <v>Onuchukwu</v>
      </c>
      <c r="E40" s="99">
        <f>COUNTIF(Visits!AJ:AJ,'Summer Challenge'!A148)</f>
        <v>0</v>
      </c>
      <c r="G40" cm="1">
        <f t="array" ref="G40">SUM(--(FREQUENCY(IF(Visits!E:E='Summer Challenge'!A40,Visits!AK:AK),Visits!AK:AK)&gt;0))</f>
        <v>1</v>
      </c>
      <c r="H40">
        <f>SUMIF(Visits!E:E,'Summer Challenge'!A40,Visits!AK:AK)</f>
        <v>0</v>
      </c>
      <c r="J40" s="106"/>
      <c r="K40" s="106">
        <f t="shared" si="1"/>
        <v>0</v>
      </c>
      <c r="L40" s="4">
        <f>SUMIF(Visits!E:E,'Summer Challenge'!A40,Visits!AL:AL)</f>
        <v>0</v>
      </c>
      <c r="M40" s="4">
        <f t="shared" si="2"/>
        <v>0</v>
      </c>
      <c r="N40" s="4"/>
      <c r="O40" t="s">
        <v>202</v>
      </c>
      <c r="P40" t="s">
        <v>202</v>
      </c>
      <c r="Q40" t="str">
        <f>IF(SUM('User Engagement'!G34:H34)&gt;=0,"YES", "NO")</f>
        <v>YES</v>
      </c>
      <c r="S40" s="2" t="str">
        <f t="shared" si="3"/>
        <v>Hello Ejike! Here is your progress in the *Summer Quest* so far.
👨🏼‍🤝‍👨🏽 *0* new friends
🖼️ *0* exhibitions
🕑 *0* hours of art experiences
Dive deeper into the Guilds and Journeys. Find your next experience bit.ly/3MfEXat
We’re excited to see your adventures unfold over the next 4 weeks! 🚀
Share your journey with pride and don't forget to tag @nimi_collective.</v>
      </c>
    </row>
    <row r="41" spans="1:20" ht="272.10000000000002">
      <c r="A41" t="str">
        <f>Users!A33</f>
        <v>edementyeva@yandex.ru</v>
      </c>
      <c r="B41" s="66" t="str">
        <f>Users!D33</f>
        <v>+44 7879 043769</v>
      </c>
      <c r="C41" s="23" t="str">
        <f>VLOOKUP(A41,Users!A:D,2,FALSE)</f>
        <v>Elena</v>
      </c>
      <c r="D41" s="23" t="str">
        <f>VLOOKUP(A41,Users!A:D,3,FALSE)</f>
        <v>Dementeva</v>
      </c>
      <c r="E41" s="99">
        <f>COUNTIF(Visits!AJ:AJ,'Summer Challenge'!A149)</f>
        <v>0</v>
      </c>
      <c r="G41" cm="1">
        <f t="array" ref="G41">SUM(--(FREQUENCY(IF(Visits!E:E='Summer Challenge'!A41,Visits!AK:AK),Visits!AK:AK)&gt;0))</f>
        <v>1</v>
      </c>
      <c r="H41">
        <f>SUMIF(Visits!E:E,'Summer Challenge'!A41,Visits!AK:AK)</f>
        <v>2</v>
      </c>
      <c r="J41" s="106"/>
      <c r="K41" s="106">
        <f t="shared" si="1"/>
        <v>10</v>
      </c>
      <c r="L41" s="4">
        <f>SUMIF(Visits!E:E,'Summer Challenge'!A41,Visits!AL:AL)</f>
        <v>2</v>
      </c>
      <c r="M41" s="4">
        <f t="shared" si="2"/>
        <v>8</v>
      </c>
      <c r="N41" s="4"/>
      <c r="O41" t="s">
        <v>202</v>
      </c>
      <c r="P41" t="s">
        <v>202</v>
      </c>
      <c r="Q41" t="str">
        <f>IF(SUM('User Engagement'!G35:H35)&gt;=0,"YES", "NO")</f>
        <v>YES</v>
      </c>
      <c r="S41" s="2" t="str">
        <f t="shared" si="3"/>
        <v>Hello Elena! Here is your progress in the *Summer Quest* so far.
👨🏼‍🤝‍👨🏽 *10* new friends
🖼️ *2* exhibitions
🕑 *8* hours of art experiences
Dive deeper into the Guilds and Journeys. Find your next experience bit.ly/3MfEXat
We’re excited to see your adventures unfold over the next 4 weeks! 🚀
Share your journey with pride and don't forget to tag @nimi_collective.</v>
      </c>
      <c r="T41" t="s">
        <v>203</v>
      </c>
    </row>
    <row r="42" spans="1:20" ht="272.10000000000002">
      <c r="A42" t="str">
        <f>Users!A34</f>
        <v>elena27kuv@gmail.com</v>
      </c>
      <c r="B42" s="66" t="str">
        <f>Users!D34</f>
        <v>07890306975</v>
      </c>
      <c r="C42" s="23" t="str">
        <f>VLOOKUP(A42,Users!A:D,2,FALSE)</f>
        <v>Elena</v>
      </c>
      <c r="D42" s="23" t="str">
        <f>VLOOKUP(A42,Users!A:D,3,FALSE)</f>
        <v>Kuvshinnikova</v>
      </c>
      <c r="E42" s="99">
        <f>COUNTIF(Visits!AJ:AJ,'Summer Challenge'!A150)</f>
        <v>0</v>
      </c>
      <c r="G42" cm="1">
        <f t="array" ref="G42">SUM(--(FREQUENCY(IF(Visits!E:E='Summer Challenge'!A42,Visits!AK:AK),Visits!AK:AK)&gt;0))</f>
        <v>1</v>
      </c>
      <c r="H42">
        <f>SUMIF(Visits!E:E,'Summer Challenge'!A42,Visits!AK:AK)</f>
        <v>0</v>
      </c>
      <c r="J42" s="106"/>
      <c r="K42" s="106">
        <f t="shared" si="1"/>
        <v>0</v>
      </c>
      <c r="L42" s="4">
        <f>SUMIF(Visits!E:E,'Summer Challenge'!A42,Visits!AL:AL)</f>
        <v>0</v>
      </c>
      <c r="M42" s="4">
        <f t="shared" si="2"/>
        <v>0</v>
      </c>
      <c r="N42" s="4"/>
      <c r="O42" t="s">
        <v>201</v>
      </c>
      <c r="P42" t="s">
        <v>202</v>
      </c>
      <c r="Q42" t="str">
        <f>IF(SUM('User Engagement'!G36:H36)&gt;=0,"YES", "NO")</f>
        <v>YES</v>
      </c>
      <c r="S42" s="2" t="str">
        <f t="shared" si="3"/>
        <v>Hello Elena! Here is your progress in the *Summer Quest* so far.
👨🏼‍🤝‍👨🏽 *0* new friends
🖼️ *0* exhibitions
🕑 *0* hours of art experiences
Dive deeper into the Guilds and Journeys. Find your next experience bit.ly/3MfEXat
We’re excited to see your adventures unfold over the next 4 weeks! 🚀
Share your journey with pride and don't forget to tag @nimi_collective.</v>
      </c>
    </row>
    <row r="43" spans="1:20" ht="272.10000000000002">
      <c r="A43" t="str">
        <f>Users!A106</f>
        <v>ellangwodo@gmail.com</v>
      </c>
      <c r="C43" s="23" t="str">
        <f>VLOOKUP(A43,Users!A:D,2,FALSE)</f>
        <v>Ella</v>
      </c>
      <c r="D43" s="23" t="str">
        <f>VLOOKUP(A43,Users!A:D,3,FALSE)</f>
        <v>Ngwodo</v>
      </c>
      <c r="E43" s="99">
        <f>COUNTIF(Visits!AJ:AJ,'Summer Challenge'!A151)</f>
        <v>0</v>
      </c>
      <c r="G43" cm="1">
        <f t="array" ref="G43">SUM(--(FREQUENCY(IF(Visits!E:E='Summer Challenge'!A43,Visits!AK:AK),Visits!AK:AK)&gt;0))</f>
        <v>1</v>
      </c>
      <c r="H43">
        <f>SUMIF(Visits!E:E,'Summer Challenge'!A43,Visits!AK:AK)</f>
        <v>0</v>
      </c>
      <c r="J43" s="106"/>
      <c r="K43" s="106">
        <f t="shared" si="1"/>
        <v>0</v>
      </c>
      <c r="L43" s="4">
        <f>SUMIF(Visits!E:E,'Summer Challenge'!A43,Visits!AL:AL)</f>
        <v>0</v>
      </c>
      <c r="M43" s="4">
        <f t="shared" si="2"/>
        <v>0</v>
      </c>
      <c r="N43" s="4"/>
      <c r="O43" t="s">
        <v>201</v>
      </c>
      <c r="P43" t="s">
        <v>202</v>
      </c>
      <c r="Q43" t="str">
        <f>IF(SUM('User Engagement'!G108:H108)&gt;=0,"YES", "NO")</f>
        <v>YES</v>
      </c>
      <c r="S43" s="2" t="str">
        <f t="shared" si="3"/>
        <v>Hello Ella! Here is your progress in the *Summer Quest* so far.
👨🏼‍🤝‍👨🏽 *0* new friends
🖼️ *0* exhibitions
🕑 *0* hours of art experiences
Dive deeper into the Guilds and Journeys. Find your next experience bit.ly/3MfEXat
We’re excited to see your adventures unfold over the next 4 weeks! 🚀
Share your journey with pride and don't forget to tag @nimi_collective.</v>
      </c>
    </row>
    <row r="44" spans="1:20" ht="272.10000000000002">
      <c r="A44" t="str">
        <f>Users!A35</f>
        <v>C.Emily.white@gmail.com</v>
      </c>
      <c r="B44" s="66" t="str">
        <f>Users!D35</f>
        <v>07545450201</v>
      </c>
      <c r="C44" s="23" t="str">
        <f>VLOOKUP(A44,Users!A:D,2,FALSE)</f>
        <v>Emily</v>
      </c>
      <c r="D44" s="23" t="str">
        <f>VLOOKUP(A44,Users!A:D,3,FALSE)</f>
        <v>White</v>
      </c>
      <c r="E44" s="99">
        <f>COUNTIF(Visits!AJ:AJ,'Summer Challenge'!A152)</f>
        <v>0</v>
      </c>
      <c r="G44" cm="1">
        <f t="array" ref="G44">SUM(--(FREQUENCY(IF(Visits!E:E='Summer Challenge'!A44,Visits!AK:AK),Visits!AK:AK)&gt;0))</f>
        <v>1</v>
      </c>
      <c r="H44">
        <f>SUMIF(Visits!E:E,'Summer Challenge'!A44,Visits!AK:AK)</f>
        <v>0</v>
      </c>
      <c r="J44" s="106"/>
      <c r="K44" s="106">
        <f t="shared" si="1"/>
        <v>0</v>
      </c>
      <c r="L44" s="4">
        <f>SUMIF(Visits!E:E,'Summer Challenge'!A44,Visits!AL:AL)</f>
        <v>0</v>
      </c>
      <c r="M44" s="4">
        <f t="shared" si="2"/>
        <v>0</v>
      </c>
      <c r="N44" s="4"/>
      <c r="O44" t="s">
        <v>202</v>
      </c>
      <c r="P44" t="s">
        <v>202</v>
      </c>
      <c r="Q44" t="str">
        <f>IF(SUM('User Engagement'!G37:H37)&gt;=0,"YES", "NO")</f>
        <v>YES</v>
      </c>
      <c r="S44" s="2" t="str">
        <f t="shared" si="3"/>
        <v>Hello Emily! Here is your progress in the *Summer Quest* so far.
👨🏼‍🤝‍👨🏽 *0* new friends
🖼️ *0* exhibitions
🕑 *0* hours of art experiences
Dive deeper into the Guilds and Journeys. Find your next experience bit.ly/3MfEXat
We’re excited to see your adventures unfold over the next 4 weeks! 🚀
Share your journey with pride and don't forget to tag @nimi_collective.</v>
      </c>
    </row>
    <row r="45" spans="1:20" ht="272.10000000000002">
      <c r="A45" t="str">
        <f>Users!A36</f>
        <v>eoghannaughton@hotmail.com</v>
      </c>
      <c r="B45" s="66" t="str">
        <f>Users!D36</f>
        <v>07525006790</v>
      </c>
      <c r="C45" s="23" t="str">
        <f>VLOOKUP(A45,Users!A:D,2,FALSE)</f>
        <v>Eoghan</v>
      </c>
      <c r="D45" s="23" t="str">
        <f>VLOOKUP(A45,Users!A:D,3,FALSE)</f>
        <v>Naughton</v>
      </c>
      <c r="E45" s="99">
        <f>COUNTIF(Visits!AJ:AJ,'Summer Challenge'!A153)</f>
        <v>0</v>
      </c>
      <c r="G45" cm="1">
        <f t="array" ref="G45">SUM(--(FREQUENCY(IF(Visits!E:E='Summer Challenge'!A45,Visits!AK:AK),Visits!AK:AK)&gt;0))</f>
        <v>1</v>
      </c>
      <c r="H45">
        <f>SUMIF(Visits!E:E,'Summer Challenge'!A45,Visits!AK:AK)</f>
        <v>2</v>
      </c>
      <c r="J45" s="106"/>
      <c r="K45" s="106">
        <f t="shared" si="1"/>
        <v>10</v>
      </c>
      <c r="L45" s="4">
        <f>SUMIF(Visits!E:E,'Summer Challenge'!A45,Visits!AL:AL)</f>
        <v>2</v>
      </c>
      <c r="M45" s="4">
        <f t="shared" si="2"/>
        <v>8</v>
      </c>
      <c r="N45" s="4"/>
      <c r="O45" t="s">
        <v>202</v>
      </c>
      <c r="P45" t="s">
        <v>202</v>
      </c>
      <c r="Q45" t="str">
        <f>IF(SUM('User Engagement'!G38:H38)&gt;=0,"YES", "NO")</f>
        <v>YES</v>
      </c>
      <c r="S45" s="2" t="str">
        <f t="shared" si="3"/>
        <v>Hello Eoghan! Here is your progress in the *Summer Quest* so far.
👨🏼‍🤝‍👨🏽 *10* new friends
🖼️ *2* exhibitions
🕑 *8* hours of art experiences
Dive deeper into the Guilds and Journeys. Find your next experience bit.ly/3MfEXat
We’re excited to see your adventures unfold over the next 4 weeks! 🚀
Share your journey with pride and don't forget to tag @nimi_collective.</v>
      </c>
      <c r="T45" t="s">
        <v>203</v>
      </c>
    </row>
    <row r="46" spans="1:20" ht="272.10000000000002">
      <c r="A46" t="str">
        <f>Users!A107</f>
        <v>e_squires@hotmail.com</v>
      </c>
      <c r="C46" s="23" t="str">
        <f>VLOOKUP(A46,Users!A:D,2,FALSE)</f>
        <v>Erin</v>
      </c>
      <c r="D46" s="23" t="str">
        <f>VLOOKUP(A46,Users!A:D,3,FALSE)</f>
        <v>Squires</v>
      </c>
      <c r="E46" s="99">
        <f>COUNTIF(Visits!AJ:AJ,'Summer Challenge'!A154)</f>
        <v>0</v>
      </c>
      <c r="G46" cm="1">
        <f t="array" ref="G46">SUM(--(FREQUENCY(IF(Visits!E:E='Summer Challenge'!A46,Visits!AK:AK),Visits!AK:AK)&gt;0))</f>
        <v>1</v>
      </c>
      <c r="H46">
        <f>SUMIF(Visits!E:E,'Summer Challenge'!A46,Visits!AK:AK)</f>
        <v>0</v>
      </c>
      <c r="J46" s="106"/>
      <c r="K46" s="106">
        <f t="shared" si="1"/>
        <v>0</v>
      </c>
      <c r="L46" s="4">
        <f>SUMIF(Visits!E:E,'Summer Challenge'!A46,Visits!AL:AL)</f>
        <v>0</v>
      </c>
      <c r="M46" s="4">
        <f t="shared" si="2"/>
        <v>0</v>
      </c>
      <c r="N46" s="4"/>
      <c r="O46" t="s">
        <v>201</v>
      </c>
      <c r="P46" t="s">
        <v>202</v>
      </c>
      <c r="Q46" t="str">
        <f>IF(SUM('User Engagement'!G109:H109)&gt;=0,"YES", "NO")</f>
        <v>YES</v>
      </c>
      <c r="S46" s="2" t="str">
        <f t="shared" si="3"/>
        <v>Hello Erin! Here is your progress in the *Summer Quest* so far.
👨🏼‍🤝‍👨🏽 *0* new friends
🖼️ *0* exhibitions
🕑 *0* hours of art experiences
Dive deeper into the Guilds and Journeys. Find your next experience bit.ly/3MfEXat
We’re excited to see your adventures unfold over the next 4 weeks! 🚀
Share your journey with pride and don't forget to tag @nimi_collective.</v>
      </c>
    </row>
    <row r="47" spans="1:20" ht="272.10000000000002">
      <c r="A47" t="str">
        <f>Users!A37</f>
        <v>estherchen314@gmail.com</v>
      </c>
      <c r="B47" s="66">
        <f>Users!D37</f>
        <v>19176000000</v>
      </c>
      <c r="C47" s="23" t="str">
        <f>VLOOKUP(A47,Users!A:D,2,FALSE)</f>
        <v>Esther</v>
      </c>
      <c r="D47" s="23" t="str">
        <f>VLOOKUP(A47,Users!A:D,3,FALSE)</f>
        <v>Chen</v>
      </c>
      <c r="E47" s="99">
        <f>COUNTIF(Visits!AJ:AJ,'Summer Challenge'!A155)</f>
        <v>0</v>
      </c>
      <c r="G47" cm="1">
        <f t="array" ref="G47">SUM(--(FREQUENCY(IF(Visits!E:E='Summer Challenge'!A47,Visits!AK:AK),Visits!AK:AK)&gt;0))</f>
        <v>1</v>
      </c>
      <c r="H47">
        <f>SUMIF(Visits!E:E,'Summer Challenge'!A47,Visits!AK:AK)</f>
        <v>0</v>
      </c>
      <c r="J47" s="106"/>
      <c r="K47" s="106">
        <f t="shared" si="1"/>
        <v>0</v>
      </c>
      <c r="L47" s="4">
        <f>SUMIF(Visits!E:E,'Summer Challenge'!A47,Visits!AL:AL)</f>
        <v>0</v>
      </c>
      <c r="M47" s="4">
        <f t="shared" si="2"/>
        <v>0</v>
      </c>
      <c r="N47" s="4"/>
      <c r="O47" t="s">
        <v>202</v>
      </c>
      <c r="P47" t="s">
        <v>202</v>
      </c>
      <c r="Q47" t="str">
        <f>IF(SUM('User Engagement'!G39:H39)&gt;=0,"YES", "NO")</f>
        <v>YES</v>
      </c>
      <c r="S47" s="2" t="str">
        <f t="shared" si="3"/>
        <v>Hello Esther! Here is your progress in the *Summer Quest* so far.
👨🏼‍🤝‍👨🏽 *0* new friends
🖼️ *0* exhibitions
🕑 *0* hours of art experiences
Dive deeper into the Guilds and Journeys. Find your next experience bit.ly/3MfEXat
We’re excited to see your adventures unfold over the next 4 weeks! 🚀
Share your journey with pride and don't forget to tag @nimi_collective.</v>
      </c>
    </row>
    <row r="48" spans="1:20" ht="272.10000000000002">
      <c r="A48" t="str">
        <f>Users!A38</f>
        <v>alena.german.71@gmail.com</v>
      </c>
      <c r="B48" s="66" t="str">
        <f>Users!D38</f>
        <v>07553093894</v>
      </c>
      <c r="C48" s="23" t="str">
        <f>VLOOKUP(A48,Users!A:D,2,FALSE)</f>
        <v>Eugenia</v>
      </c>
      <c r="D48" s="23" t="str">
        <f>VLOOKUP(A48,Users!A:D,3,FALSE)</f>
        <v>Herman</v>
      </c>
      <c r="E48" s="99">
        <f>COUNTIF(Visits!AJ:AJ,'Summer Challenge'!A156)</f>
        <v>0</v>
      </c>
      <c r="G48" cm="1">
        <f t="array" ref="G48">SUM(--(FREQUENCY(IF(Visits!E:E='Summer Challenge'!A48,Visits!AK:AK),Visits!AK:AK)&gt;0))</f>
        <v>1</v>
      </c>
      <c r="H48">
        <f>SUMIF(Visits!E:E,'Summer Challenge'!A48,Visits!AK:AK)</f>
        <v>2</v>
      </c>
      <c r="J48" s="106"/>
      <c r="K48" s="106">
        <f t="shared" si="1"/>
        <v>10</v>
      </c>
      <c r="L48" s="4">
        <f>SUMIF(Visits!E:E,'Summer Challenge'!A48,Visits!AL:AL)</f>
        <v>2</v>
      </c>
      <c r="M48" s="4">
        <f t="shared" si="2"/>
        <v>8</v>
      </c>
      <c r="N48" s="4"/>
      <c r="O48" t="s">
        <v>202</v>
      </c>
      <c r="P48" t="s">
        <v>202</v>
      </c>
      <c r="Q48" t="str">
        <f>IF(SUM('User Engagement'!G40:H40)&gt;=0,"YES", "NO")</f>
        <v>YES</v>
      </c>
      <c r="S48" s="2" t="str">
        <f t="shared" si="3"/>
        <v>Hello Eugenia! Here is your progress in the *Summer Quest* so far.
👨🏼‍🤝‍👨🏽 *10* new friends
🖼️ *2* exhibitions
🕑 *8* hours of art experiences
Dive deeper into the Guilds and Journeys. Find your next experience bit.ly/3MfEXat
We’re excited to see your adventures unfold over the next 4 weeks! 🚀
Share your journey with pride and don't forget to tag @nimi_collective.</v>
      </c>
      <c r="T48" t="s">
        <v>203</v>
      </c>
    </row>
    <row r="49" spans="1:20" ht="272.10000000000002">
      <c r="A49" t="str">
        <f>Users!A39</f>
        <v>ezgicaakmak@gmail.com</v>
      </c>
      <c r="B49" s="66">
        <f>Users!D39</f>
        <v>0</v>
      </c>
      <c r="C49" s="23" t="str">
        <f>VLOOKUP(A49,Users!A:D,2,FALSE)</f>
        <v>Ezgi</v>
      </c>
      <c r="D49" s="23" t="str">
        <f>VLOOKUP(A49,Users!A:D,3,FALSE)</f>
        <v>Çakmak</v>
      </c>
      <c r="E49" s="99">
        <f>COUNTIF(Visits!AJ:AJ,'Summer Challenge'!A157)</f>
        <v>0</v>
      </c>
      <c r="G49" cm="1">
        <f t="array" ref="G49">SUM(--(FREQUENCY(IF(Visits!E:E='Summer Challenge'!A49,Visits!AK:AK),Visits!AK:AK)&gt;0))</f>
        <v>1</v>
      </c>
      <c r="H49">
        <f>SUMIF(Visits!E:E,'Summer Challenge'!A49,Visits!AK:AK)</f>
        <v>0</v>
      </c>
      <c r="J49" s="106"/>
      <c r="K49" s="106">
        <f t="shared" si="1"/>
        <v>0</v>
      </c>
      <c r="L49" s="4">
        <f>SUMIF(Visits!E:E,'Summer Challenge'!A49,Visits!AL:AL)</f>
        <v>0</v>
      </c>
      <c r="M49" s="4">
        <f t="shared" si="2"/>
        <v>0</v>
      </c>
      <c r="N49" s="4"/>
      <c r="O49" t="s">
        <v>201</v>
      </c>
      <c r="P49" t="s">
        <v>202</v>
      </c>
      <c r="Q49" t="str">
        <f>IF(SUM('User Engagement'!G41:H41)&gt;=0,"YES", "NO")</f>
        <v>YES</v>
      </c>
      <c r="S49" s="2" t="str">
        <f t="shared" si="3"/>
        <v>Hello Ezgi! Here is your progress in the *Summer Quest* so far.
👨🏼‍🤝‍👨🏽 *0* new friends
🖼️ *0* exhibitions
🕑 *0* hours of art experiences
Dive deeper into the Guilds and Journeys. Find your next experience bit.ly/3MfEXat
We’re excited to see your adventures unfold over the next 4 weeks! 🚀
Share your journey with pride and don't forget to tag @nimi_collective.</v>
      </c>
    </row>
    <row r="50" spans="1:20" ht="272.10000000000002">
      <c r="A50" t="str">
        <f>Users!A40</f>
        <v>federica.martini@live.it</v>
      </c>
      <c r="B50" s="66" t="str">
        <f>Users!D40</f>
        <v>0425103954</v>
      </c>
      <c r="C50" s="23" t="str">
        <f>VLOOKUP(A50,Users!A:D,2,FALSE)</f>
        <v>Federica</v>
      </c>
      <c r="D50" s="23" t="str">
        <f>VLOOKUP(A50,Users!A:D,3,FALSE)</f>
        <v>Martini</v>
      </c>
      <c r="E50" s="99">
        <f>COUNTIF(Visits!AJ:AJ,'Summer Challenge'!A158)</f>
        <v>0</v>
      </c>
      <c r="G50" cm="1">
        <f t="array" ref="G50">SUM(--(FREQUENCY(IF(Visits!E:E='Summer Challenge'!A50,Visits!AK:AK),Visits!AK:AK)&gt;0))</f>
        <v>1</v>
      </c>
      <c r="H50">
        <f>SUMIF(Visits!E:E,'Summer Challenge'!A50,Visits!AK:AK)</f>
        <v>0</v>
      </c>
      <c r="J50" s="106"/>
      <c r="K50" s="106">
        <f t="shared" si="1"/>
        <v>0</v>
      </c>
      <c r="L50" s="4">
        <f>SUMIF(Visits!E:E,'Summer Challenge'!A50,Visits!AL:AL)</f>
        <v>0</v>
      </c>
      <c r="M50" s="4">
        <f t="shared" si="2"/>
        <v>0</v>
      </c>
      <c r="N50" s="4"/>
      <c r="O50" t="s">
        <v>201</v>
      </c>
      <c r="P50" t="s">
        <v>202</v>
      </c>
      <c r="Q50" t="str">
        <f>IF(SUM('User Engagement'!G42:H42)&gt;=0,"YES", "NO")</f>
        <v>YES</v>
      </c>
      <c r="S50" s="2" t="str">
        <f t="shared" si="3"/>
        <v>Hello Federica! Here is your progress in the *Summer Quest* so far.
👨🏼‍🤝‍👨🏽 *0* new friends
🖼️ *0* exhibitions
🕑 *0* hours of art experiences
Dive deeper into the Guilds and Journeys. Find your next experience bit.ly/3MfEXat
We’re excited to see your adventures unfold over the next 4 weeks! 🚀
Share your journey with pride and don't forget to tag @nimi_collective.</v>
      </c>
    </row>
    <row r="51" spans="1:20" ht="272.10000000000002">
      <c r="A51" t="str">
        <f>Users!A102</f>
        <v>u.gaukhar@gmail.com</v>
      </c>
      <c r="B51" s="66" t="str">
        <f>Users!D102</f>
        <v>07404835441</v>
      </c>
      <c r="C51" s="23" t="str">
        <f>VLOOKUP(A51,Users!A:D,2,FALSE)</f>
        <v>Gaukhar</v>
      </c>
      <c r="D51" s="23" t="str">
        <f>VLOOKUP(A51,Users!A:D,3,FALSE)</f>
        <v>Uskenbayeva</v>
      </c>
      <c r="E51" s="99">
        <f>COUNTIF(Visits!AJ:AJ,'Summer Challenge'!A159)</f>
        <v>0</v>
      </c>
      <c r="G51" cm="1">
        <f t="array" ref="G51">SUM(--(FREQUENCY(IF(Visits!E:E='Summer Challenge'!A51,Visits!AK:AK),Visits!AK:AK)&gt;0))</f>
        <v>1</v>
      </c>
      <c r="H51">
        <f>SUMIF(Visits!E:E,'Summer Challenge'!A51,Visits!AK:AK)</f>
        <v>1</v>
      </c>
      <c r="J51" s="106"/>
      <c r="K51" s="106">
        <f t="shared" si="1"/>
        <v>5</v>
      </c>
      <c r="L51" s="4">
        <f>SUMIF(Visits!E:E,'Summer Challenge'!A51,Visits!AL:AL)</f>
        <v>1</v>
      </c>
      <c r="M51" s="4">
        <f t="shared" si="2"/>
        <v>4</v>
      </c>
      <c r="N51" s="4"/>
      <c r="O51" t="s">
        <v>201</v>
      </c>
      <c r="P51" t="s">
        <v>202</v>
      </c>
      <c r="Q51" t="str">
        <f>IF(SUM('User Engagement'!G104:H104)&gt;=0,"YES", "NO")</f>
        <v>YES</v>
      </c>
      <c r="S51" s="2" t="str">
        <f t="shared" si="3"/>
        <v>Hello Gaukhar! Here is your progress in the *Summer Quest* so far.
👨🏼‍🤝‍👨🏽 *5* new friends
🖼️ *1* exhibitions
🕑 *4* hours of art experiences
Dive deeper into the Guilds and Journeys. Find your next experience bit.ly/3MfEXat
We’re excited to see your adventures unfold over the next 4 weeks! 🚀
Share your journey with pride and don't forget to tag @nimi_collective.</v>
      </c>
    </row>
    <row r="52" spans="1:20" ht="272.10000000000002">
      <c r="A52" t="str">
        <f>Users!A42</f>
        <v>6.saracchi@gmail.com</v>
      </c>
      <c r="B52" s="66" t="str">
        <f>Users!D42</f>
        <v>+44 7496 933834</v>
      </c>
      <c r="C52" s="23" t="str">
        <f>VLOOKUP(A52,Users!A:D,2,FALSE)</f>
        <v>Giacomo</v>
      </c>
      <c r="D52" s="23" t="str">
        <f>VLOOKUP(A52,Users!A:D,3,FALSE)</f>
        <v>Saracchi</v>
      </c>
      <c r="E52" s="99">
        <f>COUNTIF(Visits!AJ:AJ,'Summer Challenge'!A160)</f>
        <v>0</v>
      </c>
      <c r="G52" cm="1">
        <f t="array" ref="G52">SUM(--(FREQUENCY(IF(Visits!E:E='Summer Challenge'!A52,Visits!AK:AK),Visits!AK:AK)&gt;0))</f>
        <v>1</v>
      </c>
      <c r="H52">
        <f>SUMIF(Visits!E:E,'Summer Challenge'!A52,Visits!AK:AK)</f>
        <v>0</v>
      </c>
      <c r="J52" s="106"/>
      <c r="K52" s="106">
        <f t="shared" si="1"/>
        <v>0</v>
      </c>
      <c r="L52" s="4">
        <f>SUMIF(Visits!E:E,'Summer Challenge'!A52,Visits!AL:AL)</f>
        <v>0</v>
      </c>
      <c r="M52" s="4">
        <f t="shared" si="2"/>
        <v>0</v>
      </c>
      <c r="N52" s="4"/>
      <c r="O52" t="s">
        <v>202</v>
      </c>
      <c r="P52" t="s">
        <v>202</v>
      </c>
      <c r="Q52" t="str">
        <f>IF(SUM('User Engagement'!G44:H44)&gt;=0,"YES", "NO")</f>
        <v>YES</v>
      </c>
      <c r="S52" s="2" t="str">
        <f t="shared" si="3"/>
        <v>Hello Giacomo! Here is your progress in the *Summer Quest* so far.
👨🏼‍🤝‍👨🏽 *0* new friends
🖼️ *0* exhibitions
🕑 *0* hours of art experiences
Dive deeper into the Guilds and Journeys. Find your next experience bit.ly/3MfEXat
We’re excited to see your adventures unfold over the next 4 weeks! 🚀
Share your journey with pride and don't forget to tag @nimi_collective.</v>
      </c>
    </row>
    <row r="53" spans="1:20" ht="272.10000000000002">
      <c r="A53" t="str">
        <f>Users!A43</f>
        <v>gilka5@hotmail.com</v>
      </c>
      <c r="B53" s="66">
        <f>Users!D43</f>
        <v>7841262698</v>
      </c>
      <c r="C53" s="23" t="str">
        <f>VLOOKUP(A53,Users!A:D,2,FALSE)</f>
        <v>Gil</v>
      </c>
      <c r="D53" s="23" t="str">
        <f>VLOOKUP(A53,Users!A:D,3,FALSE)</f>
        <v>K</v>
      </c>
      <c r="E53" s="99">
        <f>COUNTIF(Visits!AJ:AJ,'Summer Challenge'!A161)</f>
        <v>0</v>
      </c>
      <c r="G53" cm="1">
        <f t="array" ref="G53">SUM(--(FREQUENCY(IF(Visits!E:E='Summer Challenge'!A53,Visits!AK:AK),Visits!AK:AK)&gt;0))</f>
        <v>1</v>
      </c>
      <c r="H53">
        <f>SUMIF(Visits!E:E,'Summer Challenge'!A53,Visits!AK:AK)</f>
        <v>0</v>
      </c>
      <c r="J53" s="106"/>
      <c r="K53" s="106">
        <f t="shared" si="1"/>
        <v>0</v>
      </c>
      <c r="L53" s="4">
        <f>SUMIF(Visits!E:E,'Summer Challenge'!A53,Visits!AL:AL)</f>
        <v>0</v>
      </c>
      <c r="M53" s="4">
        <f t="shared" si="2"/>
        <v>0</v>
      </c>
      <c r="N53" s="4"/>
      <c r="O53" t="s">
        <v>202</v>
      </c>
      <c r="P53" t="s">
        <v>202</v>
      </c>
      <c r="Q53" t="str">
        <f>IF(SUM('User Engagement'!G45:H45)&gt;=0,"YES", "NO")</f>
        <v>YES</v>
      </c>
      <c r="S53" s="2" t="str">
        <f t="shared" si="3"/>
        <v>Hello Gil! Here is your progress in the *Summer Quest* so far.
👨🏼‍🤝‍👨🏽 *0* new friends
🖼️ *0* exhibitions
🕑 *0* hours of art experiences
Dive deeper into the Guilds and Journeys. Find your next experience bit.ly/3MfEXat
We’re excited to see your adventures unfold over the next 4 weeks! 🚀
Share your journey with pride and don't forget to tag @nimi_collective.</v>
      </c>
    </row>
    <row r="54" spans="1:20" ht="272.10000000000002">
      <c r="A54" t="str">
        <f>Users!A44</f>
        <v>hanna.niczyporuk@gmail.com</v>
      </c>
      <c r="B54" s="66" t="str">
        <f>Users!D44</f>
        <v>07183086607</v>
      </c>
      <c r="C54" s="23" t="str">
        <f>VLOOKUP(A54,Users!A:D,2,FALSE)</f>
        <v>Hanna</v>
      </c>
      <c r="D54" s="23" t="str">
        <f>VLOOKUP(A54,Users!A:D,3,FALSE)</f>
        <v>Niczyporuk</v>
      </c>
      <c r="E54" s="99">
        <f>COUNTIF(Visits!AJ:AJ,'Summer Challenge'!A162)</f>
        <v>0</v>
      </c>
      <c r="G54" cm="1">
        <f t="array" ref="G54">SUM(--(FREQUENCY(IF(Visits!E:E='Summer Challenge'!A54,Visits!AK:AK),Visits!AK:AK)&gt;0))</f>
        <v>1</v>
      </c>
      <c r="H54">
        <f>SUMIF(Visits!E:E,'Summer Challenge'!A54,Visits!AK:AK)</f>
        <v>0</v>
      </c>
      <c r="J54" s="106"/>
      <c r="K54" s="106">
        <f t="shared" si="1"/>
        <v>0</v>
      </c>
      <c r="L54" s="4">
        <f>SUMIF(Visits!E:E,'Summer Challenge'!A54,Visits!AL:AL)</f>
        <v>0</v>
      </c>
      <c r="M54" s="4">
        <f t="shared" si="2"/>
        <v>0</v>
      </c>
      <c r="N54" s="4"/>
      <c r="O54" t="s">
        <v>201</v>
      </c>
      <c r="P54" t="s">
        <v>202</v>
      </c>
      <c r="Q54" t="str">
        <f>IF(SUM('User Engagement'!G46:H46)&gt;=0,"YES", "NO")</f>
        <v>YES</v>
      </c>
      <c r="S54" s="2" t="str">
        <f t="shared" si="3"/>
        <v>Hello Hanna! Here is your progress in the *Summer Quest* so far.
👨🏼‍🤝‍👨🏽 *0* new friends
🖼️ *0* exhibitions
🕑 *0* hours of art experiences
Dive deeper into the Guilds and Journeys. Find your next experience bit.ly/3MfEXat
We’re excited to see your adventures unfold over the next 4 weeks! 🚀
Share your journey with pride and don't forget to tag @nimi_collective.</v>
      </c>
    </row>
    <row r="55" spans="1:20" ht="272.10000000000002">
      <c r="A55" t="str">
        <f>Users!A45</f>
        <v>io.brezeanu@gmail.com</v>
      </c>
      <c r="B55" s="66" t="str">
        <f>Users!D45</f>
        <v>07492693024</v>
      </c>
      <c r="C55" s="23" t="str">
        <f>VLOOKUP(A55,Users!A:D,2,FALSE)</f>
        <v>Ioana</v>
      </c>
      <c r="D55" s="23" t="str">
        <f>VLOOKUP(A55,Users!A:D,3,FALSE)</f>
        <v>Brezeanu</v>
      </c>
      <c r="E55" s="99">
        <f>COUNTIF(Visits!AJ:AJ,'Summer Challenge'!A163)</f>
        <v>0</v>
      </c>
      <c r="G55" cm="1">
        <f t="array" ref="G55">SUM(--(FREQUENCY(IF(Visits!E:E='Summer Challenge'!A55,Visits!AK:AK),Visits!AK:AK)&gt;0))</f>
        <v>1</v>
      </c>
      <c r="H55">
        <f>SUMIF(Visits!E:E,'Summer Challenge'!A55,Visits!AK:AK)</f>
        <v>2</v>
      </c>
      <c r="J55" s="106"/>
      <c r="K55" s="106">
        <f t="shared" si="1"/>
        <v>10</v>
      </c>
      <c r="L55" s="4">
        <f>SUMIF(Visits!E:E,'Summer Challenge'!A55,Visits!AL:AL)</f>
        <v>2</v>
      </c>
      <c r="M55" s="4">
        <f t="shared" si="2"/>
        <v>8</v>
      </c>
      <c r="N55" s="4"/>
      <c r="O55" t="s">
        <v>202</v>
      </c>
      <c r="P55" t="s">
        <v>202</v>
      </c>
      <c r="Q55" t="str">
        <f>IF(SUM('User Engagement'!G47:H47)&gt;=0,"YES", "NO")</f>
        <v>YES</v>
      </c>
      <c r="S55" s="2" t="str">
        <f t="shared" si="3"/>
        <v>Hello Ioana! Here is your progress in the *Summer Quest* so far.
👨🏼‍🤝‍👨🏽 *10* new friends
🖼️ *2* exhibitions
🕑 *8* hours of art experiences
Dive deeper into the Guilds and Journeys. Find your next experience bit.ly/3MfEXat
We’re excited to see your adventures unfold over the next 4 weeks! 🚀
Share your journey with pride and don't forget to tag @nimi_collective.</v>
      </c>
      <c r="T55" t="s">
        <v>203</v>
      </c>
    </row>
    <row r="56" spans="1:20" ht="272.10000000000002">
      <c r="A56" t="str">
        <f>Users!A46</f>
        <v>taam.isadora@gmail.com</v>
      </c>
      <c r="B56" s="66" t="str">
        <f>Users!D46</f>
        <v>07923190379</v>
      </c>
      <c r="C56" s="23" t="str">
        <f>VLOOKUP(A56,Users!A:D,2,FALSE)</f>
        <v>Isadora</v>
      </c>
      <c r="D56" s="23" t="str">
        <f>VLOOKUP(A56,Users!A:D,3,FALSE)</f>
        <v>de Miranda Mello Taam</v>
      </c>
      <c r="E56" s="99">
        <f>COUNTIF(Visits!AJ:AJ,'Summer Challenge'!A164)</f>
        <v>0</v>
      </c>
      <c r="G56" cm="1">
        <f t="array" ref="G56">SUM(--(FREQUENCY(IF(Visits!E:E='Summer Challenge'!A56,Visits!AK:AK),Visits!AK:AK)&gt;0))</f>
        <v>1</v>
      </c>
      <c r="H56">
        <f>SUMIF(Visits!E:E,'Summer Challenge'!A56,Visits!AK:AK)</f>
        <v>0</v>
      </c>
      <c r="J56" s="106"/>
      <c r="K56" s="106">
        <f t="shared" si="1"/>
        <v>0</v>
      </c>
      <c r="L56" s="4">
        <f>SUMIF(Visits!E:E,'Summer Challenge'!A56,Visits!AL:AL)</f>
        <v>0</v>
      </c>
      <c r="M56" s="4">
        <f t="shared" si="2"/>
        <v>0</v>
      </c>
      <c r="N56" s="4"/>
      <c r="O56" t="s">
        <v>201</v>
      </c>
      <c r="P56" t="s">
        <v>202</v>
      </c>
      <c r="Q56" t="str">
        <f>IF(SUM('User Engagement'!G48:H48)&gt;=0,"YES", "NO")</f>
        <v>YES</v>
      </c>
      <c r="S56" s="2" t="str">
        <f t="shared" si="3"/>
        <v>Hello Isadora! Here is your progress in the *Summer Quest* so far.
👨🏼‍🤝‍👨🏽 *0* new friends
🖼️ *0* exhibitions
🕑 *0* hours of art experiences
Dive deeper into the Guilds and Journeys. Find your next experience bit.ly/3MfEXat
We’re excited to see your adventures unfold over the next 4 weeks! 🚀
Share your journey with pride and don't forget to tag @nimi_collective.</v>
      </c>
    </row>
    <row r="57" spans="1:20" ht="272.10000000000002">
      <c r="A57" t="str">
        <f>Users!A47</f>
        <v>jz548282@gmail.com</v>
      </c>
      <c r="B57" s="66" t="str">
        <f>Users!D47</f>
        <v>07961779960</v>
      </c>
      <c r="C57" s="23" t="str">
        <f>VLOOKUP(A57,Users!A:D,2,FALSE)</f>
        <v>Jing</v>
      </c>
      <c r="D57" s="23" t="str">
        <f>VLOOKUP(A57,Users!A:D,3,FALSE)</f>
        <v>Zhang</v>
      </c>
      <c r="E57" s="99">
        <f>COUNTIF(Visits!AJ:AJ,'Summer Challenge'!A165)</f>
        <v>0</v>
      </c>
      <c r="G57" cm="1">
        <f t="array" ref="G57">SUM(--(FREQUENCY(IF(Visits!E:E='Summer Challenge'!A57,Visits!AK:AK),Visits!AK:AK)&gt;0))</f>
        <v>1</v>
      </c>
      <c r="H57">
        <f>SUMIF(Visits!E:E,'Summer Challenge'!A57,Visits!AK:AK)</f>
        <v>0</v>
      </c>
      <c r="J57" s="106"/>
      <c r="K57" s="106">
        <f t="shared" si="1"/>
        <v>0</v>
      </c>
      <c r="L57" s="4">
        <f>SUMIF(Visits!E:E,'Summer Challenge'!A57,Visits!AL:AL)</f>
        <v>0</v>
      </c>
      <c r="M57" s="4">
        <f t="shared" si="2"/>
        <v>0</v>
      </c>
      <c r="N57" s="4"/>
      <c r="O57" t="s">
        <v>201</v>
      </c>
      <c r="P57" t="s">
        <v>202</v>
      </c>
      <c r="Q57" t="str">
        <f>IF(SUM('User Engagement'!G49:H49)&gt;=0,"YES", "NO")</f>
        <v>YES</v>
      </c>
      <c r="S57" s="2" t="str">
        <f t="shared" si="3"/>
        <v>Hello Jing! Here is your progress in the *Summer Quest* so far.
👨🏼‍🤝‍👨🏽 *0* new friends
🖼️ *0* exhibitions
🕑 *0* hours of art experiences
Dive deeper into the Guilds and Journeys. Find your next experience bit.ly/3MfEXat
We’re excited to see your adventures unfold over the next 4 weeks! 🚀
Share your journey with pride and don't forget to tag @nimi_collective.</v>
      </c>
    </row>
    <row r="58" spans="1:20" ht="272.10000000000002">
      <c r="A58" t="str">
        <f>Users!A48</f>
        <v>jinishgohil@yahoo.co.in</v>
      </c>
      <c r="B58" s="66" t="str">
        <f>Users!D48</f>
        <v>07438951508</v>
      </c>
      <c r="C58" s="23" t="str">
        <f>VLOOKUP(A58,Users!A:D,2,FALSE)</f>
        <v>Jinish</v>
      </c>
      <c r="D58" s="23" t="str">
        <f>VLOOKUP(A58,Users!A:D,3,FALSE)</f>
        <v>Gohil</v>
      </c>
      <c r="E58" s="99">
        <f>COUNTIF(Visits!AJ:AJ,'Summer Challenge'!A166)</f>
        <v>0</v>
      </c>
      <c r="G58" cm="1">
        <f t="array" ref="G58">SUM(--(FREQUENCY(IF(Visits!E:E='Summer Challenge'!A58,Visits!AK:AK),Visits!AK:AK)&gt;0))</f>
        <v>1</v>
      </c>
      <c r="H58">
        <f>SUMIF(Visits!E:E,'Summer Challenge'!A58,Visits!AK:AK)</f>
        <v>0</v>
      </c>
      <c r="J58" s="106"/>
      <c r="K58" s="106">
        <f t="shared" si="1"/>
        <v>0</v>
      </c>
      <c r="L58" s="4">
        <f>SUMIF(Visits!E:E,'Summer Challenge'!A58,Visits!AL:AL)</f>
        <v>0</v>
      </c>
      <c r="M58" s="4">
        <f t="shared" si="2"/>
        <v>0</v>
      </c>
      <c r="N58" s="4"/>
      <c r="O58" t="s">
        <v>201</v>
      </c>
      <c r="P58" t="s">
        <v>202</v>
      </c>
      <c r="Q58" t="str">
        <f>IF(SUM('User Engagement'!G50:H50)&gt;=0,"YES", "NO")</f>
        <v>YES</v>
      </c>
      <c r="S58" s="2" t="str">
        <f t="shared" si="3"/>
        <v>Hello Jinish! Here is your progress in the *Summer Quest* so far.
👨🏼‍🤝‍👨🏽 *0* new friends
🖼️ *0* exhibitions
🕑 *0* hours of art experiences
Dive deeper into the Guilds and Journeys. Find your next experience bit.ly/3MfEXat
We’re excited to see your adventures unfold over the next 4 weeks! 🚀
Share your journey with pride and don't forget to tag @nimi_collective.</v>
      </c>
    </row>
    <row r="59" spans="1:20" ht="272.10000000000002">
      <c r="A59" t="str">
        <f>Users!A49</f>
        <v>jon.chikly@gmail.com</v>
      </c>
      <c r="B59" s="66" t="str">
        <f>Users!D49</f>
        <v>07557017341</v>
      </c>
      <c r="C59" s="23" t="str">
        <f>VLOOKUP(A59,Users!A:D,2,FALSE)</f>
        <v>Jonathan</v>
      </c>
      <c r="D59" s="23" t="str">
        <f>VLOOKUP(A59,Users!A:D,3,FALSE)</f>
        <v>Chikly</v>
      </c>
      <c r="E59" s="99">
        <f>COUNTIF(Visits!AJ:AJ,'Summer Challenge'!A167)</f>
        <v>0</v>
      </c>
      <c r="G59" cm="1">
        <f t="array" ref="G59">SUM(--(FREQUENCY(IF(Visits!E:E='Summer Challenge'!A59,Visits!AK:AK),Visits!AK:AK)&gt;0))</f>
        <v>1</v>
      </c>
      <c r="H59">
        <f>SUMIF(Visits!E:E,'Summer Challenge'!A59,Visits!AK:AK)</f>
        <v>0</v>
      </c>
      <c r="J59" s="106"/>
      <c r="K59" s="106">
        <f t="shared" si="1"/>
        <v>0</v>
      </c>
      <c r="L59" s="4">
        <f>SUMIF(Visits!E:E,'Summer Challenge'!A59,Visits!AL:AL)</f>
        <v>0</v>
      </c>
      <c r="M59" s="4">
        <f t="shared" si="2"/>
        <v>0</v>
      </c>
      <c r="N59" s="4"/>
      <c r="O59" t="s">
        <v>201</v>
      </c>
      <c r="P59" t="s">
        <v>202</v>
      </c>
      <c r="Q59" t="str">
        <f>IF(SUM('User Engagement'!G51:H51)&gt;=0,"YES", "NO")</f>
        <v>YES</v>
      </c>
      <c r="S59" s="2" t="str">
        <f t="shared" si="3"/>
        <v>Hello Jonathan! Here is your progress in the *Summer Quest* so far.
👨🏼‍🤝‍👨🏽 *0* new friends
🖼️ *0* exhibitions
🕑 *0* hours of art experiences
Dive deeper into the Guilds and Journeys. Find your next experience bit.ly/3MfEXat
We’re excited to see your adventures unfold over the next 4 weeks! 🚀
Share your journey with pride and don't forget to tag @nimi_collective.</v>
      </c>
    </row>
    <row r="60" spans="1:20" ht="272.10000000000002">
      <c r="A60" t="str">
        <f>Users!A50</f>
        <v>juanpablo.dltc@gmail.com</v>
      </c>
      <c r="B60" s="66" t="str">
        <f>Users!D50</f>
        <v>+447846069814</v>
      </c>
      <c r="C60" s="23" t="str">
        <f>VLOOKUP(A60,Users!A:D,2,FALSE)</f>
        <v>Juan Pablo</v>
      </c>
      <c r="D60" s="23" t="str">
        <f>VLOOKUP(A60,Users!A:D,3,FALSE)</f>
        <v>De La Torre</v>
      </c>
      <c r="E60" s="99">
        <f>COUNTIF(Visits!AJ:AJ,'Summer Challenge'!A168)</f>
        <v>0</v>
      </c>
      <c r="G60" cm="1">
        <f t="array" ref="G60">SUM(--(FREQUENCY(IF(Visits!E:E='Summer Challenge'!A60,Visits!AK:AK),Visits!AK:AK)&gt;0))</f>
        <v>2</v>
      </c>
      <c r="H60">
        <f>SUMIF(Visits!E:E,'Summer Challenge'!A60,Visits!AK:AK)</f>
        <v>3</v>
      </c>
      <c r="J60" s="106"/>
      <c r="K60" s="106">
        <f t="shared" si="1"/>
        <v>10</v>
      </c>
      <c r="L60" s="4">
        <f>SUMIF(Visits!E:E,'Summer Challenge'!A60,Visits!AL:AL)</f>
        <v>2</v>
      </c>
      <c r="M60" s="4">
        <f t="shared" si="2"/>
        <v>8</v>
      </c>
      <c r="N60" s="4"/>
      <c r="O60" t="s">
        <v>202</v>
      </c>
      <c r="P60" t="s">
        <v>202</v>
      </c>
      <c r="Q60" t="str">
        <f>IF(SUM('User Engagement'!G52:H52)&gt;=0,"YES", "NO")</f>
        <v>YES</v>
      </c>
      <c r="S60" s="2" t="str">
        <f t="shared" si="3"/>
        <v>Hello Juan Pablo! Here is your progress in the *Summer Quest* so far.
👨🏼‍🤝‍👨🏽 *10* new friends
🖼️ *2* exhibitions
🕑 *8* hours of art experiences
Dive deeper into the Guilds and Journeys. Find your next experience bit.ly/3MfEXat
We’re excited to see your adventures unfold over the next 4 weeks! 🚀
Share your journey with pride and don't forget to tag @nimi_collective.</v>
      </c>
      <c r="T60" t="s">
        <v>203</v>
      </c>
    </row>
    <row r="61" spans="1:20" ht="272.10000000000002">
      <c r="A61" t="str">
        <f>Users!A51</f>
        <v>blattnerj@gmail.com</v>
      </c>
      <c r="B61" s="66" t="str">
        <f>Users!D51</f>
        <v>+44 7597 669407</v>
      </c>
      <c r="C61" s="23" t="str">
        <f>VLOOKUP(A61,Users!A:D,2,FALSE)</f>
        <v>Justin</v>
      </c>
      <c r="D61" s="23" t="str">
        <f>VLOOKUP(A61,Users!A:D,3,FALSE)</f>
        <v>Blattner</v>
      </c>
      <c r="E61" s="99">
        <f>COUNTIF(Visits!AJ:AJ,'Summer Challenge'!A169)</f>
        <v>0</v>
      </c>
      <c r="G61" cm="1">
        <f t="array" ref="G61">SUM(--(FREQUENCY(IF(Visits!E:E='Summer Challenge'!A61,Visits!AK:AK),Visits!AK:AK)&gt;0))</f>
        <v>1</v>
      </c>
      <c r="H61">
        <f>SUMIF(Visits!E:E,'Summer Challenge'!A61,Visits!AK:AK)</f>
        <v>0</v>
      </c>
      <c r="J61" s="106"/>
      <c r="K61" s="106">
        <f t="shared" si="1"/>
        <v>0</v>
      </c>
      <c r="L61" s="4">
        <f>SUMIF(Visits!E:E,'Summer Challenge'!A61,Visits!AL:AL)</f>
        <v>0</v>
      </c>
      <c r="M61" s="4">
        <f t="shared" si="2"/>
        <v>0</v>
      </c>
      <c r="N61" s="4"/>
      <c r="O61" t="s">
        <v>201</v>
      </c>
      <c r="P61" t="s">
        <v>202</v>
      </c>
      <c r="Q61" t="str">
        <f>IF(SUM('User Engagement'!G53:H53)&gt;=0,"YES", "NO")</f>
        <v>YES</v>
      </c>
      <c r="S61" s="2" t="str">
        <f t="shared" si="3"/>
        <v>Hello Justin! Here is your progress in the *Summer Quest* so far.
👨🏼‍🤝‍👨🏽 *0* new friends
🖼️ *0* exhibitions
🕑 *0* hours of art experiences
Dive deeper into the Guilds and Journeys. Find your next experience bit.ly/3MfEXat
We’re excited to see your adventures unfold over the next 4 weeks! 🚀
Share your journey with pride and don't forget to tag @nimi_collective.</v>
      </c>
    </row>
    <row r="62" spans="1:20" ht="272.10000000000002">
      <c r="A62" t="str">
        <f>Users!A52</f>
        <v>xetta03@hotmail.com</v>
      </c>
      <c r="B62" s="66">
        <f>Users!D52</f>
        <v>7469394835</v>
      </c>
      <c r="C62" s="23" t="str">
        <f>VLOOKUP(A62,Users!A:D,2,FALSE)</f>
        <v>Karen</v>
      </c>
      <c r="D62" s="23" t="str">
        <f>VLOOKUP(A62,Users!A:D,3,FALSE)</f>
        <v>Johnstone</v>
      </c>
      <c r="E62" s="99">
        <f>COUNTIF(Visits!AJ:AJ,'Summer Challenge'!A170)</f>
        <v>0</v>
      </c>
      <c r="G62" cm="1">
        <f t="array" ref="G62">SUM(--(FREQUENCY(IF(Visits!E:E='Summer Challenge'!A62,Visits!AK:AK),Visits!AK:AK)&gt;0))</f>
        <v>1</v>
      </c>
      <c r="H62">
        <f>SUMIF(Visits!E:E,'Summer Challenge'!A62,Visits!AK:AK)</f>
        <v>0</v>
      </c>
      <c r="J62" s="106"/>
      <c r="K62" s="106">
        <f t="shared" si="1"/>
        <v>0</v>
      </c>
      <c r="L62" s="4">
        <f>SUMIF(Visits!E:E,'Summer Challenge'!A62,Visits!AL:AL)</f>
        <v>0</v>
      </c>
      <c r="M62" s="4">
        <f t="shared" si="2"/>
        <v>0</v>
      </c>
      <c r="N62" s="4"/>
      <c r="O62" t="s">
        <v>202</v>
      </c>
      <c r="P62" t="s">
        <v>202</v>
      </c>
      <c r="Q62" t="str">
        <f>IF(SUM('User Engagement'!G54:H54)&gt;=0,"YES", "NO")</f>
        <v>YES</v>
      </c>
      <c r="S62" s="2" t="str">
        <f t="shared" si="3"/>
        <v>Hello Karen! Here is your progress in the *Summer Quest* so far.
👨🏼‍🤝‍👨🏽 *0* new friends
🖼️ *0* exhibitions
🕑 *0* hours of art experiences
Dive deeper into the Guilds and Journeys. Find your next experience bit.ly/3MfEXat
We’re excited to see your adventures unfold over the next 4 weeks! 🚀
Share your journey with pride and don't forget to tag @nimi_collective.</v>
      </c>
    </row>
    <row r="63" spans="1:20" ht="272.10000000000002">
      <c r="A63" t="str">
        <f>Users!A115</f>
        <v>karismclarty@hotmail.com</v>
      </c>
      <c r="C63" s="23" t="str">
        <f>VLOOKUP(A63,Users!A:D,2,FALSE)</f>
        <v>Karis</v>
      </c>
      <c r="D63" s="23" t="str">
        <f>VLOOKUP(A63,Users!A:D,3,FALSE)</f>
        <v>Mclarty</v>
      </c>
      <c r="E63" s="99">
        <f>COUNTIF(Visits!AJ:AJ,'Summer Challenge'!A171)</f>
        <v>0</v>
      </c>
      <c r="G63" cm="1">
        <f t="array" ref="G63">SUM(--(FREQUENCY(IF(Visits!E:E='Summer Challenge'!A63,Visits!AK:AK),Visits!AK:AK)&gt;0))</f>
        <v>1</v>
      </c>
      <c r="H63">
        <f>SUMIF(Visits!E:E,'Summer Challenge'!A63,Visits!AK:AK)</f>
        <v>1</v>
      </c>
      <c r="J63" s="106"/>
      <c r="K63" s="106">
        <f t="shared" si="1"/>
        <v>5</v>
      </c>
      <c r="L63" s="4">
        <f>SUMIF(Visits!E:E,'Summer Challenge'!A63,Visits!AL:AL)</f>
        <v>1</v>
      </c>
      <c r="M63" s="4">
        <f t="shared" si="2"/>
        <v>4</v>
      </c>
      <c r="N63" s="4"/>
      <c r="O63" t="s">
        <v>201</v>
      </c>
      <c r="P63" t="s">
        <v>202</v>
      </c>
      <c r="Q63" t="str">
        <f>IF(SUM('User Engagement'!G117:H117)&gt;=0,"YES", "NO")</f>
        <v>YES</v>
      </c>
      <c r="S63" s="2" t="str">
        <f t="shared" si="3"/>
        <v>Hello Karis! Here is your progress in the *Summer Quest* so far.
👨🏼‍🤝‍👨🏽 *5* new friends
🖼️ *1* exhibitions
🕑 *4* hours of art experiences
Dive deeper into the Guilds and Journeys. Find your next experience bit.ly/3MfEXat
We’re excited to see your adventures unfold over the next 4 weeks! 🚀
Share your journey with pride and don't forget to tag @nimi_collective.</v>
      </c>
      <c r="T63" t="s">
        <v>203</v>
      </c>
    </row>
    <row r="64" spans="1:20" ht="272.10000000000002">
      <c r="A64" t="str">
        <f>Users!A53</f>
        <v>katherineyr.kim@gmail.com</v>
      </c>
      <c r="B64" s="66" t="str">
        <f>Users!D53</f>
        <v>07465765122</v>
      </c>
      <c r="C64" s="23" t="str">
        <f>VLOOKUP(A64,Users!A:D,2,FALSE)</f>
        <v>Katherine</v>
      </c>
      <c r="D64" s="23" t="str">
        <f>VLOOKUP(A64,Users!A:D,3,FALSE)</f>
        <v>Kim</v>
      </c>
      <c r="E64" s="99">
        <f>COUNTIF(Visits!AJ:AJ,'Summer Challenge'!A172)</f>
        <v>0</v>
      </c>
      <c r="G64" cm="1">
        <f t="array" ref="G64">SUM(--(FREQUENCY(IF(Visits!E:E='Summer Challenge'!A64,Visits!AK:AK),Visits!AK:AK)&gt;0))</f>
        <v>1</v>
      </c>
      <c r="H64">
        <f>SUMIF(Visits!E:E,'Summer Challenge'!A64,Visits!AK:AK)</f>
        <v>1</v>
      </c>
      <c r="J64" s="106"/>
      <c r="K64" s="106">
        <f t="shared" si="1"/>
        <v>5</v>
      </c>
      <c r="L64" s="4">
        <f>SUMIF(Visits!E:E,'Summer Challenge'!A64,Visits!AL:AL)</f>
        <v>1</v>
      </c>
      <c r="M64" s="4">
        <f t="shared" si="2"/>
        <v>4</v>
      </c>
      <c r="N64" s="4"/>
      <c r="O64" t="s">
        <v>201</v>
      </c>
      <c r="P64" t="s">
        <v>202</v>
      </c>
      <c r="Q64" t="str">
        <f>IF(SUM('User Engagement'!G55:H55)&gt;=0,"YES", "NO")</f>
        <v>YES</v>
      </c>
      <c r="S64" s="2" t="str">
        <f t="shared" si="3"/>
        <v>Hello Katherine! Here is your progress in the *Summer Quest* so far.
👨🏼‍🤝‍👨🏽 *5* new friends
🖼️ *1* exhibitions
🕑 *4* hours of art experiences
Dive deeper into the Guilds and Journeys. Find your next experience bit.ly/3MfEXat
We’re excited to see your adventures unfold over the next 4 weeks! 🚀
Share your journey with pride and don't forget to tag @nimi_collective.</v>
      </c>
      <c r="T64" t="s">
        <v>203</v>
      </c>
    </row>
    <row r="65" spans="1:20" ht="272.10000000000002">
      <c r="A65" t="str">
        <f>Users!A54</f>
        <v xml:space="preserve"> pelconsultingwork@gmail.com</v>
      </c>
      <c r="B65" s="66" t="str">
        <f>Users!D54</f>
        <v>+44 7423 066994</v>
      </c>
      <c r="C65" s="23" t="str">
        <f>VLOOKUP(A65,Users!A:D,2,FALSE)</f>
        <v>Ken</v>
      </c>
      <c r="D65" s="23" t="str">
        <f>VLOOKUP(A65,Users!A:D,3,FALSE)</f>
        <v>Nyar</v>
      </c>
      <c r="E65" s="99">
        <f>COUNTIF(Visits!AJ:AJ,'Summer Challenge'!A173)</f>
        <v>0</v>
      </c>
      <c r="G65" cm="1">
        <f t="array" ref="G65">SUM(--(FREQUENCY(IF(Visits!E:E='Summer Challenge'!A65,Visits!AK:AK),Visits!AK:AK)&gt;0))</f>
        <v>0</v>
      </c>
      <c r="H65">
        <f>SUMIF(Visits!E:E,'Summer Challenge'!A65,Visits!AK:AK)</f>
        <v>0</v>
      </c>
      <c r="J65" s="106"/>
      <c r="K65" s="106">
        <f t="shared" si="1"/>
        <v>0</v>
      </c>
      <c r="L65" s="4">
        <f>SUMIF(Visits!E:E,'Summer Challenge'!A65,Visits!AL:AL)</f>
        <v>0</v>
      </c>
      <c r="M65" s="4">
        <f t="shared" si="2"/>
        <v>0</v>
      </c>
      <c r="N65" s="4"/>
      <c r="O65" t="s">
        <v>201</v>
      </c>
      <c r="P65" t="s">
        <v>202</v>
      </c>
      <c r="Q65" t="str">
        <f>IF(SUM('User Engagement'!G56:H56)&gt;=0,"YES", "NO")</f>
        <v>YES</v>
      </c>
      <c r="S65" s="2" t="str">
        <f t="shared" si="3"/>
        <v>Hello Ken! Here is your progress in the *Summer Quest* so far.
👨🏼‍🤝‍👨🏽 *0* new friends
🖼️ *0* exhibitions
🕑 *0* hours of art experiences
Dive deeper into the Guilds and Journeys. Find your next experience bit.ly/3MfEXat
We’re excited to see your adventures unfold over the next 4 weeks! 🚀
Share your journey with pride and don't forget to tag @nimi_collective.</v>
      </c>
    </row>
    <row r="66" spans="1:20" ht="272.10000000000002">
      <c r="A66" t="str">
        <f>Users!A108</f>
        <v>pelconsultingwork@gmail.com</v>
      </c>
      <c r="C66" s="23" t="str">
        <f>VLOOKUP(A66,Users!A:D,2,FALSE)</f>
        <v>Ken</v>
      </c>
      <c r="D66" s="23" t="str">
        <f>VLOOKUP(A66,Users!A:D,3,FALSE)</f>
        <v>Nyar</v>
      </c>
      <c r="E66" s="99">
        <f>COUNTIF(Visits!AJ:AJ,'Summer Challenge'!A174)</f>
        <v>0</v>
      </c>
      <c r="G66" cm="1">
        <f t="array" ref="G66">SUM(--(FREQUENCY(IF(Visits!E:E='Summer Challenge'!A66,Visits!AK:AK),Visits!AK:AK)&gt;0))</f>
        <v>1</v>
      </c>
      <c r="H66">
        <f>SUMIF(Visits!E:E,'Summer Challenge'!A66,Visits!AK:AK)</f>
        <v>0</v>
      </c>
      <c r="J66" s="106"/>
      <c r="K66" s="106">
        <f t="shared" si="1"/>
        <v>0</v>
      </c>
      <c r="L66" s="4">
        <f>SUMIF(Visits!E:E,'Summer Challenge'!A66,Visits!AL:AL)</f>
        <v>0</v>
      </c>
      <c r="M66" s="4">
        <f t="shared" si="2"/>
        <v>0</v>
      </c>
      <c r="N66" s="4"/>
      <c r="O66" t="s">
        <v>201</v>
      </c>
      <c r="P66" t="s">
        <v>202</v>
      </c>
      <c r="Q66" t="str">
        <f>IF(SUM('User Engagement'!G110:H110)&gt;=0,"YES", "NO")</f>
        <v>YES</v>
      </c>
      <c r="S66" s="2" t="str">
        <f t="shared" si="3"/>
        <v>Hello Ken! Here is your progress in the *Summer Quest* so far.
👨🏼‍🤝‍👨🏽 *0* new friends
🖼️ *0* exhibitions
🕑 *0* hours of art experiences
Dive deeper into the Guilds and Journeys. Find your next experience bit.ly/3MfEXat
We’re excited to see your adventures unfold over the next 4 weeks! 🚀
Share your journey with pride and don't forget to tag @nimi_collective.</v>
      </c>
    </row>
    <row r="67" spans="1:20" ht="272.10000000000002">
      <c r="A67" t="str">
        <f>Users!A103</f>
        <v>Angelov.Konstantin@gmail.com</v>
      </c>
      <c r="B67" s="66" t="str">
        <f>Users!D103</f>
        <v>07772355538</v>
      </c>
      <c r="C67" s="23" t="str">
        <f>VLOOKUP(A67,Users!A:D,2,FALSE)</f>
        <v>Konstantin</v>
      </c>
      <c r="D67" s="23" t="str">
        <f>VLOOKUP(A67,Users!A:D,3,FALSE)</f>
        <v>Angelov</v>
      </c>
      <c r="E67" s="99">
        <f>COUNTIF(Visits!AJ:AJ,'Summer Challenge'!A175)</f>
        <v>0</v>
      </c>
      <c r="G67" cm="1">
        <f t="array" ref="G67">SUM(--(FREQUENCY(IF(Visits!E:E='Summer Challenge'!A67,Visits!AK:AK),Visits!AK:AK)&gt;0))</f>
        <v>1</v>
      </c>
      <c r="H67">
        <f>SUMIF(Visits!E:E,'Summer Challenge'!A67,Visits!AK:AK)</f>
        <v>1</v>
      </c>
      <c r="J67" s="106"/>
      <c r="K67" s="106">
        <f t="shared" si="1"/>
        <v>5</v>
      </c>
      <c r="L67" s="4">
        <f>SUMIF(Visits!E:E,'Summer Challenge'!A67,Visits!AL:AL)</f>
        <v>1</v>
      </c>
      <c r="M67" s="4">
        <f t="shared" si="2"/>
        <v>4</v>
      </c>
      <c r="N67" s="4"/>
      <c r="O67" t="s">
        <v>201</v>
      </c>
      <c r="P67" t="s">
        <v>202</v>
      </c>
      <c r="Q67" t="str">
        <f>IF(SUM('User Engagement'!G105:H105)&gt;=0,"YES", "NO")</f>
        <v>YES</v>
      </c>
      <c r="S67" s="2" t="str">
        <f t="shared" si="3"/>
        <v>Hello Konstantin! Here is your progress in the *Summer Quest* so far.
👨🏼‍🤝‍👨🏽 *5* new friends
🖼️ *1* exhibitions
🕑 *4* hours of art experiences
Dive deeper into the Guilds and Journeys. Find your next experience bit.ly/3MfEXat
We’re excited to see your adventures unfold over the next 4 weeks! 🚀
Share your journey with pride and don't forget to tag @nimi_collective.</v>
      </c>
      <c r="T67" t="s">
        <v>203</v>
      </c>
    </row>
    <row r="68" spans="1:20" ht="272.10000000000002">
      <c r="A68" t="str">
        <f>Users!A55</f>
        <v>hrational@gmail.com</v>
      </c>
      <c r="B68" s="66">
        <f>Users!D55</f>
        <v>0</v>
      </c>
      <c r="C68" s="23" t="str">
        <f>VLOOKUP(A68,Users!A:D,2,FALSE)</f>
        <v>Kostas</v>
      </c>
      <c r="D68" s="23" t="str">
        <f>VLOOKUP(A68,Users!A:D,3,FALSE)</f>
        <v>Palierakis</v>
      </c>
      <c r="E68" s="99">
        <f>COUNTIF(Visits!AJ:AJ,'Summer Challenge'!A176)</f>
        <v>0</v>
      </c>
      <c r="G68" cm="1">
        <f t="array" ref="G68">SUM(--(FREQUENCY(IF(Visits!E:E='Summer Challenge'!A68,Visits!AK:AK),Visits!AK:AK)&gt;0))</f>
        <v>1</v>
      </c>
      <c r="H68">
        <f>SUMIF(Visits!E:E,'Summer Challenge'!A68,Visits!AK:AK)</f>
        <v>0</v>
      </c>
      <c r="J68" s="106"/>
      <c r="K68" s="106">
        <f t="shared" si="1"/>
        <v>0</v>
      </c>
      <c r="L68" s="4">
        <f>SUMIF(Visits!E:E,'Summer Challenge'!A68,Visits!AL:AL)</f>
        <v>0</v>
      </c>
      <c r="M68" s="4">
        <f t="shared" si="2"/>
        <v>0</v>
      </c>
      <c r="N68" s="4"/>
      <c r="O68" t="s">
        <v>201</v>
      </c>
      <c r="P68" t="s">
        <v>202</v>
      </c>
      <c r="Q68" t="str">
        <f>IF(SUM('User Engagement'!G57:H57)&gt;=0,"YES", "NO")</f>
        <v>YES</v>
      </c>
      <c r="S68" s="2" t="str">
        <f t="shared" si="3"/>
        <v>Hello Kostas! Here is your progress in the *Summer Quest* so far.
👨🏼‍🤝‍👨🏽 *0* new friends
🖼️ *0* exhibitions
🕑 *0* hours of art experiences
Dive deeper into the Guilds and Journeys. Find your next experience bit.ly/3MfEXat
We’re excited to see your adventures unfold over the next 4 weeks! 🚀
Share your journey with pride and don't forget to tag @nimi_collective.</v>
      </c>
    </row>
    <row r="69" spans="1:20" ht="272.10000000000002">
      <c r="A69" t="str">
        <f>Users!A56</f>
        <v>laurabrown148@gmail.com</v>
      </c>
      <c r="B69" s="66" t="str">
        <f>Users!D56</f>
        <v>07807127381</v>
      </c>
      <c r="C69" s="23" t="str">
        <f>VLOOKUP(A69,Users!A:D,2,FALSE)</f>
        <v>Laura</v>
      </c>
      <c r="D69" s="23" t="str">
        <f>VLOOKUP(A69,Users!A:D,3,FALSE)</f>
        <v>Brown</v>
      </c>
      <c r="E69" s="99">
        <f>COUNTIF(Visits!AJ:AJ,'Summer Challenge'!A177)</f>
        <v>0</v>
      </c>
      <c r="G69" cm="1">
        <f t="array" ref="G69">SUM(--(FREQUENCY(IF(Visits!E:E='Summer Challenge'!A69,Visits!AK:AK),Visits!AK:AK)&gt;0))</f>
        <v>1</v>
      </c>
      <c r="H69">
        <f>SUMIF(Visits!E:E,'Summer Challenge'!A69,Visits!AK:AK)</f>
        <v>2</v>
      </c>
      <c r="J69" s="106"/>
      <c r="K69" s="106">
        <f t="shared" ref="K69:K132" si="4">L69*10/2</f>
        <v>10</v>
      </c>
      <c r="L69" s="4">
        <f>SUMIF(Visits!E:E,'Summer Challenge'!A69,Visits!AL:AL)</f>
        <v>2</v>
      </c>
      <c r="M69" s="4">
        <f t="shared" ref="M69:M132" si="5">L69*4</f>
        <v>8</v>
      </c>
      <c r="N69" s="4"/>
      <c r="O69" t="s">
        <v>202</v>
      </c>
      <c r="P69" t="s">
        <v>202</v>
      </c>
      <c r="Q69" t="str">
        <f>IF(SUM('User Engagement'!G58:H58)&gt;=0,"YES", "NO")</f>
        <v>YES</v>
      </c>
      <c r="S69" s="2" t="str">
        <f t="shared" si="3"/>
        <v>Hello Laura! Here is your progress in the *Summer Quest* so far.
👨🏼‍🤝‍👨🏽 *10* new friends
🖼️ *2* exhibitions
🕑 *8* hours of art experiences
Dive deeper into the Guilds and Journeys. Find your next experience bit.ly/3MfEXat
We’re excited to see your adventures unfold over the next 4 weeks! 🚀
Share your journey with pride and don't forget to tag @nimi_collective.</v>
      </c>
      <c r="T69" t="s">
        <v>203</v>
      </c>
    </row>
    <row r="70" spans="1:20" ht="51">
      <c r="A70" t="str">
        <f>Users!A57</f>
        <v>Laure.kroely@gmail.com</v>
      </c>
      <c r="B70" s="66" t="str">
        <f>Users!D57</f>
        <v>00447551038700</v>
      </c>
      <c r="C70" s="23" t="str">
        <f>VLOOKUP(A70,Users!A:D,2,FALSE)</f>
        <v>Laure</v>
      </c>
      <c r="D70" s="23" t="str">
        <f>VLOOKUP(A70,Users!A:D,3,FALSE)</f>
        <v>Kroely</v>
      </c>
      <c r="E70" s="99">
        <f>COUNTIF(Visits!AJ:AJ,'Summer Challenge'!A178)</f>
        <v>0</v>
      </c>
      <c r="G70" cm="1">
        <f t="array" ref="G70">SUM(--(FREQUENCY(IF(Visits!E:E='Summer Challenge'!A70,Visits!AK:AK),Visits!AK:AK)&gt;0))</f>
        <v>1</v>
      </c>
      <c r="H70">
        <f>SUMIF(Visits!E:E,'Summer Challenge'!A70,Visits!AK:AK)</f>
        <v>0</v>
      </c>
      <c r="J70" s="106"/>
      <c r="K70" s="106">
        <f t="shared" si="4"/>
        <v>0</v>
      </c>
      <c r="L70" s="4">
        <f>SUMIF(Visits!E:E,'Summer Challenge'!A70,Visits!AL:AL)</f>
        <v>0</v>
      </c>
      <c r="M70" s="4">
        <f t="shared" si="5"/>
        <v>0</v>
      </c>
      <c r="N70" s="4"/>
      <c r="O70" t="s">
        <v>202</v>
      </c>
      <c r="P70" t="s">
        <v>202</v>
      </c>
      <c r="Q70" t="str">
        <f>IF(SUM('User Engagement'!G59:H59)&gt;=0,"YES", "NO")</f>
        <v>YES</v>
      </c>
      <c r="S70" s="2" t="str">
        <f t="shared" ref="S70:S133" si="6">"👨🏼‍🤝‍👨🏽 "&amp;K70&amp;" new friends
🖼️ "&amp;L70&amp;" exhibitions
🕑 "&amp;M70&amp;" hours of art experiences"</f>
        <v>👨🏼‍🤝‍👨🏽 0 new friends
🖼️ 0 exhibitions
🕑 0 hours of art experiences</v>
      </c>
    </row>
    <row r="71" spans="1:20" ht="272.10000000000002">
      <c r="A71" t="str">
        <f>Users!A122</f>
        <v>visitor-leonie</v>
      </c>
      <c r="C71" s="23" t="str">
        <f>VLOOKUP(A71,Users!A:D,2,FALSE)</f>
        <v>Leonie</v>
      </c>
      <c r="D71" s="23">
        <f>VLOOKUP(A71,Users!A:D,3,FALSE)</f>
        <v>0</v>
      </c>
      <c r="E71" s="99">
        <f>COUNTIF(Visits!AJ:AJ,'Summer Challenge'!A179)</f>
        <v>0</v>
      </c>
      <c r="G71" cm="1">
        <f t="array" ref="G71">SUM(--(FREQUENCY(IF(Visits!E:E='Summer Challenge'!A71,Visits!AK:AK),Visits!AK:AK)&gt;0))</f>
        <v>1</v>
      </c>
      <c r="H71">
        <f>SUMIF(Visits!E:E,'Summer Challenge'!A71,Visits!AK:AK)</f>
        <v>1</v>
      </c>
      <c r="J71" s="106"/>
      <c r="K71" s="106">
        <f t="shared" si="4"/>
        <v>5</v>
      </c>
      <c r="L71" s="4">
        <f>SUMIF(Visits!E:E,'Summer Challenge'!A71,Visits!AL:AL)</f>
        <v>1</v>
      </c>
      <c r="M71" s="4">
        <f t="shared" si="5"/>
        <v>4</v>
      </c>
      <c r="N71" s="4"/>
      <c r="O71" t="s">
        <v>201</v>
      </c>
      <c r="P71" t="s">
        <v>202</v>
      </c>
      <c r="Q71" t="str">
        <f>IF(SUM('User Engagement'!G124:H124)&gt;=0,"YES", "NO")</f>
        <v>YES</v>
      </c>
      <c r="S71" s="2" t="str">
        <f t="shared" ref="S71:S72" si="7">"Hello "&amp;C71&amp;"! Here is your progress in the *Summer Quest* so far.
👨🏼‍🤝‍👨🏽 *"&amp;K71&amp;"* new friends
🖼️ *"&amp;L71&amp;"* exhibitions
🕑 *"&amp;M71&amp;"* hours of art experiences
Dive deeper into the Guilds and Journeys. Find your next experience bit.ly/3MfEXat
We’re excited to see your adventures unfold over the next 4 weeks! 🚀
Share your journey with pride and don't forget to tag @nimi_collective."</f>
        <v>Hello Leonie! Here is your progress in the *Summer Quest* so far.
👨🏼‍🤝‍👨🏽 *5* new friends
🖼️ *1* exhibitions
🕑 *4* hours of art experiences
Dive deeper into the Guilds and Journeys. Find your next experience bit.ly/3MfEXat
We’re excited to see your adventures unfold over the next 4 weeks! 🚀
Share your journey with pride and don't forget to tag @nimi_collective.</v>
      </c>
    </row>
    <row r="72" spans="1:20" ht="272.10000000000002">
      <c r="A72" t="str">
        <f>Users!A105</f>
        <v>liane.pereira123@gmail.com</v>
      </c>
      <c r="C72" s="23" t="str">
        <f>VLOOKUP(A72,Users!A:D,2,FALSE)</f>
        <v>Liane</v>
      </c>
      <c r="D72" s="23" t="str">
        <f>VLOOKUP(A72,Users!A:D,3,FALSE)</f>
        <v xml:space="preserve"> Pereira</v>
      </c>
      <c r="E72" s="99">
        <f>COUNTIF(Visits!AJ:AJ,'Summer Challenge'!A180)</f>
        <v>0</v>
      </c>
      <c r="G72" cm="1">
        <f t="array" ref="G72">SUM(--(FREQUENCY(IF(Visits!E:E='Summer Challenge'!A72,Visits!AK:AK),Visits!AK:AK)&gt;0))</f>
        <v>1</v>
      </c>
      <c r="H72">
        <f>SUMIF(Visits!E:E,'Summer Challenge'!A72,Visits!AK:AK)</f>
        <v>1</v>
      </c>
      <c r="J72" s="106"/>
      <c r="K72" s="106">
        <f t="shared" si="4"/>
        <v>5</v>
      </c>
      <c r="L72" s="4">
        <f>SUMIF(Visits!E:E,'Summer Challenge'!A72,Visits!AL:AL)</f>
        <v>1</v>
      </c>
      <c r="M72" s="4">
        <f t="shared" si="5"/>
        <v>4</v>
      </c>
      <c r="N72" s="4"/>
      <c r="O72" t="s">
        <v>201</v>
      </c>
      <c r="P72" t="s">
        <v>202</v>
      </c>
      <c r="Q72" t="str">
        <f>IF(SUM('User Engagement'!G107:H107)&gt;=0,"YES", "NO")</f>
        <v>YES</v>
      </c>
      <c r="S72" s="2" t="str">
        <f t="shared" si="7"/>
        <v>Hello Liane! Here is your progress in the *Summer Quest* so far.
👨🏼‍🤝‍👨🏽 *5* new friends
🖼️ *1* exhibitions
🕑 *4* hours of art experiences
Dive deeper into the Guilds and Journeys. Find your next experience bit.ly/3MfEXat
We’re excited to see your adventures unfold over the next 4 weeks! 🚀
Share your journey with pride and don't forget to tag @nimi_collective.</v>
      </c>
    </row>
    <row r="73" spans="1:20" ht="51">
      <c r="A73" t="str">
        <f>Users!A58</f>
        <v>louise.ly.chow@gmail.com</v>
      </c>
      <c r="B73" s="66" t="str">
        <f>Users!D58</f>
        <v>07775438868</v>
      </c>
      <c r="C73" s="23" t="str">
        <f>VLOOKUP(A73,Users!A:D,2,FALSE)</f>
        <v>Louise</v>
      </c>
      <c r="D73" s="23" t="str">
        <f>VLOOKUP(A73,Users!A:D,3,FALSE)</f>
        <v>Chow</v>
      </c>
      <c r="E73" s="99">
        <f>COUNTIF(Visits!AJ:AJ,'Summer Challenge'!A181)</f>
        <v>0</v>
      </c>
      <c r="G73" cm="1">
        <f t="array" ref="G73">SUM(--(FREQUENCY(IF(Visits!E:E='Summer Challenge'!A73,Visits!AK:AK),Visits!AK:AK)&gt;0))</f>
        <v>1</v>
      </c>
      <c r="H73">
        <f>SUMIF(Visits!E:E,'Summer Challenge'!A73,Visits!AK:AK)</f>
        <v>0</v>
      </c>
      <c r="J73" s="106"/>
      <c r="K73" s="106">
        <f t="shared" si="4"/>
        <v>0</v>
      </c>
      <c r="L73" s="4">
        <f>SUMIF(Visits!E:E,'Summer Challenge'!A73,Visits!AL:AL)</f>
        <v>0</v>
      </c>
      <c r="M73" s="4">
        <f t="shared" si="5"/>
        <v>0</v>
      </c>
      <c r="N73" s="4"/>
      <c r="O73" t="s">
        <v>201</v>
      </c>
      <c r="P73" t="s">
        <v>202</v>
      </c>
      <c r="Q73" t="str">
        <f>IF(SUM('User Engagement'!G60:H60)&gt;=0,"YES", "NO")</f>
        <v>YES</v>
      </c>
      <c r="S73" s="2" t="str">
        <f t="shared" si="6"/>
        <v>👨🏼‍🤝‍👨🏽 0 new friends
🖼️ 0 exhibitions
🕑 0 hours of art experiences</v>
      </c>
    </row>
    <row r="74" spans="1:20" ht="272.10000000000002">
      <c r="A74" t="str">
        <f>Users!A59</f>
        <v>lucyzhou2@hotmail.com</v>
      </c>
      <c r="B74" s="66" t="str">
        <f>Users!D59</f>
        <v>07999724306</v>
      </c>
      <c r="C74" s="23" t="str">
        <f>VLOOKUP(A74,Users!A:D,2,FALSE)</f>
        <v>Lucy</v>
      </c>
      <c r="D74" s="23" t="str">
        <f>VLOOKUP(A74,Users!A:D,3,FALSE)</f>
        <v>Zhou</v>
      </c>
      <c r="E74" s="99">
        <f>COUNTIF(Visits!AJ:AJ,'Summer Challenge'!A182)</f>
        <v>0</v>
      </c>
      <c r="G74" cm="1">
        <f t="array" ref="G74">SUM(--(FREQUENCY(IF(Visits!E:E='Summer Challenge'!A74,Visits!AK:AK),Visits!AK:AK)&gt;0))</f>
        <v>1</v>
      </c>
      <c r="H74">
        <f>SUMIF(Visits!E:E,'Summer Challenge'!A74,Visits!AK:AK)</f>
        <v>1</v>
      </c>
      <c r="J74" s="106"/>
      <c r="K74" s="106">
        <f t="shared" si="4"/>
        <v>5</v>
      </c>
      <c r="L74" s="4">
        <f>SUMIF(Visits!E:E,'Summer Challenge'!A74,Visits!AL:AL)</f>
        <v>1</v>
      </c>
      <c r="M74" s="4">
        <f t="shared" si="5"/>
        <v>4</v>
      </c>
      <c r="N74" s="4"/>
      <c r="O74" t="s">
        <v>202</v>
      </c>
      <c r="P74" t="s">
        <v>202</v>
      </c>
      <c r="Q74" t="str">
        <f>IF(SUM('User Engagement'!G61:H61)&gt;=0,"YES", "NO")</f>
        <v>YES</v>
      </c>
      <c r="S74" s="2" t="str">
        <f>"Hello "&amp;C74&amp;"! Here is your progress in the *Summer Quest* so far.
👨🏼‍🤝‍👨🏽 *"&amp;K74&amp;"* new friends
🖼️ *"&amp;L74&amp;"* exhibitions
🕑 *"&amp;M74&amp;"* hours of art experiences
Dive deeper into the Guilds and Journeys. Find your next experience bit.ly/3MfEXat
We’re excited to see your adventures unfold over the next 4 weeks! 🚀
Share your journey with pride and don't forget to tag @nimi_collective."</f>
        <v>Hello Lucy! Here is your progress in the *Summer Quest* so far.
👨🏼‍🤝‍👨🏽 *5* new friends
🖼️ *1* exhibitions
🕑 *4* hours of art experiences
Dive deeper into the Guilds and Journeys. Find your next experience bit.ly/3MfEXat
We’re excited to see your adventures unfold over the next 4 weeks! 🚀
Share your journey with pride and don't forget to tag @nimi_collective.</v>
      </c>
      <c r="T74" t="s">
        <v>203</v>
      </c>
    </row>
    <row r="75" spans="1:20" ht="51">
      <c r="A75" t="str">
        <f>Users!A60</f>
        <v>mm.manolova@yahoo.com</v>
      </c>
      <c r="B75" s="66" t="str">
        <f>Users!D60</f>
        <v>+44 7518 906811</v>
      </c>
      <c r="C75" s="23" t="str">
        <f>VLOOKUP(A75,Users!A:D,2,FALSE)</f>
        <v>Maggie</v>
      </c>
      <c r="D75" s="23" t="str">
        <f>VLOOKUP(A75,Users!A:D,3,FALSE)</f>
        <v>Manolova</v>
      </c>
      <c r="E75" s="99">
        <f>COUNTIF(Visits!AJ:AJ,'Summer Challenge'!A183)</f>
        <v>0</v>
      </c>
      <c r="G75" cm="1">
        <f t="array" ref="G75">SUM(--(FREQUENCY(IF(Visits!E:E='Summer Challenge'!A75,Visits!AK:AK),Visits!AK:AK)&gt;0))</f>
        <v>1</v>
      </c>
      <c r="H75">
        <f>SUMIF(Visits!E:E,'Summer Challenge'!A75,Visits!AK:AK)</f>
        <v>0</v>
      </c>
      <c r="J75" s="106"/>
      <c r="K75" s="106">
        <f t="shared" si="4"/>
        <v>0</v>
      </c>
      <c r="L75" s="4">
        <f>SUMIF(Visits!E:E,'Summer Challenge'!A75,Visits!AL:AL)</f>
        <v>0</v>
      </c>
      <c r="M75" s="4">
        <f t="shared" si="5"/>
        <v>0</v>
      </c>
      <c r="N75" s="4"/>
      <c r="O75" t="s">
        <v>202</v>
      </c>
      <c r="P75" t="s">
        <v>202</v>
      </c>
      <c r="Q75" t="str">
        <f>IF(SUM('User Engagement'!G62:H62)&gt;=0,"YES", "NO")</f>
        <v>YES</v>
      </c>
      <c r="S75" s="2" t="str">
        <f t="shared" si="6"/>
        <v>👨🏼‍🤝‍👨🏽 0 new friends
🖼️ 0 exhibitions
🕑 0 hours of art experiences</v>
      </c>
    </row>
    <row r="76" spans="1:20" ht="51">
      <c r="A76" t="str">
        <f>Users!A61</f>
        <v>lonmys@outlook.com</v>
      </c>
      <c r="B76" s="66">
        <f>Users!D61</f>
        <v>0</v>
      </c>
      <c r="C76" s="23" t="str">
        <f>VLOOKUP(A76,Users!A:D,2,FALSE)</f>
        <v>Malti</v>
      </c>
      <c r="D76" s="23" t="str">
        <f>VLOOKUP(A76,Users!A:D,3,FALSE)</f>
        <v>.</v>
      </c>
      <c r="E76" s="99">
        <f>COUNTIF(Visits!AJ:AJ,'Summer Challenge'!A184)</f>
        <v>0</v>
      </c>
      <c r="G76" cm="1">
        <f t="array" ref="G76">SUM(--(FREQUENCY(IF(Visits!E:E='Summer Challenge'!A76,Visits!AK:AK),Visits!AK:AK)&gt;0))</f>
        <v>1</v>
      </c>
      <c r="H76">
        <f>SUMIF(Visits!E:E,'Summer Challenge'!A76,Visits!AK:AK)</f>
        <v>0</v>
      </c>
      <c r="J76" s="106"/>
      <c r="K76" s="106">
        <f t="shared" si="4"/>
        <v>0</v>
      </c>
      <c r="L76" s="4">
        <f>SUMIF(Visits!E:E,'Summer Challenge'!A76,Visits!AL:AL)</f>
        <v>0</v>
      </c>
      <c r="M76" s="4">
        <f t="shared" si="5"/>
        <v>0</v>
      </c>
      <c r="N76" s="4"/>
      <c r="O76" t="s">
        <v>202</v>
      </c>
      <c r="P76" t="s">
        <v>202</v>
      </c>
      <c r="Q76" t="str">
        <f>IF(SUM('User Engagement'!G63:H63)&gt;=0,"YES", "NO")</f>
        <v>YES</v>
      </c>
      <c r="S76" s="2" t="str">
        <f t="shared" si="6"/>
        <v>👨🏼‍🤝‍👨🏽 0 new friends
🖼️ 0 exhibitions
🕑 0 hours of art experiences</v>
      </c>
    </row>
    <row r="77" spans="1:20" ht="272.10000000000002">
      <c r="A77" t="str">
        <f>Users!A123</f>
        <v>mcdavze@gmail.com</v>
      </c>
      <c r="C77" s="23" t="str">
        <f>VLOOKUP(A77,Users!A:D,2,FALSE)</f>
        <v>Maria</v>
      </c>
      <c r="D77" s="23" t="str">
        <f>VLOOKUP(A77,Users!A:D,3,FALSE)</f>
        <v>Davila</v>
      </c>
      <c r="E77" s="99">
        <f>COUNTIF(Visits!AJ:AJ,'Summer Challenge'!A185)</f>
        <v>0</v>
      </c>
      <c r="G77" cm="1">
        <f t="array" ref="G77">SUM(--(FREQUENCY(IF(Visits!E:E='Summer Challenge'!A77,Visits!AK:AK),Visits!AK:AK)&gt;0))</f>
        <v>1</v>
      </c>
      <c r="H77">
        <f>SUMIF(Visits!E:E,'Summer Challenge'!A77,Visits!AK:AK)</f>
        <v>2</v>
      </c>
      <c r="J77" s="106"/>
      <c r="K77" s="106">
        <f t="shared" si="4"/>
        <v>10</v>
      </c>
      <c r="L77" s="4">
        <f>SUMIF(Visits!E:E,'Summer Challenge'!A77,Visits!AL:AL)</f>
        <v>2</v>
      </c>
      <c r="M77" s="4">
        <f t="shared" si="5"/>
        <v>8</v>
      </c>
      <c r="N77" s="4"/>
      <c r="O77" t="s">
        <v>201</v>
      </c>
      <c r="P77" t="s">
        <v>202</v>
      </c>
      <c r="Q77" t="str">
        <f>IF(SUM('User Engagement'!G125:H125)&gt;=0,"YES", "NO")</f>
        <v>YES</v>
      </c>
      <c r="S77" s="2" t="str">
        <f t="shared" ref="S77:S78" si="8">"Hello "&amp;C77&amp;"! Here is your progress in the *Summer Quest* so far.
👨🏼‍🤝‍👨🏽 *"&amp;K77&amp;"* new friends
🖼️ *"&amp;L77&amp;"* exhibitions
🕑 *"&amp;M77&amp;"* hours of art experiences
Dive deeper into the Guilds and Journeys. Find your next experience bit.ly/3MfEXat
We’re excited to see your adventures unfold over the next 4 weeks! 🚀
Share your journey with pride and don't forget to tag @nimi_collective."</f>
        <v>Hello Maria! Here is your progress in the *Summer Quest* so far.
👨🏼‍🤝‍👨🏽 *10* new friends
🖼️ *2* exhibitions
🕑 *8* hours of art experiences
Dive deeper into the Guilds and Journeys. Find your next experience bit.ly/3MfEXat
We’re excited to see your adventures unfold over the next 4 weeks! 🚀
Share your journey with pride and don't forget to tag @nimi_collective.</v>
      </c>
      <c r="T77" t="s">
        <v>203</v>
      </c>
    </row>
    <row r="78" spans="1:20" ht="272.10000000000002">
      <c r="A78" t="str">
        <f>Users!A62</f>
        <v>matthew.hoza@gmail.com</v>
      </c>
      <c r="B78" s="66" t="str">
        <f>Users!D62</f>
        <v>+447300421968</v>
      </c>
      <c r="C78" s="23" t="str">
        <f>VLOOKUP(A78,Users!A:D,2,FALSE)</f>
        <v>Matt</v>
      </c>
      <c r="D78" s="23" t="str">
        <f>VLOOKUP(A78,Users!A:D,3,FALSE)</f>
        <v>Hoza</v>
      </c>
      <c r="E78" s="99">
        <f>COUNTIF(Visits!AJ:AJ,'Summer Challenge'!A186)</f>
        <v>0</v>
      </c>
      <c r="G78" cm="1">
        <f t="array" ref="G78">SUM(--(FREQUENCY(IF(Visits!E:E='Summer Challenge'!A78,Visits!AK:AK),Visits!AK:AK)&gt;0))</f>
        <v>1</v>
      </c>
      <c r="H78">
        <f>SUMIF(Visits!E:E,'Summer Challenge'!A78,Visits!AK:AK)</f>
        <v>1</v>
      </c>
      <c r="J78" s="106"/>
      <c r="K78" s="106">
        <f t="shared" si="4"/>
        <v>5</v>
      </c>
      <c r="L78" s="4">
        <f>SUMIF(Visits!E:E,'Summer Challenge'!A78,Visits!AL:AL)</f>
        <v>1</v>
      </c>
      <c r="M78" s="4">
        <f t="shared" si="5"/>
        <v>4</v>
      </c>
      <c r="N78" s="4"/>
      <c r="O78" t="s">
        <v>202</v>
      </c>
      <c r="P78" t="s">
        <v>202</v>
      </c>
      <c r="Q78" t="str">
        <f>IF(SUM('User Engagement'!G64:H64)&gt;=0,"YES", "NO")</f>
        <v>YES</v>
      </c>
      <c r="S78" s="2" t="str">
        <f t="shared" si="8"/>
        <v>Hello Matt! Here is your progress in the *Summer Quest* so far.
👨🏼‍🤝‍👨🏽 *5* new friends
🖼️ *1* exhibitions
🕑 *4* hours of art experiences
Dive deeper into the Guilds and Journeys. Find your next experience bit.ly/3MfEXat
We’re excited to see your adventures unfold over the next 4 weeks! 🚀
Share your journey with pride and don't forget to tag @nimi_collective.</v>
      </c>
      <c r="T78" t="s">
        <v>203</v>
      </c>
    </row>
    <row r="79" spans="1:20" ht="51">
      <c r="A79" t="str">
        <f>Users!A63</f>
        <v>maestromattheww@yahoo.co.uk</v>
      </c>
      <c r="B79" s="66" t="str">
        <f>Users!D63</f>
        <v>07817234925</v>
      </c>
      <c r="C79" s="23" t="str">
        <f>VLOOKUP(A79,Users!A:D,2,FALSE)</f>
        <v>Matthew</v>
      </c>
      <c r="D79" s="23" t="str">
        <f>VLOOKUP(A79,Users!A:D,3,FALSE)</f>
        <v>Watts</v>
      </c>
      <c r="E79" s="99">
        <f>COUNTIF(Visits!AJ:AJ,'Summer Challenge'!A187)</f>
        <v>0</v>
      </c>
      <c r="G79" cm="1">
        <f t="array" ref="G79">SUM(--(FREQUENCY(IF(Visits!E:E='Summer Challenge'!A79,Visits!AK:AK),Visits!AK:AK)&gt;0))</f>
        <v>1</v>
      </c>
      <c r="H79">
        <f>SUMIF(Visits!E:E,'Summer Challenge'!A79,Visits!AK:AK)</f>
        <v>0</v>
      </c>
      <c r="J79" s="106"/>
      <c r="K79" s="106">
        <f t="shared" si="4"/>
        <v>0</v>
      </c>
      <c r="L79" s="4">
        <f>SUMIF(Visits!E:E,'Summer Challenge'!A79,Visits!AL:AL)</f>
        <v>0</v>
      </c>
      <c r="M79" s="4">
        <f t="shared" si="5"/>
        <v>0</v>
      </c>
      <c r="N79" s="4"/>
      <c r="O79" t="s">
        <v>202</v>
      </c>
      <c r="P79" t="s">
        <v>202</v>
      </c>
      <c r="Q79" t="str">
        <f>IF(SUM('User Engagement'!G65:H65)&gt;=0,"YES", "NO")</f>
        <v>YES</v>
      </c>
      <c r="S79" s="2" t="str">
        <f t="shared" si="6"/>
        <v>👨🏼‍🤝‍👨🏽 0 new friends
🖼️ 0 exhibitions
🕑 0 hours of art experiences</v>
      </c>
    </row>
    <row r="80" spans="1:20" ht="51">
      <c r="A80" t="str">
        <f>Users!A64</f>
        <v>lanidoms@gmail.com</v>
      </c>
      <c r="B80" s="66">
        <f>Users!D64</f>
        <v>7503778383</v>
      </c>
      <c r="C80" s="23" t="str">
        <f>VLOOKUP(A80,Users!A:D,2,FALSE)</f>
        <v>Mercelani</v>
      </c>
      <c r="D80" s="23" t="str">
        <f>VLOOKUP(A80,Users!A:D,3,FALSE)</f>
        <v>Dumayday</v>
      </c>
      <c r="E80" s="99">
        <f>COUNTIF(Visits!AJ:AJ,'Summer Challenge'!A188)</f>
        <v>0</v>
      </c>
      <c r="G80" cm="1">
        <f t="array" ref="G80">SUM(--(FREQUENCY(IF(Visits!E:E='Summer Challenge'!A80,Visits!AK:AK),Visits!AK:AK)&gt;0))</f>
        <v>1</v>
      </c>
      <c r="H80">
        <f>SUMIF(Visits!E:E,'Summer Challenge'!A80,Visits!AK:AK)</f>
        <v>0</v>
      </c>
      <c r="J80" s="106"/>
      <c r="K80" s="106">
        <f t="shared" si="4"/>
        <v>0</v>
      </c>
      <c r="L80" s="4">
        <f>SUMIF(Visits!E:E,'Summer Challenge'!A80,Visits!AL:AL)</f>
        <v>0</v>
      </c>
      <c r="M80" s="4">
        <f t="shared" si="5"/>
        <v>0</v>
      </c>
      <c r="N80" s="4"/>
      <c r="O80" t="s">
        <v>202</v>
      </c>
      <c r="P80" t="s">
        <v>202</v>
      </c>
      <c r="Q80" t="str">
        <f>IF(SUM('User Engagement'!G66:H66)&gt;=0,"YES", "NO")</f>
        <v>YES</v>
      </c>
      <c r="S80" s="2" t="str">
        <f t="shared" si="6"/>
        <v>👨🏼‍🤝‍👨🏽 0 new friends
🖼️ 0 exhibitions
🕑 0 hours of art experiences</v>
      </c>
    </row>
    <row r="81" spans="1:20" ht="51">
      <c r="A81" t="str">
        <f>Users!A65</f>
        <v>monique.blemur@gmail.com</v>
      </c>
      <c r="B81" s="66">
        <f>Users!D65</f>
        <v>0</v>
      </c>
      <c r="C81" s="23" t="str">
        <f>VLOOKUP(A81,Users!A:D,2,FALSE)</f>
        <v>Monique</v>
      </c>
      <c r="D81" s="23" t="str">
        <f>VLOOKUP(A81,Users!A:D,3,FALSE)</f>
        <v>Blemur</v>
      </c>
      <c r="E81" s="99">
        <f>COUNTIF(Visits!AJ:AJ,'Summer Challenge'!A189)</f>
        <v>0</v>
      </c>
      <c r="G81" cm="1">
        <f t="array" ref="G81">SUM(--(FREQUENCY(IF(Visits!E:E='Summer Challenge'!A81,Visits!AK:AK),Visits!AK:AK)&gt;0))</f>
        <v>1</v>
      </c>
      <c r="H81">
        <f>SUMIF(Visits!E:E,'Summer Challenge'!A81,Visits!AK:AK)</f>
        <v>0</v>
      </c>
      <c r="J81" s="106"/>
      <c r="K81" s="106">
        <f t="shared" si="4"/>
        <v>0</v>
      </c>
      <c r="L81" s="4">
        <f>SUMIF(Visits!E:E,'Summer Challenge'!A81,Visits!AL:AL)</f>
        <v>0</v>
      </c>
      <c r="M81" s="4">
        <f t="shared" si="5"/>
        <v>0</v>
      </c>
      <c r="N81" s="4"/>
      <c r="O81" t="s">
        <v>202</v>
      </c>
      <c r="P81" t="s">
        <v>202</v>
      </c>
      <c r="Q81" t="str">
        <f>IF(SUM('User Engagement'!G67:H67)&gt;=0,"YES", "NO")</f>
        <v>YES</v>
      </c>
      <c r="S81" s="2" t="str">
        <f t="shared" si="6"/>
        <v>👨🏼‍🤝‍👨🏽 0 new friends
🖼️ 0 exhibitions
🕑 0 hours of art experiences</v>
      </c>
    </row>
    <row r="82" spans="1:20" ht="51">
      <c r="A82" t="str">
        <f>Users!A66</f>
        <v>thefengshuistory@gmail.com</v>
      </c>
      <c r="B82" s="66" t="str">
        <f>Users!D66</f>
        <v>07867156558</v>
      </c>
      <c r="C82" s="23" t="str">
        <f>VLOOKUP(A82,Users!A:D,2,FALSE)</f>
        <v>Mouna</v>
      </c>
      <c r="D82" s="23" t="str">
        <f>VLOOKUP(A82,Users!A:D,3,FALSE)</f>
        <v>Iraqi</v>
      </c>
      <c r="E82" s="99">
        <f>COUNTIF(Visits!AJ:AJ,'Summer Challenge'!A190)</f>
        <v>0</v>
      </c>
      <c r="G82" cm="1">
        <f t="array" ref="G82">SUM(--(FREQUENCY(IF(Visits!E:E='Summer Challenge'!A82,Visits!AK:AK),Visits!AK:AK)&gt;0))</f>
        <v>1</v>
      </c>
      <c r="H82">
        <f>SUMIF(Visits!E:E,'Summer Challenge'!A82,Visits!AK:AK)</f>
        <v>0</v>
      </c>
      <c r="J82" s="106"/>
      <c r="K82" s="106">
        <f t="shared" si="4"/>
        <v>0</v>
      </c>
      <c r="L82" s="4">
        <f>SUMIF(Visits!E:E,'Summer Challenge'!A82,Visits!AL:AL)</f>
        <v>0</v>
      </c>
      <c r="M82" s="4">
        <f t="shared" si="5"/>
        <v>0</v>
      </c>
      <c r="N82" s="4"/>
      <c r="O82" t="s">
        <v>201</v>
      </c>
      <c r="P82" t="s">
        <v>202</v>
      </c>
      <c r="Q82" t="str">
        <f>IF(SUM('User Engagement'!G68:H68)&gt;=0,"YES", "NO")</f>
        <v>YES</v>
      </c>
      <c r="S82" s="2" t="str">
        <f t="shared" si="6"/>
        <v>👨🏼‍🤝‍👨🏽 0 new friends
🖼️ 0 exhibitions
🕑 0 hours of art experiences</v>
      </c>
    </row>
    <row r="83" spans="1:20" ht="51">
      <c r="A83" t="str">
        <f>Users!A67</f>
        <v>Nataliokolie@gmail.com</v>
      </c>
      <c r="B83" s="66" t="str">
        <f>Users!D67</f>
        <v xml:space="preserve">07488410909 </v>
      </c>
      <c r="C83" s="23" t="str">
        <f>VLOOKUP(A83,Users!A:D,2,FALSE)</f>
        <v>Natali</v>
      </c>
      <c r="D83" s="23" t="str">
        <f>VLOOKUP(A83,Users!A:D,3,FALSE)</f>
        <v xml:space="preserve">Okolie </v>
      </c>
      <c r="E83" s="99">
        <f>COUNTIF(Visits!AJ:AJ,'Summer Challenge'!A191)</f>
        <v>0</v>
      </c>
      <c r="G83" cm="1">
        <f t="array" ref="G83">SUM(--(FREQUENCY(IF(Visits!E:E='Summer Challenge'!A83,Visits!AK:AK),Visits!AK:AK)&gt;0))</f>
        <v>1</v>
      </c>
      <c r="H83">
        <f>SUMIF(Visits!E:E,'Summer Challenge'!A83,Visits!AK:AK)</f>
        <v>0</v>
      </c>
      <c r="J83" s="106"/>
      <c r="K83" s="106">
        <f t="shared" si="4"/>
        <v>0</v>
      </c>
      <c r="L83" s="4">
        <f>SUMIF(Visits!E:E,'Summer Challenge'!A83,Visits!AL:AL)</f>
        <v>0</v>
      </c>
      <c r="M83" s="4">
        <f t="shared" si="5"/>
        <v>0</v>
      </c>
      <c r="N83" s="4"/>
      <c r="O83" t="s">
        <v>202</v>
      </c>
      <c r="P83" t="s">
        <v>202</v>
      </c>
      <c r="Q83" t="str">
        <f>IF(SUM('User Engagement'!G69:H69)&gt;=0,"YES", "NO")</f>
        <v>YES</v>
      </c>
      <c r="S83" s="2" t="str">
        <f t="shared" si="6"/>
        <v>👨🏼‍🤝‍👨🏽 0 new friends
🖼️ 0 exhibitions
🕑 0 hours of art experiences</v>
      </c>
    </row>
    <row r="84" spans="1:20" ht="51">
      <c r="A84" t="str">
        <f>Users!A68</f>
        <v>natashapavlovskaya23@gmail.com</v>
      </c>
      <c r="B84" s="66" t="str">
        <f>Users!D68</f>
        <v>07931561897</v>
      </c>
      <c r="C84" s="23" t="str">
        <f>VLOOKUP(A84,Users!A:D,2,FALSE)</f>
        <v>Natasha</v>
      </c>
      <c r="D84" s="23" t="str">
        <f>VLOOKUP(A84,Users!A:D,3,FALSE)</f>
        <v>Pavlovskaya</v>
      </c>
      <c r="E84" s="99">
        <f>COUNTIF(Visits!AJ:AJ,'Summer Challenge'!A192)</f>
        <v>0</v>
      </c>
      <c r="G84" cm="1">
        <f t="array" ref="G84">SUM(--(FREQUENCY(IF(Visits!E:E='Summer Challenge'!A84,Visits!AK:AK),Visits!AK:AK)&gt;0))</f>
        <v>1</v>
      </c>
      <c r="H84">
        <f>SUMIF(Visits!E:E,'Summer Challenge'!A84,Visits!AK:AK)</f>
        <v>0</v>
      </c>
      <c r="J84" s="106"/>
      <c r="K84" s="106">
        <f t="shared" si="4"/>
        <v>0</v>
      </c>
      <c r="L84" s="4">
        <f>SUMIF(Visits!E:E,'Summer Challenge'!A84,Visits!AL:AL)</f>
        <v>0</v>
      </c>
      <c r="M84" s="4">
        <f t="shared" si="5"/>
        <v>0</v>
      </c>
      <c r="N84" s="4"/>
      <c r="O84" t="s">
        <v>201</v>
      </c>
      <c r="P84" t="s">
        <v>202</v>
      </c>
      <c r="Q84" t="str">
        <f>IF(SUM('User Engagement'!G70:H70)&gt;=0,"YES", "NO")</f>
        <v>YES</v>
      </c>
      <c r="S84" s="2" t="str">
        <f t="shared" si="6"/>
        <v>👨🏼‍🤝‍👨🏽 0 new friends
🖼️ 0 exhibitions
🕑 0 hours of art experiences</v>
      </c>
    </row>
    <row r="85" spans="1:20" ht="272.10000000000002">
      <c r="A85" t="str">
        <f>Users!A124</f>
        <v>cuberoaraya@gmail.com</v>
      </c>
      <c r="C85" s="23" t="str">
        <f>VLOOKUP(A85,Users!A:D,2,FALSE)</f>
        <v>Nathalie</v>
      </c>
      <c r="D85" s="23" t="str">
        <f>VLOOKUP(A85,Users!A:D,3,FALSE)</f>
        <v>Cubero</v>
      </c>
      <c r="E85" s="99">
        <f>COUNTIF(Visits!AJ:AJ,'Summer Challenge'!A193)</f>
        <v>0</v>
      </c>
      <c r="G85" cm="1">
        <f t="array" ref="G85">SUM(--(FREQUENCY(IF(Visits!E:E='Summer Challenge'!A85,Visits!AK:AK),Visits!AK:AK)&gt;0))</f>
        <v>1</v>
      </c>
      <c r="H85">
        <f>SUMIF(Visits!E:E,'Summer Challenge'!A85,Visits!AK:AK)</f>
        <v>1</v>
      </c>
      <c r="J85" s="106"/>
      <c r="K85" s="106">
        <f t="shared" si="4"/>
        <v>5</v>
      </c>
      <c r="L85" s="4">
        <f>SUMIF(Visits!E:E,'Summer Challenge'!A85,Visits!AL:AL)</f>
        <v>1</v>
      </c>
      <c r="M85" s="4">
        <f t="shared" si="5"/>
        <v>4</v>
      </c>
      <c r="N85" s="4"/>
      <c r="O85" t="s">
        <v>201</v>
      </c>
      <c r="P85" t="s">
        <v>202</v>
      </c>
      <c r="Q85" t="str">
        <f>IF(SUM('User Engagement'!G127:H127)&gt;=0,"YES", "NO")</f>
        <v>YES</v>
      </c>
      <c r="S85" s="2" t="str">
        <f>"Hello "&amp;C85&amp;"! Here is your progress in the *Summer Quest* so far.
👨🏼‍🤝‍👨🏽 *"&amp;K85&amp;"* new friends
🖼️ *"&amp;L85&amp;"* exhibitions
🕑 *"&amp;M85&amp;"* hours of art experiences
Dive deeper into the Guilds and Journeys. Find your next experience bit.ly/3MfEXat
We’re excited to see your adventures unfold over the next 4 weeks! 🚀
Share your journey with pride and don't forget to tag @nimi_collective."</f>
        <v>Hello Nathalie! Here is your progress in the *Summer Quest* so far.
👨🏼‍🤝‍👨🏽 *5* new friends
🖼️ *1* exhibitions
🕑 *4* hours of art experiences
Dive deeper into the Guilds and Journeys. Find your next experience bit.ly/3MfEXat
We’re excited to see your adventures unfold over the next 4 weeks! 🚀
Share your journey with pride and don't forget to tag @nimi_collective.</v>
      </c>
      <c r="T85" t="s">
        <v>203</v>
      </c>
    </row>
    <row r="86" spans="1:20" ht="51">
      <c r="A86" t="str">
        <f>Users!A69</f>
        <v>ngg971@gmail.com</v>
      </c>
      <c r="B86" s="66">
        <f>Users!D69</f>
        <v>0</v>
      </c>
      <c r="C86" s="23" t="str">
        <f>VLOOKUP(A86,Users!A:D,2,FALSE)</f>
        <v>Nathanael</v>
      </c>
      <c r="D86" s="23" t="str">
        <f>VLOOKUP(A86,Users!A:D,3,FALSE)</f>
        <v>Geman</v>
      </c>
      <c r="E86" s="99">
        <f>COUNTIF(Visits!AJ:AJ,'Summer Challenge'!A194)</f>
        <v>0</v>
      </c>
      <c r="G86" cm="1">
        <f t="array" ref="G86">SUM(--(FREQUENCY(IF(Visits!E:E='Summer Challenge'!A86,Visits!AK:AK),Visits!AK:AK)&gt;0))</f>
        <v>1</v>
      </c>
      <c r="H86">
        <f>SUMIF(Visits!E:E,'Summer Challenge'!A86,Visits!AK:AK)</f>
        <v>0</v>
      </c>
      <c r="J86" s="106"/>
      <c r="K86" s="106">
        <f t="shared" si="4"/>
        <v>0</v>
      </c>
      <c r="L86" s="4">
        <f>SUMIF(Visits!E:E,'Summer Challenge'!A86,Visits!AL:AL)</f>
        <v>0</v>
      </c>
      <c r="M86" s="4">
        <f t="shared" si="5"/>
        <v>0</v>
      </c>
      <c r="N86" s="4"/>
      <c r="O86" t="s">
        <v>201</v>
      </c>
      <c r="P86" t="s">
        <v>202</v>
      </c>
      <c r="Q86" t="str">
        <f>IF(SUM('User Engagement'!G71:H71)&gt;=0,"YES", "NO")</f>
        <v>YES</v>
      </c>
      <c r="S86" s="2" t="str">
        <f t="shared" si="6"/>
        <v>👨🏼‍🤝‍👨🏽 0 new friends
🖼️ 0 exhibitions
🕑 0 hours of art experiences</v>
      </c>
    </row>
    <row r="87" spans="1:20" ht="51">
      <c r="A87" t="str">
        <f>Users!A70</f>
        <v>isisding@gmail.com</v>
      </c>
      <c r="B87" s="66">
        <f>Users!D70</f>
        <v>0</v>
      </c>
      <c r="C87" s="23" t="str">
        <f>VLOOKUP(A87,Users!A:D,2,FALSE)</f>
        <v>ND</v>
      </c>
      <c r="D87" s="23">
        <f>VLOOKUP(A87,Users!A:D,3,FALSE)</f>
        <v>0</v>
      </c>
      <c r="E87" s="99">
        <f>COUNTIF(Visits!AJ:AJ,'Summer Challenge'!A195)</f>
        <v>0</v>
      </c>
      <c r="G87" cm="1">
        <f t="array" ref="G87">SUM(--(FREQUENCY(IF(Visits!E:E='Summer Challenge'!A87,Visits!AK:AK),Visits!AK:AK)&gt;0))</f>
        <v>1</v>
      </c>
      <c r="H87">
        <f>SUMIF(Visits!E:E,'Summer Challenge'!A87,Visits!AK:AK)</f>
        <v>0</v>
      </c>
      <c r="J87" s="106"/>
      <c r="K87" s="106">
        <f t="shared" si="4"/>
        <v>0</v>
      </c>
      <c r="L87" s="4">
        <f>SUMIF(Visits!E:E,'Summer Challenge'!A87,Visits!AL:AL)</f>
        <v>0</v>
      </c>
      <c r="M87" s="4">
        <f t="shared" si="5"/>
        <v>0</v>
      </c>
      <c r="N87" s="4"/>
      <c r="O87" t="s">
        <v>201</v>
      </c>
      <c r="P87" t="s">
        <v>202</v>
      </c>
      <c r="Q87" t="str">
        <f>IF(SUM('User Engagement'!G72:H72)&gt;=0,"YES", "NO")</f>
        <v>YES</v>
      </c>
      <c r="S87" s="2" t="str">
        <f t="shared" si="6"/>
        <v>👨🏼‍🤝‍👨🏽 0 new friends
🖼️ 0 exhibitions
🕑 0 hours of art experiences</v>
      </c>
    </row>
    <row r="88" spans="1:20" ht="51">
      <c r="A88" t="str">
        <f>Users!A71</f>
        <v>walokunrin@yahoo.com</v>
      </c>
      <c r="B88" s="66" t="str">
        <f>Users!D71</f>
        <v>07599668191</v>
      </c>
      <c r="C88" s="23" t="str">
        <f>VLOOKUP(A88,Users!A:D,2,FALSE)</f>
        <v>Olawale</v>
      </c>
      <c r="D88" s="23" t="str">
        <f>VLOOKUP(A88,Users!A:D,3,FALSE)</f>
        <v>Okunrinboye</v>
      </c>
      <c r="E88" s="99">
        <f>COUNTIF(Visits!AJ:AJ,'Summer Challenge'!A196)</f>
        <v>0</v>
      </c>
      <c r="G88" cm="1">
        <f t="array" ref="G88">SUM(--(FREQUENCY(IF(Visits!E:E='Summer Challenge'!A88,Visits!AK:AK),Visits!AK:AK)&gt;0))</f>
        <v>1</v>
      </c>
      <c r="H88">
        <f>SUMIF(Visits!E:E,'Summer Challenge'!A88,Visits!AK:AK)</f>
        <v>0</v>
      </c>
      <c r="J88" s="106"/>
      <c r="K88" s="106">
        <f t="shared" si="4"/>
        <v>0</v>
      </c>
      <c r="L88" s="4">
        <f>SUMIF(Visits!E:E,'Summer Challenge'!A88,Visits!AL:AL)</f>
        <v>0</v>
      </c>
      <c r="M88" s="4">
        <f t="shared" si="5"/>
        <v>0</v>
      </c>
      <c r="N88" s="4"/>
      <c r="O88" t="s">
        <v>201</v>
      </c>
      <c r="P88" t="s">
        <v>202</v>
      </c>
      <c r="Q88" t="str">
        <f>IF(SUM('User Engagement'!G73:H73)&gt;=0,"YES", "NO")</f>
        <v>YES</v>
      </c>
      <c r="S88" s="2" t="str">
        <f t="shared" si="6"/>
        <v>👨🏼‍🤝‍👨🏽 0 new friends
🖼️ 0 exhibitions
🕑 0 hours of art experiences</v>
      </c>
    </row>
    <row r="89" spans="1:20" ht="51">
      <c r="A89" t="str">
        <f>Users!A72</f>
        <v>pragyaptib@gmail.com</v>
      </c>
      <c r="B89" s="66" t="str">
        <f>Users!D72</f>
        <v>07741694836</v>
      </c>
      <c r="C89" s="23" t="str">
        <f>VLOOKUP(A89,Users!A:D,2,FALSE)</f>
        <v>Pragyapti</v>
      </c>
      <c r="D89" s="23" t="str">
        <f>VLOOKUP(A89,Users!A:D,3,FALSE)</f>
        <v>Bhandari</v>
      </c>
      <c r="E89" s="99">
        <f>COUNTIF(Visits!AJ:AJ,'Summer Challenge'!A197)</f>
        <v>0</v>
      </c>
      <c r="G89" cm="1">
        <f t="array" ref="G89">SUM(--(FREQUENCY(IF(Visits!E:E='Summer Challenge'!A89,Visits!AK:AK),Visits!AK:AK)&gt;0))</f>
        <v>1</v>
      </c>
      <c r="H89">
        <f>SUMIF(Visits!E:E,'Summer Challenge'!A89,Visits!AK:AK)</f>
        <v>0</v>
      </c>
      <c r="J89" s="106"/>
      <c r="K89" s="106">
        <f t="shared" si="4"/>
        <v>0</v>
      </c>
      <c r="L89" s="4">
        <f>SUMIF(Visits!E:E,'Summer Challenge'!A89,Visits!AL:AL)</f>
        <v>0</v>
      </c>
      <c r="M89" s="4">
        <f t="shared" si="5"/>
        <v>0</v>
      </c>
      <c r="N89" s="4"/>
      <c r="O89" t="s">
        <v>201</v>
      </c>
      <c r="P89" t="s">
        <v>202</v>
      </c>
      <c r="Q89" t="str">
        <f>IF(SUM('User Engagement'!G74:H74)&gt;=0,"YES", "NO")</f>
        <v>YES</v>
      </c>
      <c r="S89" s="2" t="str">
        <f t="shared" si="6"/>
        <v>👨🏼‍🤝‍👨🏽 0 new friends
🖼️ 0 exhibitions
🕑 0 hours of art experiences</v>
      </c>
    </row>
    <row r="90" spans="1:20" ht="272.10000000000002">
      <c r="A90" t="str">
        <f>Users!A118</f>
        <v>priyankagarg2605@gmail.com</v>
      </c>
      <c r="C90" s="23" t="str">
        <f>VLOOKUP(A90,Users!A:D,2,FALSE)</f>
        <v>Priyanka</v>
      </c>
      <c r="D90" s="23" t="str">
        <f>VLOOKUP(A90,Users!A:D,3,FALSE)</f>
        <v>Garg</v>
      </c>
      <c r="E90" s="99">
        <f>COUNTIF(Visits!AJ:AJ,'Summer Challenge'!A198)</f>
        <v>0</v>
      </c>
      <c r="G90" cm="1">
        <f t="array" ref="G90">SUM(--(FREQUENCY(IF(Visits!E:E='Summer Challenge'!A90,Visits!AK:AK),Visits!AK:AK)&gt;0))</f>
        <v>2</v>
      </c>
      <c r="H90">
        <f>SUMIF(Visits!E:E,'Summer Challenge'!A90,Visits!AK:AK)</f>
        <v>5</v>
      </c>
      <c r="J90" s="106"/>
      <c r="K90" s="106">
        <f t="shared" si="4"/>
        <v>20</v>
      </c>
      <c r="L90" s="4">
        <f>SUMIF(Visits!E:E,'Summer Challenge'!A90,Visits!AL:AL)</f>
        <v>4</v>
      </c>
      <c r="M90" s="4">
        <f t="shared" si="5"/>
        <v>16</v>
      </c>
      <c r="N90" s="4"/>
      <c r="O90" t="s">
        <v>201</v>
      </c>
      <c r="P90" t="s">
        <v>202</v>
      </c>
      <c r="Q90" t="str">
        <f>IF(SUM('User Engagement'!G120:H120)&gt;=0,"YES", "NO")</f>
        <v>YES</v>
      </c>
      <c r="S90" s="2" t="str">
        <f t="shared" ref="S90:S91" si="9">"Hello "&amp;C90&amp;"! Here is your progress in the *Summer Quest* so far.
👨🏼‍🤝‍👨🏽 *"&amp;K90&amp;"* new friends
🖼️ *"&amp;L90&amp;"* exhibitions
🕑 *"&amp;M90&amp;"* hours of art experiences
Dive deeper into the Guilds and Journeys. Find your next experience bit.ly/3MfEXat
We’re excited to see your adventures unfold over the next 4 weeks! 🚀
Share your journey with pride and don't forget to tag @nimi_collective."</f>
        <v>Hello Priyanka! Here is your progress in the *Summer Quest* so far.
👨🏼‍🤝‍👨🏽 *20* new friends
🖼️ *4* exhibitions
🕑 *16* hours of art experiences
Dive deeper into the Guilds and Journeys. Find your next experience bit.ly/3MfEXat
We’re excited to see your adventures unfold over the next 4 weeks! 🚀
Share your journey with pride and don't forget to tag @nimi_collective.</v>
      </c>
      <c r="T90" t="s">
        <v>203</v>
      </c>
    </row>
    <row r="91" spans="1:20" ht="272.10000000000002">
      <c r="A91" t="str">
        <f>Users!A116</f>
        <v>n87wqqymwb@privaterelay.appleid.com</v>
      </c>
      <c r="C91" s="23" t="str">
        <f>VLOOKUP(A91,Users!A:D,2,FALSE)</f>
        <v>Qinwen</v>
      </c>
      <c r="D91" s="23" t="str">
        <f>VLOOKUP(A91,Users!A:D,3,FALSE)</f>
        <v>Wei</v>
      </c>
      <c r="E91" s="99">
        <f>COUNTIF(Visits!AJ:AJ,'Summer Challenge'!A199)</f>
        <v>0</v>
      </c>
      <c r="G91" cm="1">
        <f t="array" ref="G91">SUM(--(FREQUENCY(IF(Visits!E:E='Summer Challenge'!A91,Visits!AK:AK),Visits!AK:AK)&gt;0))</f>
        <v>1</v>
      </c>
      <c r="H91">
        <f>SUMIF(Visits!E:E,'Summer Challenge'!A91,Visits!AK:AK)</f>
        <v>1</v>
      </c>
      <c r="J91" s="106"/>
      <c r="K91" s="106">
        <f t="shared" si="4"/>
        <v>5</v>
      </c>
      <c r="L91" s="4">
        <f>SUMIF(Visits!E:E,'Summer Challenge'!A91,Visits!AL:AL)</f>
        <v>1</v>
      </c>
      <c r="M91" s="4">
        <f t="shared" si="5"/>
        <v>4</v>
      </c>
      <c r="N91" s="4"/>
      <c r="O91" t="s">
        <v>201</v>
      </c>
      <c r="P91" t="s">
        <v>202</v>
      </c>
      <c r="Q91" t="str">
        <f>IF(SUM('User Engagement'!G118:H118)&gt;=0,"YES", "NO")</f>
        <v>YES</v>
      </c>
      <c r="S91" s="2" t="str">
        <f t="shared" si="9"/>
        <v>Hello Qinwen! Here is your progress in the *Summer Quest* so far.
👨🏼‍🤝‍👨🏽 *5* new friends
🖼️ *1* exhibitions
🕑 *4* hours of art experiences
Dive deeper into the Guilds and Journeys. Find your next experience bit.ly/3MfEXat
We’re excited to see your adventures unfold over the next 4 weeks! 🚀
Share your journey with pride and don't forget to tag @nimi_collective.</v>
      </c>
    </row>
    <row r="92" spans="1:20" ht="51">
      <c r="A92" t="str">
        <f>Users!A73</f>
        <v>Richard_segal@yahoo.com</v>
      </c>
      <c r="B92" s="66" t="str">
        <f>Users!D73</f>
        <v>+44 7949 109489</v>
      </c>
      <c r="C92" s="23" t="str">
        <f>VLOOKUP(A92,Users!A:D,2,FALSE)</f>
        <v xml:space="preserve">Richard </v>
      </c>
      <c r="D92" s="23" t="str">
        <f>VLOOKUP(A92,Users!A:D,3,FALSE)</f>
        <v>Segal</v>
      </c>
      <c r="E92" s="99">
        <f>COUNTIF(Visits!AJ:AJ,'Summer Challenge'!A200)</f>
        <v>0</v>
      </c>
      <c r="G92" cm="1">
        <f t="array" ref="G92">SUM(--(FREQUENCY(IF(Visits!E:E='Summer Challenge'!A92,Visits!AK:AK),Visits!AK:AK)&gt;0))</f>
        <v>1</v>
      </c>
      <c r="H92">
        <f>SUMIF(Visits!E:E,'Summer Challenge'!A92,Visits!AK:AK)</f>
        <v>0</v>
      </c>
      <c r="J92" s="106"/>
      <c r="K92" s="106">
        <f t="shared" si="4"/>
        <v>0</v>
      </c>
      <c r="L92" s="4">
        <f>SUMIF(Visits!E:E,'Summer Challenge'!A92,Visits!AL:AL)</f>
        <v>0</v>
      </c>
      <c r="M92" s="4">
        <f t="shared" si="5"/>
        <v>0</v>
      </c>
      <c r="N92" s="4"/>
      <c r="O92" t="s">
        <v>202</v>
      </c>
      <c r="P92" t="s">
        <v>202</v>
      </c>
      <c r="Q92" t="str">
        <f>IF(SUM('User Engagement'!G75:H75)&gt;=0,"YES", "NO")</f>
        <v>YES</v>
      </c>
      <c r="S92" s="2" t="str">
        <f t="shared" si="6"/>
        <v>👨🏼‍🤝‍👨🏽 0 new friends
🖼️ 0 exhibitions
🕑 0 hours of art experiences</v>
      </c>
    </row>
    <row r="93" spans="1:20" ht="272.10000000000002">
      <c r="A93" t="str">
        <f>Users!A74</f>
        <v>roberthchapman@hotmail.com</v>
      </c>
      <c r="B93" s="66" t="str">
        <f>Users!D74</f>
        <v>07717205862</v>
      </c>
      <c r="C93" s="23" t="str">
        <f>VLOOKUP(A93,Users!A:D,2,FALSE)</f>
        <v>Robert</v>
      </c>
      <c r="D93" s="23" t="str">
        <f>VLOOKUP(A93,Users!A:D,3,FALSE)</f>
        <v>Chapman</v>
      </c>
      <c r="E93" s="99">
        <f>COUNTIF(Visits!AJ:AJ,'Summer Challenge'!A201)</f>
        <v>0</v>
      </c>
      <c r="G93" cm="1">
        <f t="array" ref="G93">SUM(--(FREQUENCY(IF(Visits!E:E='Summer Challenge'!A93,Visits!AK:AK),Visits!AK:AK)&gt;0))</f>
        <v>1</v>
      </c>
      <c r="H93">
        <f>SUMIF(Visits!E:E,'Summer Challenge'!A93,Visits!AK:AK)</f>
        <v>2</v>
      </c>
      <c r="J93" s="106"/>
      <c r="K93" s="106">
        <f t="shared" si="4"/>
        <v>10</v>
      </c>
      <c r="L93" s="4">
        <f>SUMIF(Visits!E:E,'Summer Challenge'!A93,Visits!AL:AL)</f>
        <v>2</v>
      </c>
      <c r="M93" s="4">
        <f t="shared" si="5"/>
        <v>8</v>
      </c>
      <c r="N93" s="4"/>
      <c r="O93" t="s">
        <v>202</v>
      </c>
      <c r="P93" t="s">
        <v>202</v>
      </c>
      <c r="Q93" t="str">
        <f>IF(SUM('User Engagement'!G76:H76)&gt;=0,"YES", "NO")</f>
        <v>YES</v>
      </c>
      <c r="S93" s="2" t="str">
        <f t="shared" ref="S93:S94" si="10">"Hello "&amp;C93&amp;"! Here is your progress in the *Summer Quest* so far.
👨🏼‍🤝‍👨🏽 *"&amp;K93&amp;"* new friends
🖼️ *"&amp;L93&amp;"* exhibitions
🕑 *"&amp;M93&amp;"* hours of art experiences
Dive deeper into the Guilds and Journeys. Find your next experience bit.ly/3MfEXat
We’re excited to see your adventures unfold over the next 4 weeks! 🚀
Share your journey with pride and don't forget to tag @nimi_collective."</f>
        <v>Hello Robert! Here is your progress in the *Summer Quest* so far.
👨🏼‍🤝‍👨🏽 *10* new friends
🖼️ *2* exhibitions
🕑 *8* hours of art experiences
Dive deeper into the Guilds and Journeys. Find your next experience bit.ly/3MfEXat
We’re excited to see your adventures unfold over the next 4 weeks! 🚀
Share your journey with pride and don't forget to tag @nimi_collective.</v>
      </c>
      <c r="T93" t="s">
        <v>203</v>
      </c>
    </row>
    <row r="94" spans="1:20" ht="272.10000000000002">
      <c r="A94" t="str">
        <f>Users!A75</f>
        <v>tendulkar.rohini@gmail.com</v>
      </c>
      <c r="B94" s="66" t="str">
        <f>Users!D75</f>
        <v>07752083835</v>
      </c>
      <c r="C94" s="23" t="str">
        <f>VLOOKUP(A94,Users!A:D,2,FALSE)</f>
        <v>Rohini</v>
      </c>
      <c r="D94" s="23" t="str">
        <f>VLOOKUP(A94,Users!A:D,3,FALSE)</f>
        <v>Tendulkar</v>
      </c>
      <c r="E94" s="99">
        <f>COUNTIF(Visits!AJ:AJ,'Summer Challenge'!A202)</f>
        <v>0</v>
      </c>
      <c r="G94" cm="1">
        <f t="array" ref="G94">SUM(--(FREQUENCY(IF(Visits!E:E='Summer Challenge'!A94,Visits!AK:AK),Visits!AK:AK)&gt;0))</f>
        <v>1</v>
      </c>
      <c r="H94">
        <f>SUMIF(Visits!E:E,'Summer Challenge'!A94,Visits!AK:AK)</f>
        <v>2</v>
      </c>
      <c r="J94" s="106"/>
      <c r="K94" s="106">
        <f t="shared" si="4"/>
        <v>10</v>
      </c>
      <c r="L94" s="4">
        <f>SUMIF(Visits!E:E,'Summer Challenge'!A94,Visits!AL:AL)</f>
        <v>2</v>
      </c>
      <c r="M94" s="4">
        <f t="shared" si="5"/>
        <v>8</v>
      </c>
      <c r="N94" s="4"/>
      <c r="O94" t="s">
        <v>202</v>
      </c>
      <c r="P94" t="s">
        <v>202</v>
      </c>
      <c r="Q94" t="str">
        <f>IF(SUM('User Engagement'!G77:H77)&gt;=0,"YES", "NO")</f>
        <v>YES</v>
      </c>
      <c r="S94" s="2" t="str">
        <f t="shared" si="10"/>
        <v>Hello Rohini! Here is your progress in the *Summer Quest* so far.
👨🏼‍🤝‍👨🏽 *10* new friends
🖼️ *2* exhibitions
🕑 *8* hours of art experiences
Dive deeper into the Guilds and Journeys. Find your next experience bit.ly/3MfEXat
We’re excited to see your adventures unfold over the next 4 weeks! 🚀
Share your journey with pride and don't forget to tag @nimi_collective.</v>
      </c>
      <c r="T94" t="s">
        <v>203</v>
      </c>
    </row>
    <row r="95" spans="1:20" ht="51">
      <c r="A95" t="str">
        <f>Users!A76</f>
        <v>rowan.bashar@gmail.com</v>
      </c>
      <c r="B95" s="66" t="str">
        <f>Users!D76</f>
        <v>07436593641</v>
      </c>
      <c r="C95" s="23" t="str">
        <f>VLOOKUP(A95,Users!A:D,2,FALSE)</f>
        <v>Rowan</v>
      </c>
      <c r="D95" s="23" t="str">
        <f>VLOOKUP(A95,Users!A:D,3,FALSE)</f>
        <v>El Atrache</v>
      </c>
      <c r="E95" s="99">
        <f>COUNTIF(Visits!AJ:AJ,'Summer Challenge'!A203)</f>
        <v>0</v>
      </c>
      <c r="G95" cm="1">
        <f t="array" ref="G95">SUM(--(FREQUENCY(IF(Visits!E:E='Summer Challenge'!A95,Visits!AK:AK),Visits!AK:AK)&gt;0))</f>
        <v>1</v>
      </c>
      <c r="H95">
        <f>SUMIF(Visits!E:E,'Summer Challenge'!A95,Visits!AK:AK)</f>
        <v>0</v>
      </c>
      <c r="J95" s="106"/>
      <c r="K95" s="106">
        <f t="shared" si="4"/>
        <v>0</v>
      </c>
      <c r="L95" s="4">
        <f>SUMIF(Visits!E:E,'Summer Challenge'!A95,Visits!AL:AL)</f>
        <v>0</v>
      </c>
      <c r="M95" s="4">
        <f t="shared" si="5"/>
        <v>0</v>
      </c>
      <c r="N95" s="4"/>
      <c r="O95" t="s">
        <v>202</v>
      </c>
      <c r="P95" t="s">
        <v>202</v>
      </c>
      <c r="Q95" t="str">
        <f>IF(SUM('User Engagement'!G78:H78)&gt;=0,"YES", "NO")</f>
        <v>YES</v>
      </c>
      <c r="S95" s="2" t="str">
        <f t="shared" si="6"/>
        <v>👨🏼‍🤝‍👨🏽 0 new friends
🖼️ 0 exhibitions
🕑 0 hours of art experiences</v>
      </c>
    </row>
    <row r="96" spans="1:20" ht="51">
      <c r="A96" t="str">
        <f>Users!A77</f>
        <v>sabinahaytbaeva@gmail.com</v>
      </c>
      <c r="B96" s="66" t="str">
        <f>Users!D77</f>
        <v xml:space="preserve"> 07564569465</v>
      </c>
      <c r="C96" s="23" t="str">
        <f>VLOOKUP(A96,Users!A:D,2,FALSE)</f>
        <v>Sabina</v>
      </c>
      <c r="D96" s="23" t="str">
        <f>VLOOKUP(A96,Users!A:D,3,FALSE)</f>
        <v>Khaytbaeva</v>
      </c>
      <c r="E96" s="99">
        <f>COUNTIF(Visits!AJ:AJ,'Summer Challenge'!A204)</f>
        <v>0</v>
      </c>
      <c r="G96" cm="1">
        <f t="array" ref="G96">SUM(--(FREQUENCY(IF(Visits!E:E='Summer Challenge'!A96,Visits!AK:AK),Visits!AK:AK)&gt;0))</f>
        <v>1</v>
      </c>
      <c r="H96">
        <f>SUMIF(Visits!E:E,'Summer Challenge'!A96,Visits!AK:AK)</f>
        <v>0</v>
      </c>
      <c r="J96" s="106"/>
      <c r="K96" s="106">
        <f t="shared" si="4"/>
        <v>0</v>
      </c>
      <c r="L96" s="4">
        <f>SUMIF(Visits!E:E,'Summer Challenge'!A96,Visits!AL:AL)</f>
        <v>0</v>
      </c>
      <c r="M96" s="4">
        <f t="shared" si="5"/>
        <v>0</v>
      </c>
      <c r="N96" s="4"/>
      <c r="O96" t="s">
        <v>202</v>
      </c>
      <c r="P96" t="s">
        <v>202</v>
      </c>
      <c r="Q96" t="str">
        <f>IF(SUM('User Engagement'!G79:H79)&gt;=0,"YES", "NO")</f>
        <v>YES</v>
      </c>
      <c r="S96" s="2" t="str">
        <f t="shared" si="6"/>
        <v>👨🏼‍🤝‍👨🏽 0 new friends
🖼️ 0 exhibitions
🕑 0 hours of art experiences</v>
      </c>
    </row>
    <row r="97" spans="1:20" ht="51">
      <c r="A97" t="str">
        <f>Users!A78</f>
        <v>sam.samedzade@gmail.com</v>
      </c>
      <c r="B97" s="66" t="str">
        <f>Users!D78</f>
        <v>07803757887</v>
      </c>
      <c r="C97" s="23" t="str">
        <f>VLOOKUP(A97,Users!A:D,2,FALSE)</f>
        <v>Samedzade</v>
      </c>
      <c r="D97" s="23" t="str">
        <f>VLOOKUP(A97,Users!A:D,3,FALSE)</f>
        <v>Samed</v>
      </c>
      <c r="E97" s="99">
        <f>COUNTIF(Visits!AJ:AJ,'Summer Challenge'!A205)</f>
        <v>0</v>
      </c>
      <c r="G97" cm="1">
        <f t="array" ref="G97">SUM(--(FREQUENCY(IF(Visits!E:E='Summer Challenge'!A97,Visits!AK:AK),Visits!AK:AK)&gt;0))</f>
        <v>1</v>
      </c>
      <c r="H97">
        <f>SUMIF(Visits!E:E,'Summer Challenge'!A97,Visits!AK:AK)</f>
        <v>0</v>
      </c>
      <c r="J97" s="106"/>
      <c r="K97" s="106">
        <f t="shared" si="4"/>
        <v>0</v>
      </c>
      <c r="L97" s="4">
        <f>SUMIF(Visits!E:E,'Summer Challenge'!A97,Visits!AL:AL)</f>
        <v>0</v>
      </c>
      <c r="M97" s="4">
        <f t="shared" si="5"/>
        <v>0</v>
      </c>
      <c r="N97" s="4"/>
      <c r="O97" t="s">
        <v>202</v>
      </c>
      <c r="P97" t="s">
        <v>202</v>
      </c>
      <c r="Q97" t="str">
        <f>IF(SUM('User Engagement'!G80:H80)&gt;=0,"YES", "NO")</f>
        <v>YES</v>
      </c>
      <c r="S97" s="2" t="str">
        <f t="shared" si="6"/>
        <v>👨🏼‍🤝‍👨🏽 0 new friends
🖼️ 0 exhibitions
🕑 0 hours of art experiences</v>
      </c>
    </row>
    <row r="98" spans="1:20" ht="272.10000000000002">
      <c r="A98" t="str">
        <f>Users!A79</f>
        <v>khan.saretta@gmail.com</v>
      </c>
      <c r="B98" s="66" t="str">
        <f>Users!D79</f>
        <v>07871606482</v>
      </c>
      <c r="C98" s="23" t="str">
        <f>VLOOKUP(A98,Users!A:D,2,FALSE)</f>
        <v>Sara</v>
      </c>
      <c r="D98" s="23" t="str">
        <f>VLOOKUP(A98,Users!A:D,3,FALSE)</f>
        <v>Khan</v>
      </c>
      <c r="E98" s="99">
        <f>COUNTIF(Visits!AJ:AJ,'Summer Challenge'!A206)</f>
        <v>0</v>
      </c>
      <c r="G98" cm="1">
        <f t="array" ref="G98">SUM(--(FREQUENCY(IF(Visits!E:E='Summer Challenge'!A98,Visits!AK:AK),Visits!AK:AK)&gt;0))</f>
        <v>1</v>
      </c>
      <c r="H98">
        <f>SUMIF(Visits!E:E,'Summer Challenge'!A98,Visits!AK:AK)</f>
        <v>3</v>
      </c>
      <c r="J98" s="106"/>
      <c r="K98" s="106">
        <f t="shared" si="4"/>
        <v>15</v>
      </c>
      <c r="L98" s="4">
        <f>SUMIF(Visits!E:E,'Summer Challenge'!A98,Visits!AL:AL)</f>
        <v>3</v>
      </c>
      <c r="M98" s="4">
        <f t="shared" si="5"/>
        <v>12</v>
      </c>
      <c r="N98" s="4"/>
      <c r="O98" t="s">
        <v>202</v>
      </c>
      <c r="P98" t="s">
        <v>202</v>
      </c>
      <c r="Q98" t="str">
        <f>IF(SUM('User Engagement'!G81:H81)&gt;=0,"YES", "NO")</f>
        <v>YES</v>
      </c>
      <c r="S98" s="2" t="str">
        <f t="shared" ref="S98:S99" si="11">"Hello "&amp;C98&amp;"! Here is your progress in the *Summer Quest* so far.
👨🏼‍🤝‍👨🏽 *"&amp;K98&amp;"* new friends
🖼️ *"&amp;L98&amp;"* exhibitions
🕑 *"&amp;M98&amp;"* hours of art experiences
Dive deeper into the Guilds and Journeys. Find your next experience bit.ly/3MfEXat
We’re excited to see your adventures unfold over the next 4 weeks! 🚀
Share your journey with pride and don't forget to tag @nimi_collective."</f>
        <v>Hello Sara! Here is your progress in the *Summer Quest* so far.
👨🏼‍🤝‍👨🏽 *15* new friends
🖼️ *3* exhibitions
🕑 *12* hours of art experiences
Dive deeper into the Guilds and Journeys. Find your next experience bit.ly/3MfEXat
We’re excited to see your adventures unfold over the next 4 weeks! 🚀
Share your journey with pride and don't forget to tag @nimi_collective.</v>
      </c>
      <c r="T98" t="s">
        <v>203</v>
      </c>
    </row>
    <row r="99" spans="1:20" ht="272.10000000000002">
      <c r="A99" t="str">
        <f>Users!A121</f>
        <v>visitor-sayan</v>
      </c>
      <c r="C99" s="23" t="str">
        <f>VLOOKUP(A99,Users!A:D,2,FALSE)</f>
        <v>Sayan</v>
      </c>
      <c r="D99" s="23">
        <f>VLOOKUP(A99,Users!A:D,3,FALSE)</f>
        <v>0</v>
      </c>
      <c r="E99" s="99">
        <f>COUNTIF(Visits!AJ:AJ,'Summer Challenge'!A207)</f>
        <v>0</v>
      </c>
      <c r="G99" cm="1">
        <f t="array" ref="G99">SUM(--(FREQUENCY(IF(Visits!E:E='Summer Challenge'!A99,Visits!AK:AK),Visits!AK:AK)&gt;0))</f>
        <v>1</v>
      </c>
      <c r="H99">
        <f>SUMIF(Visits!E:E,'Summer Challenge'!A99,Visits!AK:AK)</f>
        <v>1</v>
      </c>
      <c r="J99" s="106"/>
      <c r="K99" s="106">
        <f t="shared" si="4"/>
        <v>5</v>
      </c>
      <c r="L99" s="4">
        <f>SUMIF(Visits!E:E,'Summer Challenge'!A99,Visits!AL:AL)</f>
        <v>1</v>
      </c>
      <c r="M99" s="4">
        <f t="shared" si="5"/>
        <v>4</v>
      </c>
      <c r="N99" s="4"/>
      <c r="O99" t="s">
        <v>201</v>
      </c>
      <c r="P99" t="s">
        <v>202</v>
      </c>
      <c r="Q99" t="str">
        <f>IF(SUM('User Engagement'!G123:H123)&gt;=0,"YES", "NO")</f>
        <v>YES</v>
      </c>
      <c r="S99" s="2" t="str">
        <f t="shared" si="11"/>
        <v>Hello Sayan! Here is your progress in the *Summer Quest* so far.
👨🏼‍🤝‍👨🏽 *5* new friends
🖼️ *1* exhibitions
🕑 *4* hours of art experiences
Dive deeper into the Guilds and Journeys. Find your next experience bit.ly/3MfEXat
We’re excited to see your adventures unfold over the next 4 weeks! 🚀
Share your journey with pride and don't forget to tag @nimi_collective.</v>
      </c>
    </row>
    <row r="100" spans="1:20" ht="51">
      <c r="A100" t="str">
        <f>Users!A80</f>
        <v>scottrgilbert@hotmail.com</v>
      </c>
      <c r="B100" s="66" t="str">
        <f>Users!D80</f>
        <v>+44 7834 639940</v>
      </c>
      <c r="C100" s="23" t="str">
        <f>VLOOKUP(A100,Users!A:D,2,FALSE)</f>
        <v>Scott</v>
      </c>
      <c r="D100" s="23" t="str">
        <f>VLOOKUP(A100,Users!A:D,3,FALSE)</f>
        <v>Gilbert</v>
      </c>
      <c r="E100" s="99">
        <f>COUNTIF(Visits!AJ:AJ,'Summer Challenge'!A208)</f>
        <v>0</v>
      </c>
      <c r="G100" cm="1">
        <f t="array" ref="G100">SUM(--(FREQUENCY(IF(Visits!E:E='Summer Challenge'!A100,Visits!AK:AK),Visits!AK:AK)&gt;0))</f>
        <v>0</v>
      </c>
      <c r="H100">
        <f>SUMIF(Visits!E:E,'Summer Challenge'!A100,Visits!AK:AK)</f>
        <v>0</v>
      </c>
      <c r="J100" s="106"/>
      <c r="K100" s="106">
        <f t="shared" si="4"/>
        <v>0</v>
      </c>
      <c r="L100" s="4">
        <f>SUMIF(Visits!E:E,'Summer Challenge'!A100,Visits!AL:AL)</f>
        <v>0</v>
      </c>
      <c r="M100" s="4">
        <f t="shared" si="5"/>
        <v>0</v>
      </c>
      <c r="N100" s="4"/>
      <c r="O100" t="s">
        <v>201</v>
      </c>
      <c r="P100" t="s">
        <v>202</v>
      </c>
      <c r="Q100" t="str">
        <f>IF(SUM('User Engagement'!G82:H82)&gt;=0,"YES", "NO")</f>
        <v>YES</v>
      </c>
      <c r="S100" s="2" t="str">
        <f t="shared" si="6"/>
        <v>👨🏼‍🤝‍👨🏽 0 new friends
🖼️ 0 exhibitions
🕑 0 hours of art experiences</v>
      </c>
    </row>
    <row r="101" spans="1:20" ht="51">
      <c r="A101" t="str">
        <f>Users!A81</f>
        <v>kittyor.or@gmail.com</v>
      </c>
      <c r="B101" s="66" t="str">
        <f>Users!D81</f>
        <v>07366956766</v>
      </c>
      <c r="C101" s="23" t="str">
        <f>VLOOKUP(A101,Users!A:D,2,FALSE)</f>
        <v>Serena</v>
      </c>
      <c r="D101" s="23" t="str">
        <f>VLOOKUP(A101,Users!A:D,3,FALSE)</f>
        <v>Or</v>
      </c>
      <c r="E101" s="99">
        <f>COUNTIF(Visits!AJ:AJ,'Summer Challenge'!A209)</f>
        <v>0</v>
      </c>
      <c r="G101" cm="1">
        <f t="array" ref="G101">SUM(--(FREQUENCY(IF(Visits!E:E='Summer Challenge'!A101,Visits!AK:AK),Visits!AK:AK)&gt;0))</f>
        <v>1</v>
      </c>
      <c r="H101">
        <f>SUMIF(Visits!E:E,'Summer Challenge'!A101,Visits!AK:AK)</f>
        <v>0</v>
      </c>
      <c r="J101" s="106"/>
      <c r="K101" s="106">
        <f t="shared" si="4"/>
        <v>0</v>
      </c>
      <c r="L101" s="4">
        <f>SUMIF(Visits!E:E,'Summer Challenge'!A101,Visits!AL:AL)</f>
        <v>0</v>
      </c>
      <c r="M101" s="4">
        <f t="shared" si="5"/>
        <v>0</v>
      </c>
      <c r="N101" s="4"/>
      <c r="O101" t="s">
        <v>202</v>
      </c>
      <c r="P101" t="s">
        <v>202</v>
      </c>
      <c r="Q101" t="str">
        <f>IF(SUM('User Engagement'!G83:H83)&gt;=0,"YES", "NO")</f>
        <v>YES</v>
      </c>
      <c r="S101" s="2" t="str">
        <f t="shared" si="6"/>
        <v>👨🏼‍🤝‍👨🏽 0 new friends
🖼️ 0 exhibitions
🕑 0 hours of art experiences</v>
      </c>
    </row>
    <row r="102" spans="1:20" ht="272.10000000000002">
      <c r="A102" t="str">
        <f>Users!A82</f>
        <v>shaysteele2017@gmail.com</v>
      </c>
      <c r="B102" s="66" t="str">
        <f>Users!D82</f>
        <v>07925774705</v>
      </c>
      <c r="C102" s="23" t="str">
        <f>VLOOKUP(A102,Users!A:D,2,FALSE)</f>
        <v>Shay</v>
      </c>
      <c r="D102" s="23" t="str">
        <f>VLOOKUP(A102,Users!A:D,3,FALSE)</f>
        <v>Steele</v>
      </c>
      <c r="E102" s="99">
        <f>COUNTIF(Visits!AJ:AJ,'Summer Challenge'!A210)</f>
        <v>0</v>
      </c>
      <c r="G102" cm="1">
        <f t="array" ref="G102">SUM(--(FREQUENCY(IF(Visits!E:E='Summer Challenge'!A102,Visits!AK:AK),Visits!AK:AK)&gt;0))</f>
        <v>1</v>
      </c>
      <c r="H102">
        <f>SUMIF(Visits!E:E,'Summer Challenge'!A102,Visits!AK:AK)</f>
        <v>1</v>
      </c>
      <c r="J102" s="106"/>
      <c r="K102" s="106">
        <f t="shared" si="4"/>
        <v>5</v>
      </c>
      <c r="L102" s="4">
        <f>SUMIF(Visits!E:E,'Summer Challenge'!A102,Visits!AL:AL)</f>
        <v>1</v>
      </c>
      <c r="M102" s="4">
        <f t="shared" si="5"/>
        <v>4</v>
      </c>
      <c r="N102" s="4"/>
      <c r="O102" t="s">
        <v>202</v>
      </c>
      <c r="P102" t="s">
        <v>202</v>
      </c>
      <c r="Q102" t="str">
        <f>IF(SUM('User Engagement'!G84:H84)&gt;=0,"YES", "NO")</f>
        <v>YES</v>
      </c>
      <c r="S102" s="2" t="str">
        <f t="shared" ref="S102:S104" si="12">"Hello "&amp;C102&amp;"! Here is your progress in the *Summer Quest* so far.
👨🏼‍🤝‍👨🏽 *"&amp;K102&amp;"* new friends
🖼️ *"&amp;L102&amp;"* exhibitions
🕑 *"&amp;M102&amp;"* hours of art experiences
Dive deeper into the Guilds and Journeys. Find your next experience bit.ly/3MfEXat
We’re excited to see your adventures unfold over the next 4 weeks! 🚀
Share your journey with pride and don't forget to tag @nimi_collective."</f>
        <v>Hello Shay! Here is your progress in the *Summer Quest* so far.
👨🏼‍🤝‍👨🏽 *5* new friends
🖼️ *1* exhibitions
🕑 *4* hours of art experiences
Dive deeper into the Guilds and Journeys. Find your next experience bit.ly/3MfEXat
We’re excited to see your adventures unfold over the next 4 weeks! 🚀
Share your journey with pride and don't forget to tag @nimi_collective.</v>
      </c>
      <c r="T102" t="s">
        <v>203</v>
      </c>
    </row>
    <row r="103" spans="1:20" ht="272.10000000000002">
      <c r="A103" t="str">
        <f>Users!A83</f>
        <v>shlimbc2@gmail.com</v>
      </c>
      <c r="B103" s="66" t="str">
        <f>Users!D83</f>
        <v>07925774705</v>
      </c>
      <c r="C103" s="23" t="str">
        <f>VLOOKUP(A103,Users!A:D,2,FALSE)</f>
        <v>Shay</v>
      </c>
      <c r="D103" s="23" t="str">
        <f>VLOOKUP(A103,Users!A:D,3,FALSE)</f>
        <v>Lim</v>
      </c>
      <c r="E103" s="99">
        <f>COUNTIF(Visits!AJ:AJ,'Summer Challenge'!A211)</f>
        <v>0</v>
      </c>
      <c r="G103" cm="1">
        <f t="array" ref="G103">SUM(--(FREQUENCY(IF(Visits!E:E='Summer Challenge'!A103,Visits!AK:AK),Visits!AK:AK)&gt;0))</f>
        <v>1</v>
      </c>
      <c r="H103">
        <f>SUMIF(Visits!E:E,'Summer Challenge'!A103,Visits!AK:AK)</f>
        <v>1</v>
      </c>
      <c r="J103" s="106"/>
      <c r="K103" s="106">
        <f t="shared" si="4"/>
        <v>5</v>
      </c>
      <c r="L103" s="4">
        <f>SUMIF(Visits!E:E,'Summer Challenge'!A103,Visits!AL:AL)</f>
        <v>1</v>
      </c>
      <c r="M103" s="4">
        <f t="shared" si="5"/>
        <v>4</v>
      </c>
      <c r="N103" s="4"/>
      <c r="O103" t="s">
        <v>202</v>
      </c>
      <c r="P103" t="s">
        <v>202</v>
      </c>
      <c r="Q103" t="str">
        <f>IF(SUM('User Engagement'!G85:H85)&gt;=0,"YES", "NO")</f>
        <v>YES</v>
      </c>
      <c r="S103" s="2" t="str">
        <f t="shared" si="12"/>
        <v>Hello Shay! Here is your progress in the *Summer Quest* so far.
👨🏼‍🤝‍👨🏽 *5* new friends
🖼️ *1* exhibitions
🕑 *4* hours of art experiences
Dive deeper into the Guilds and Journeys. Find your next experience bit.ly/3MfEXat
We’re excited to see your adventures unfold over the next 4 weeks! 🚀
Share your journey with pride and don't forget to tag @nimi_collective.</v>
      </c>
    </row>
    <row r="104" spans="1:20" ht="272.10000000000002">
      <c r="A104" t="str">
        <f>Users!A101</f>
        <v>Shulliclintondavis@gmail.com</v>
      </c>
      <c r="B104" s="66" t="str">
        <f>Users!D101</f>
        <v>07884584132</v>
      </c>
      <c r="C104" s="23" t="str">
        <f>VLOOKUP(A104,Users!A:D,2,FALSE)</f>
        <v>Shulli</v>
      </c>
      <c r="D104" s="23" t="str">
        <f>VLOOKUP(A104,Users!A:D,3,FALSE)</f>
        <v>Clinton-Davis</v>
      </c>
      <c r="E104" s="99">
        <f>COUNTIF(Visits!AJ:AJ,'Summer Challenge'!A212)</f>
        <v>0</v>
      </c>
      <c r="G104" cm="1">
        <f t="array" ref="G104">SUM(--(FREQUENCY(IF(Visits!E:E='Summer Challenge'!A104,Visits!AK:AK),Visits!AK:AK)&gt;0))</f>
        <v>1</v>
      </c>
      <c r="H104">
        <f>SUMIF(Visits!E:E,'Summer Challenge'!A104,Visits!AK:AK)</f>
        <v>2</v>
      </c>
      <c r="J104" s="106"/>
      <c r="K104" s="106">
        <f t="shared" si="4"/>
        <v>10</v>
      </c>
      <c r="L104" s="4">
        <f>SUMIF(Visits!E:E,'Summer Challenge'!A104,Visits!AL:AL)</f>
        <v>2</v>
      </c>
      <c r="M104" s="4">
        <f t="shared" si="5"/>
        <v>8</v>
      </c>
      <c r="N104" s="4"/>
      <c r="O104" t="s">
        <v>201</v>
      </c>
      <c r="P104" t="s">
        <v>202</v>
      </c>
      <c r="Q104" t="str">
        <f>IF(SUM('User Engagement'!G103:H103)&gt;=0,"YES", "NO")</f>
        <v>YES</v>
      </c>
      <c r="S104" s="2" t="str">
        <f t="shared" si="12"/>
        <v>Hello Shulli! Here is your progress in the *Summer Quest* so far.
👨🏼‍🤝‍👨🏽 *10* new friends
🖼️ *2* exhibitions
🕑 *8* hours of art experiences
Dive deeper into the Guilds and Journeys. Find your next experience bit.ly/3MfEXat
We’re excited to see your adventures unfold over the next 4 weeks! 🚀
Share your journey with pride and don't forget to tag @nimi_collective.</v>
      </c>
      <c r="T104" t="s">
        <v>203</v>
      </c>
    </row>
    <row r="105" spans="1:20" ht="51">
      <c r="A105" t="str">
        <f>Users!A84</f>
        <v>scribu@gmail.com</v>
      </c>
      <c r="B105" s="66">
        <f>Users!D84</f>
        <v>0</v>
      </c>
      <c r="C105" s="23" t="str">
        <f>VLOOKUP(A105,Users!A:D,2,FALSE)</f>
        <v>Silviu</v>
      </c>
      <c r="D105" s="23" t="str">
        <f>VLOOKUP(A105,Users!A:D,3,FALSE)</f>
        <v>Burca</v>
      </c>
      <c r="E105" s="99">
        <f>COUNTIF(Visits!AJ:AJ,'Summer Challenge'!A213)</f>
        <v>0</v>
      </c>
      <c r="G105" cm="1">
        <f t="array" ref="G105">SUM(--(FREQUENCY(IF(Visits!E:E='Summer Challenge'!A105,Visits!AK:AK),Visits!AK:AK)&gt;0))</f>
        <v>1</v>
      </c>
      <c r="H105">
        <f>SUMIF(Visits!E:E,'Summer Challenge'!A105,Visits!AK:AK)</f>
        <v>0</v>
      </c>
      <c r="J105" s="106"/>
      <c r="K105" s="106">
        <f t="shared" si="4"/>
        <v>0</v>
      </c>
      <c r="L105" s="4">
        <f>SUMIF(Visits!E:E,'Summer Challenge'!A105,Visits!AL:AL)</f>
        <v>0</v>
      </c>
      <c r="M105" s="4">
        <f t="shared" si="5"/>
        <v>0</v>
      </c>
      <c r="N105" s="4"/>
      <c r="O105" t="s">
        <v>201</v>
      </c>
      <c r="P105" t="s">
        <v>202</v>
      </c>
      <c r="Q105" t="str">
        <f>IF(SUM('User Engagement'!G86:H86)&gt;=0,"YES", "NO")</f>
        <v>YES</v>
      </c>
      <c r="S105" s="2" t="str">
        <f t="shared" si="6"/>
        <v>👨🏼‍🤝‍👨🏽 0 new friends
🖼️ 0 exhibitions
🕑 0 hours of art experiences</v>
      </c>
    </row>
    <row r="106" spans="1:20" ht="272.10000000000002">
      <c r="A106" t="str">
        <f>Users!A85</f>
        <v>simon.brk@gmail.com</v>
      </c>
      <c r="B106" s="66" t="str">
        <f>Users!D85</f>
        <v>+44 7301 979131</v>
      </c>
      <c r="C106" s="23" t="str">
        <f>VLOOKUP(A106,Users!A:D,2,FALSE)</f>
        <v>Simon</v>
      </c>
      <c r="D106" s="23" t="str">
        <f>VLOOKUP(A106,Users!A:D,3,FALSE)</f>
        <v>Bourke</v>
      </c>
      <c r="E106" s="99">
        <f>COUNTIF(Visits!AJ:AJ,'Summer Challenge'!A214)</f>
        <v>0</v>
      </c>
      <c r="G106" cm="1">
        <f t="array" ref="G106">SUM(--(FREQUENCY(IF(Visits!E:E='Summer Challenge'!A106,Visits!AK:AK),Visits!AK:AK)&gt;0))</f>
        <v>1</v>
      </c>
      <c r="H106">
        <f>SUMIF(Visits!E:E,'Summer Challenge'!A106,Visits!AK:AK)</f>
        <v>3</v>
      </c>
      <c r="J106" s="106"/>
      <c r="K106" s="106">
        <f t="shared" si="4"/>
        <v>15</v>
      </c>
      <c r="L106" s="4">
        <f>SUMIF(Visits!E:E,'Summer Challenge'!A106,Visits!AL:AL)</f>
        <v>3</v>
      </c>
      <c r="M106" s="4">
        <f t="shared" si="5"/>
        <v>12</v>
      </c>
      <c r="N106" s="4"/>
      <c r="O106" t="s">
        <v>202</v>
      </c>
      <c r="P106" t="s">
        <v>202</v>
      </c>
      <c r="Q106" t="str">
        <f>IF(SUM('User Engagement'!G87:H87)&gt;=0,"YES", "NO")</f>
        <v>YES</v>
      </c>
      <c r="S106" s="2" t="str">
        <f>"Hello "&amp;C106&amp;"! Here is your progress in the *Summer Quest* so far.
👨🏼‍🤝‍👨🏽 *"&amp;K106&amp;"* new friends
🖼️ *"&amp;L106&amp;"* exhibitions
🕑 *"&amp;M106&amp;"* hours of art experiences
Dive deeper into the Guilds and Journeys. Find your next experience bit.ly/3MfEXat
We’re excited to see your adventures unfold over the next 4 weeks! 🚀
Share your journey with pride and don't forget to tag @nimi_collective."</f>
        <v>Hello Simon! Here is your progress in the *Summer Quest* so far.
👨🏼‍🤝‍👨🏽 *15* new friends
🖼️ *3* exhibitions
🕑 *12* hours of art experiences
Dive deeper into the Guilds and Journeys. Find your next experience bit.ly/3MfEXat
We’re excited to see your adventures unfold over the next 4 weeks! 🚀
Share your journey with pride and don't forget to tag @nimi_collective.</v>
      </c>
      <c r="T106" t="s">
        <v>203</v>
      </c>
    </row>
    <row r="107" spans="1:20" ht="51">
      <c r="A107" t="str">
        <f>Users!A86</f>
        <v>simon88e@yahoo.com</v>
      </c>
      <c r="B107" s="66">
        <f>Users!D86</f>
        <v>0</v>
      </c>
      <c r="C107" s="23" t="str">
        <f>VLOOKUP(A107,Users!A:D,2,FALSE)</f>
        <v>Simona</v>
      </c>
      <c r="D107" s="23" t="str">
        <f>VLOOKUP(A107,Users!A:D,3,FALSE)</f>
        <v>Vicol</v>
      </c>
      <c r="E107" s="99">
        <f>COUNTIF(Visits!AJ:AJ,'Summer Challenge'!A215)</f>
        <v>0</v>
      </c>
      <c r="G107" cm="1">
        <f t="array" ref="G107">SUM(--(FREQUENCY(IF(Visits!E:E='Summer Challenge'!A107,Visits!AK:AK),Visits!AK:AK)&gt;0))</f>
        <v>1</v>
      </c>
      <c r="H107">
        <f>SUMIF(Visits!E:E,'Summer Challenge'!A107,Visits!AK:AK)</f>
        <v>0</v>
      </c>
      <c r="J107" s="106"/>
      <c r="K107" s="106">
        <f t="shared" si="4"/>
        <v>0</v>
      </c>
      <c r="L107" s="4">
        <f>SUMIF(Visits!E:E,'Summer Challenge'!A107,Visits!AL:AL)</f>
        <v>0</v>
      </c>
      <c r="M107" s="4">
        <f t="shared" si="5"/>
        <v>0</v>
      </c>
      <c r="N107" s="4"/>
      <c r="O107" t="s">
        <v>201</v>
      </c>
      <c r="P107" t="s">
        <v>202</v>
      </c>
      <c r="Q107" t="str">
        <f>IF(SUM('User Engagement'!G88:H88)&gt;=0,"YES", "NO")</f>
        <v>YES</v>
      </c>
      <c r="S107" s="2" t="str">
        <f t="shared" si="6"/>
        <v>👨🏼‍🤝‍👨🏽 0 new friends
🖼️ 0 exhibitions
🕑 0 hours of art experiences</v>
      </c>
    </row>
    <row r="108" spans="1:20" ht="51">
      <c r="A108" t="str">
        <f>Users!A87</f>
        <v>sophia.shemlugu@gmail.com</v>
      </c>
      <c r="B108" s="66" t="str">
        <f>Users!D87</f>
        <v>07947714775</v>
      </c>
      <c r="C108" s="23" t="str">
        <f>VLOOKUP(A108,Users!A:D,2,FALSE)</f>
        <v>Sophia</v>
      </c>
      <c r="D108" s="23" t="str">
        <f>VLOOKUP(A108,Users!A:D,3,FALSE)</f>
        <v>Shemlugu</v>
      </c>
      <c r="E108" s="99">
        <f>COUNTIF(Visits!AJ:AJ,'Summer Challenge'!A216)</f>
        <v>0</v>
      </c>
      <c r="G108" cm="1">
        <f t="array" ref="G108">SUM(--(FREQUENCY(IF(Visits!E:E='Summer Challenge'!A108,Visits!AK:AK),Visits!AK:AK)&gt;0))</f>
        <v>1</v>
      </c>
      <c r="H108">
        <f>SUMIF(Visits!E:E,'Summer Challenge'!A108,Visits!AK:AK)</f>
        <v>0</v>
      </c>
      <c r="J108" s="106"/>
      <c r="K108" s="106">
        <f t="shared" si="4"/>
        <v>0</v>
      </c>
      <c r="L108" s="4">
        <f>SUMIF(Visits!E:E,'Summer Challenge'!A108,Visits!AL:AL)</f>
        <v>0</v>
      </c>
      <c r="M108" s="4">
        <f t="shared" si="5"/>
        <v>0</v>
      </c>
      <c r="N108" s="4"/>
      <c r="O108" t="s">
        <v>201</v>
      </c>
      <c r="P108" t="s">
        <v>202</v>
      </c>
      <c r="Q108" t="str">
        <f>IF(SUM('User Engagement'!G89:H89)&gt;=0,"YES", "NO")</f>
        <v>YES</v>
      </c>
      <c r="S108" s="2" t="str">
        <f t="shared" si="6"/>
        <v>👨🏼‍🤝‍👨🏽 0 new friends
🖼️ 0 exhibitions
🕑 0 hours of art experiences</v>
      </c>
    </row>
    <row r="109" spans="1:20" ht="51">
      <c r="A109" t="str">
        <f>Users!A88</f>
        <v>srivaths.s@gmail.com</v>
      </c>
      <c r="B109" s="66" t="str">
        <f>Users!D88</f>
        <v>07946225673</v>
      </c>
      <c r="C109" s="23" t="str">
        <f>VLOOKUP(A109,Users!A:D,2,FALSE)</f>
        <v>Srivaths</v>
      </c>
      <c r="D109" s="23" t="str">
        <f>VLOOKUP(A109,Users!A:D,3,FALSE)</f>
        <v>Swaminathan</v>
      </c>
      <c r="E109" s="99">
        <f>COUNTIF(Visits!AJ:AJ,'Summer Challenge'!A217)</f>
        <v>0</v>
      </c>
      <c r="G109" cm="1">
        <f t="array" ref="G109">SUM(--(FREQUENCY(IF(Visits!E:E='Summer Challenge'!A109,Visits!AK:AK),Visits!AK:AK)&gt;0))</f>
        <v>1</v>
      </c>
      <c r="H109">
        <f>SUMIF(Visits!E:E,'Summer Challenge'!A109,Visits!AK:AK)</f>
        <v>0</v>
      </c>
      <c r="J109" s="106"/>
      <c r="K109" s="106">
        <f t="shared" si="4"/>
        <v>0</v>
      </c>
      <c r="L109" s="4">
        <f>SUMIF(Visits!E:E,'Summer Challenge'!A109,Visits!AL:AL)</f>
        <v>0</v>
      </c>
      <c r="M109" s="4">
        <f t="shared" si="5"/>
        <v>0</v>
      </c>
      <c r="N109" s="4"/>
      <c r="O109" t="s">
        <v>202</v>
      </c>
      <c r="P109" t="s">
        <v>202</v>
      </c>
      <c r="Q109" t="str">
        <f>IF(SUM('User Engagement'!G90:H90)&gt;=0,"YES", "NO")</f>
        <v>YES</v>
      </c>
      <c r="S109" s="2" t="str">
        <f t="shared" si="6"/>
        <v>👨🏼‍🤝‍👨🏽 0 new friends
🖼️ 0 exhibitions
🕑 0 hours of art experiences</v>
      </c>
    </row>
    <row r="110" spans="1:20" ht="51">
      <c r="A110" t="str">
        <f>Users!A89</f>
        <v>susandjackson01@gmail.com</v>
      </c>
      <c r="B110" s="66">
        <f>Users!D89</f>
        <v>0</v>
      </c>
      <c r="C110" s="23" t="str">
        <f>VLOOKUP(A110,Users!A:D,2,FALSE)</f>
        <v>Susan</v>
      </c>
      <c r="D110" s="23" t="str">
        <f>VLOOKUP(A110,Users!A:D,3,FALSE)</f>
        <v>Durkan Jackson</v>
      </c>
      <c r="E110" s="99">
        <f>COUNTIF(Visits!AJ:AJ,'Summer Challenge'!A218)</f>
        <v>0</v>
      </c>
      <c r="G110" cm="1">
        <f t="array" ref="G110">SUM(--(FREQUENCY(IF(Visits!E:E='Summer Challenge'!A110,Visits!AK:AK),Visits!AK:AK)&gt;0))</f>
        <v>1</v>
      </c>
      <c r="H110">
        <f>SUMIF(Visits!E:E,'Summer Challenge'!A110,Visits!AK:AK)</f>
        <v>1</v>
      </c>
      <c r="J110" s="106"/>
      <c r="K110" s="106">
        <f t="shared" si="4"/>
        <v>5</v>
      </c>
      <c r="L110" s="4">
        <f>SUMIF(Visits!E:E,'Summer Challenge'!A110,Visits!AL:AL)</f>
        <v>1</v>
      </c>
      <c r="M110" s="4">
        <f t="shared" si="5"/>
        <v>4</v>
      </c>
      <c r="N110" s="4"/>
      <c r="O110" t="s">
        <v>201</v>
      </c>
      <c r="P110" t="s">
        <v>202</v>
      </c>
      <c r="Q110" t="str">
        <f>IF(SUM('User Engagement'!G91:H91)&gt;=0,"YES", "NO")</f>
        <v>YES</v>
      </c>
      <c r="S110" s="2" t="str">
        <f t="shared" si="6"/>
        <v>👨🏼‍🤝‍👨🏽 5 new friends
🖼️ 1 exhibitions
🕑 4 hours of art experiences</v>
      </c>
    </row>
    <row r="111" spans="1:20" ht="51">
      <c r="A111" t="str">
        <f>Users!A90</f>
        <v>tatatamzzz@gmail.com</v>
      </c>
      <c r="B111" s="66" t="str">
        <f>Users!D90</f>
        <v>07901584632</v>
      </c>
      <c r="C111" s="23" t="str">
        <f>VLOOKUP(A111,Users!A:D,2,FALSE)</f>
        <v>Tamara</v>
      </c>
      <c r="D111" s="23" t="str">
        <f>VLOOKUP(A111,Users!A:D,3,FALSE)</f>
        <v>Muñoz</v>
      </c>
      <c r="E111" s="99">
        <f>COUNTIF(Visits!AJ:AJ,'Summer Challenge'!A219)</f>
        <v>0</v>
      </c>
      <c r="G111" cm="1">
        <f t="array" ref="G111">SUM(--(FREQUENCY(IF(Visits!E:E='Summer Challenge'!A111,Visits!AK:AK),Visits!AK:AK)&gt;0))</f>
        <v>1</v>
      </c>
      <c r="H111">
        <f>SUMIF(Visits!E:E,'Summer Challenge'!A111,Visits!AK:AK)</f>
        <v>0</v>
      </c>
      <c r="J111" s="106"/>
      <c r="K111" s="106">
        <f t="shared" si="4"/>
        <v>0</v>
      </c>
      <c r="L111" s="4">
        <f>SUMIF(Visits!E:E,'Summer Challenge'!A111,Visits!AL:AL)</f>
        <v>0</v>
      </c>
      <c r="M111" s="4">
        <f t="shared" si="5"/>
        <v>0</v>
      </c>
      <c r="N111" s="4"/>
      <c r="O111" t="s">
        <v>202</v>
      </c>
      <c r="P111" t="s">
        <v>202</v>
      </c>
      <c r="Q111" t="str">
        <f>IF(SUM('User Engagement'!G92:H92)&gt;=0,"YES", "NO")</f>
        <v>YES</v>
      </c>
      <c r="S111" s="2" t="str">
        <f t="shared" si="6"/>
        <v>👨🏼‍🤝‍👨🏽 0 new friends
🖼️ 0 exhibitions
🕑 0 hours of art experiences</v>
      </c>
    </row>
    <row r="112" spans="1:20" ht="272.10000000000002">
      <c r="A112" t="str">
        <f>Users!A91</f>
        <v>tamara.dews@lseg.com</v>
      </c>
      <c r="B112" s="66" t="str">
        <f>Users!D91</f>
        <v>07776960365/+1 (917) 693-7780</v>
      </c>
      <c r="C112" s="23" t="str">
        <f>VLOOKUP(A112,Users!A:D,2,FALSE)</f>
        <v>Tamara</v>
      </c>
      <c r="D112" s="23" t="str">
        <f>VLOOKUP(A112,Users!A:D,3,FALSE)</f>
        <v>Dews</v>
      </c>
      <c r="E112" s="99">
        <f>COUNTIF(Visits!AJ:AJ,'Summer Challenge'!A220)</f>
        <v>0</v>
      </c>
      <c r="G112" cm="1">
        <f t="array" ref="G112">SUM(--(FREQUENCY(IF(Visits!E:E='Summer Challenge'!A112,Visits!AK:AK),Visits!AK:AK)&gt;0))</f>
        <v>1</v>
      </c>
      <c r="H112">
        <f>SUMIF(Visits!E:E,'Summer Challenge'!A112,Visits!AK:AK)</f>
        <v>1</v>
      </c>
      <c r="J112" s="106"/>
      <c r="K112" s="106">
        <f t="shared" si="4"/>
        <v>5</v>
      </c>
      <c r="L112" s="4">
        <f>SUMIF(Visits!E:E,'Summer Challenge'!A112,Visits!AL:AL)</f>
        <v>1</v>
      </c>
      <c r="M112" s="4">
        <f t="shared" si="5"/>
        <v>4</v>
      </c>
      <c r="N112" s="4"/>
      <c r="O112" t="s">
        <v>202</v>
      </c>
      <c r="P112" t="s">
        <v>202</v>
      </c>
      <c r="Q112" t="str">
        <f>IF(SUM('User Engagement'!G93:H93)&gt;=0,"YES", "NO")</f>
        <v>YES</v>
      </c>
      <c r="S112" s="2" t="str">
        <f t="shared" ref="S112:S113" si="13">"Hello "&amp;C112&amp;"! Here is your progress in the *Summer Quest* so far.
👨🏼‍🤝‍👨🏽 *"&amp;K112&amp;"* new friends
🖼️ *"&amp;L112&amp;"* exhibitions
🕑 *"&amp;M112&amp;"* hours of art experiences
Dive deeper into the Guilds and Journeys. Find your next experience bit.ly/3MfEXat
We’re excited to see your adventures unfold over the next 4 weeks! 🚀
Share your journey with pride and don't forget to tag @nimi_collective."</f>
        <v>Hello Tamara! Here is your progress in the *Summer Quest* so far.
👨🏼‍🤝‍👨🏽 *5* new friends
🖼️ *1* exhibitions
🕑 *4* hours of art experiences
Dive deeper into the Guilds and Journeys. Find your next experience bit.ly/3MfEXat
We’re excited to see your adventures unfold over the next 4 weeks! 🚀
Share your journey with pride and don't forget to tag @nimi_collective.</v>
      </c>
      <c r="T112" t="s">
        <v>203</v>
      </c>
    </row>
    <row r="113" spans="1:20" ht="272.10000000000002">
      <c r="A113" t="str">
        <f>Users!A92</f>
        <v>sethi.tanvi@gmail.com</v>
      </c>
      <c r="B113" s="66" t="str">
        <f>Users!D92</f>
        <v>07846232630</v>
      </c>
      <c r="C113" s="23" t="str">
        <f>VLOOKUP(A113,Users!A:D,2,FALSE)</f>
        <v>Tanvi</v>
      </c>
      <c r="D113" s="23" t="str">
        <f>VLOOKUP(A113,Users!A:D,3,FALSE)</f>
        <v>Sethi</v>
      </c>
      <c r="E113" s="99">
        <f>COUNTIF(Visits!AJ:AJ,'Summer Challenge'!A221)</f>
        <v>0</v>
      </c>
      <c r="G113" cm="1">
        <f t="array" ref="G113">SUM(--(FREQUENCY(IF(Visits!E:E='Summer Challenge'!A113,Visits!AK:AK),Visits!AK:AK)&gt;0))</f>
        <v>1</v>
      </c>
      <c r="H113">
        <f>SUMIF(Visits!E:E,'Summer Challenge'!A113,Visits!AK:AK)</f>
        <v>4</v>
      </c>
      <c r="J113" s="106"/>
      <c r="K113" s="106">
        <f t="shared" si="4"/>
        <v>20</v>
      </c>
      <c r="L113" s="4">
        <f>SUMIF(Visits!E:E,'Summer Challenge'!A113,Visits!AL:AL)</f>
        <v>4</v>
      </c>
      <c r="M113" s="4">
        <f t="shared" si="5"/>
        <v>16</v>
      </c>
      <c r="N113" s="4"/>
      <c r="O113" t="s">
        <v>202</v>
      </c>
      <c r="P113" t="s">
        <v>202</v>
      </c>
      <c r="Q113" t="str">
        <f>IF(SUM('User Engagement'!G94:H94)&gt;=0,"YES", "NO")</f>
        <v>YES</v>
      </c>
      <c r="S113" s="2" t="str">
        <f t="shared" si="13"/>
        <v>Hello Tanvi! Here is your progress in the *Summer Quest* so far.
👨🏼‍🤝‍👨🏽 *20* new friends
🖼️ *4* exhibitions
🕑 *16* hours of art experiences
Dive deeper into the Guilds and Journeys. Find your next experience bit.ly/3MfEXat
We’re excited to see your adventures unfold over the next 4 weeks! 🚀
Share your journey with pride and don't forget to tag @nimi_collective.</v>
      </c>
      <c r="T113" t="s">
        <v>203</v>
      </c>
    </row>
    <row r="114" spans="1:20" ht="51">
      <c r="A114" t="str">
        <f>Users!A93</f>
        <v>teodor.rd27@gmail.com</v>
      </c>
      <c r="B114" s="66">
        <f>Users!D93</f>
        <v>0</v>
      </c>
      <c r="C114" s="23" t="str">
        <f>VLOOKUP(A114,Users!A:D,2,FALSE)</f>
        <v>Teodor</v>
      </c>
      <c r="D114" s="23" t="str">
        <f>VLOOKUP(A114,Users!A:D,3,FALSE)</f>
        <v>Radu</v>
      </c>
      <c r="E114" s="99">
        <f>COUNTIF(Visits!AJ:AJ,'Summer Challenge'!A222)</f>
        <v>0</v>
      </c>
      <c r="G114" cm="1">
        <f t="array" ref="G114">SUM(--(FREQUENCY(IF(Visits!E:E='Summer Challenge'!A114,Visits!AK:AK),Visits!AK:AK)&gt;0))</f>
        <v>1</v>
      </c>
      <c r="H114">
        <f>SUMIF(Visits!E:E,'Summer Challenge'!A114,Visits!AK:AK)</f>
        <v>0</v>
      </c>
      <c r="J114" s="106"/>
      <c r="K114" s="106">
        <f t="shared" si="4"/>
        <v>0</v>
      </c>
      <c r="L114" s="4">
        <f>SUMIF(Visits!E:E,'Summer Challenge'!A114,Visits!AL:AL)</f>
        <v>0</v>
      </c>
      <c r="M114" s="4">
        <f t="shared" si="5"/>
        <v>0</v>
      </c>
      <c r="N114" s="4"/>
      <c r="O114" t="s">
        <v>201</v>
      </c>
      <c r="P114" t="s">
        <v>202</v>
      </c>
      <c r="Q114" t="str">
        <f>IF(SUM('User Engagement'!G95:H95)&gt;=0,"YES", "NO")</f>
        <v>YES</v>
      </c>
      <c r="S114" s="2" t="str">
        <f t="shared" si="6"/>
        <v>👨🏼‍🤝‍👨🏽 0 new friends
🖼️ 0 exhibitions
🕑 0 hours of art experiences</v>
      </c>
    </row>
    <row r="115" spans="1:20" ht="51">
      <c r="A115" t="str">
        <f>Users!A94</f>
        <v>yangtianqi2023@163.com</v>
      </c>
      <c r="B115" s="66" t="str">
        <f>Users!D94</f>
        <v>07756702521</v>
      </c>
      <c r="C115" s="23" t="str">
        <f>VLOOKUP(A115,Users!A:D,2,FALSE)</f>
        <v>Tianqi</v>
      </c>
      <c r="D115" s="23" t="str">
        <f>VLOOKUP(A115,Users!A:D,3,FALSE)</f>
        <v>Yang</v>
      </c>
      <c r="E115" s="99">
        <f>COUNTIF(Visits!AJ:AJ,'Summer Challenge'!A223)</f>
        <v>0</v>
      </c>
      <c r="G115" cm="1">
        <f t="array" ref="G115">SUM(--(FREQUENCY(IF(Visits!E:E='Summer Challenge'!A115,Visits!AK:AK),Visits!AK:AK)&gt;0))</f>
        <v>1</v>
      </c>
      <c r="H115">
        <f>SUMIF(Visits!E:E,'Summer Challenge'!A115,Visits!AK:AK)</f>
        <v>0</v>
      </c>
      <c r="J115" s="106"/>
      <c r="K115" s="106">
        <f t="shared" si="4"/>
        <v>0</v>
      </c>
      <c r="L115" s="4">
        <f>SUMIF(Visits!E:E,'Summer Challenge'!A115,Visits!AL:AL)</f>
        <v>0</v>
      </c>
      <c r="M115" s="4">
        <f t="shared" si="5"/>
        <v>0</v>
      </c>
      <c r="N115" s="4"/>
      <c r="O115" t="s">
        <v>201</v>
      </c>
      <c r="P115" t="s">
        <v>202</v>
      </c>
      <c r="Q115" t="str">
        <f>IF(SUM('User Engagement'!G96:H96)&gt;=0,"YES", "NO")</f>
        <v>YES</v>
      </c>
      <c r="S115" s="2" t="str">
        <f t="shared" si="6"/>
        <v>👨🏼‍🤝‍👨🏽 0 new friends
🖼️ 0 exhibitions
🕑 0 hours of art experiences</v>
      </c>
    </row>
    <row r="116" spans="1:20" ht="51">
      <c r="A116" t="str">
        <f>Users!A95</f>
        <v>tomhsaville@hotmail.co.uk</v>
      </c>
      <c r="B116" s="66" t="str">
        <f>Users!D95</f>
        <v>07572300777</v>
      </c>
      <c r="C116" s="23" t="str">
        <f>VLOOKUP(A116,Users!A:D,2,FALSE)</f>
        <v>Tom</v>
      </c>
      <c r="D116" s="23" t="str">
        <f>VLOOKUP(A116,Users!A:D,3,FALSE)</f>
        <v>Saville</v>
      </c>
      <c r="E116" s="99">
        <f>COUNTIF(Visits!AJ:AJ,'Summer Challenge'!A224)</f>
        <v>0</v>
      </c>
      <c r="G116" cm="1">
        <f t="array" ref="G116">SUM(--(FREQUENCY(IF(Visits!E:E='Summer Challenge'!A116,Visits!AK:AK),Visits!AK:AK)&gt;0))</f>
        <v>1</v>
      </c>
      <c r="H116">
        <f>SUMIF(Visits!E:E,'Summer Challenge'!A116,Visits!AK:AK)</f>
        <v>0</v>
      </c>
      <c r="J116" s="106"/>
      <c r="K116" s="106">
        <f t="shared" si="4"/>
        <v>0</v>
      </c>
      <c r="L116" s="4">
        <f>SUMIF(Visits!E:E,'Summer Challenge'!A116,Visits!AL:AL)</f>
        <v>0</v>
      </c>
      <c r="M116" s="4">
        <f t="shared" si="5"/>
        <v>0</v>
      </c>
      <c r="N116" s="4"/>
      <c r="O116" t="s">
        <v>201</v>
      </c>
      <c r="P116" t="s">
        <v>202</v>
      </c>
      <c r="Q116" t="str">
        <f>IF(SUM('User Engagement'!G97:H97)&gt;=0,"YES", "NO")</f>
        <v>YES</v>
      </c>
      <c r="S116" s="2" t="str">
        <f t="shared" si="6"/>
        <v>👨🏼‍🤝‍👨🏽 0 new friends
🖼️ 0 exhibitions
🕑 0 hours of art experiences</v>
      </c>
    </row>
    <row r="117" spans="1:20" ht="272.10000000000002">
      <c r="A117" t="str">
        <f>Users!A96</f>
        <v>wil_akanno@hotmail.com</v>
      </c>
      <c r="B117" s="66" t="str">
        <f>Users!D96</f>
        <v>07931 309501</v>
      </c>
      <c r="C117" s="23" t="str">
        <f>VLOOKUP(A117,Users!A:D,2,FALSE)</f>
        <v>Wil</v>
      </c>
      <c r="D117" s="23" t="str">
        <f>VLOOKUP(A117,Users!A:D,3,FALSE)</f>
        <v>Akanno</v>
      </c>
      <c r="E117" s="99">
        <f>COUNTIF(Visits!AJ:AJ,'Summer Challenge'!A225)</f>
        <v>0</v>
      </c>
      <c r="G117" cm="1">
        <f t="array" ref="G117">SUM(--(FREQUENCY(IF(Visits!E:E='Summer Challenge'!A117,Visits!AK:AK),Visits!AK:AK)&gt;0))</f>
        <v>1</v>
      </c>
      <c r="H117">
        <f>SUMIF(Visits!E:E,'Summer Challenge'!A117,Visits!AK:AK)</f>
        <v>1</v>
      </c>
      <c r="J117" s="106"/>
      <c r="K117" s="106">
        <f t="shared" si="4"/>
        <v>5</v>
      </c>
      <c r="L117" s="4">
        <f>SUMIF(Visits!E:E,'Summer Challenge'!A117,Visits!AL:AL)</f>
        <v>1</v>
      </c>
      <c r="M117" s="4">
        <f t="shared" si="5"/>
        <v>4</v>
      </c>
      <c r="N117" s="4"/>
      <c r="O117" t="s">
        <v>202</v>
      </c>
      <c r="P117" t="s">
        <v>202</v>
      </c>
      <c r="Q117" t="str">
        <f>IF(SUM('User Engagement'!G98:H98)&gt;=0,"YES", "NO")</f>
        <v>YES</v>
      </c>
      <c r="S117" s="2" t="str">
        <f t="shared" ref="S117:S119" si="14">"Hello "&amp;C117&amp;"! Here is your progress in the *Summer Quest* so far.
👨🏼‍🤝‍👨🏽 *"&amp;K117&amp;"* new friends
🖼️ *"&amp;L117&amp;"* exhibitions
🕑 *"&amp;M117&amp;"* hours of art experiences
Dive deeper into the Guilds and Journeys. Find your next experience bit.ly/3MfEXat
We’re excited to see your adventures unfold over the next 4 weeks! 🚀
Share your journey with pride and don't forget to tag @nimi_collective."</f>
        <v>Hello Wil! Here is your progress in the *Summer Quest* so far.
👨🏼‍🤝‍👨🏽 *5* new friends
🖼️ *1* exhibitions
🕑 *4* hours of art experiences
Dive deeper into the Guilds and Journeys. Find your next experience bit.ly/3MfEXat
We’re excited to see your adventures unfold over the next 4 weeks! 🚀
Share your journey with pride and don't forget to tag @nimi_collective.</v>
      </c>
      <c r="T117" t="s">
        <v>203</v>
      </c>
    </row>
    <row r="118" spans="1:20" ht="272.10000000000002">
      <c r="A118" t="str">
        <f>Users!A97</f>
        <v>win.man@icloud.com</v>
      </c>
      <c r="B118" s="66" t="str">
        <f>Users!D97</f>
        <v>07896634620</v>
      </c>
      <c r="C118" s="23" t="str">
        <f>VLOOKUP(A118,Users!A:D,2,FALSE)</f>
        <v>Win</v>
      </c>
      <c r="D118" s="23" t="str">
        <f>VLOOKUP(A118,Users!A:D,3,FALSE)</f>
        <v>Man</v>
      </c>
      <c r="E118" s="99">
        <f>COUNTIF(Visits!AJ:AJ,'Summer Challenge'!A226)</f>
        <v>0</v>
      </c>
      <c r="G118" cm="1">
        <f t="array" ref="G118">SUM(--(FREQUENCY(IF(Visits!E:E='Summer Challenge'!A118,Visits!AK:AK),Visits!AK:AK)&gt;0))</f>
        <v>1</v>
      </c>
      <c r="H118">
        <f>SUMIF(Visits!E:E,'Summer Challenge'!A118,Visits!AK:AK)</f>
        <v>1</v>
      </c>
      <c r="J118" s="106"/>
      <c r="K118" s="106">
        <f t="shared" si="4"/>
        <v>5</v>
      </c>
      <c r="L118" s="4">
        <f>SUMIF(Visits!E:E,'Summer Challenge'!A118,Visits!AL:AL)</f>
        <v>1</v>
      </c>
      <c r="M118" s="4">
        <f t="shared" si="5"/>
        <v>4</v>
      </c>
      <c r="N118" s="4"/>
      <c r="O118" t="s">
        <v>202</v>
      </c>
      <c r="P118" t="s">
        <v>202</v>
      </c>
      <c r="Q118" t="str">
        <f>IF(SUM('User Engagement'!G99:H99)&gt;=0,"YES", "NO")</f>
        <v>YES</v>
      </c>
      <c r="S118" s="2" t="str">
        <f t="shared" si="14"/>
        <v>Hello Win! Here is your progress in the *Summer Quest* so far.
👨🏼‍🤝‍👨🏽 *5* new friends
🖼️ *1* exhibitions
🕑 *4* hours of art experiences
Dive deeper into the Guilds and Journeys. Find your next experience bit.ly/3MfEXat
We’re excited to see your adventures unfold over the next 4 weeks! 🚀
Share your journey with pride and don't forget to tag @nimi_collective.</v>
      </c>
      <c r="T118" t="s">
        <v>203</v>
      </c>
    </row>
    <row r="119" spans="1:20" ht="272.10000000000002">
      <c r="A119" t="str">
        <f>Users!A112</f>
        <v>win_man45@hotmail.com</v>
      </c>
      <c r="C119" s="23" t="str">
        <f>VLOOKUP(A119,Users!A:D,2,FALSE)</f>
        <v>win</v>
      </c>
      <c r="D119" s="23" t="str">
        <f>VLOOKUP(A119,Users!A:D,3,FALSE)</f>
        <v>man</v>
      </c>
      <c r="E119" s="99">
        <f>COUNTIF(Visits!AJ:AJ,'Summer Challenge'!A227)</f>
        <v>0</v>
      </c>
      <c r="G119" cm="1">
        <f t="array" ref="G119">SUM(--(FREQUENCY(IF(Visits!E:E='Summer Challenge'!A119,Visits!AK:AK),Visits!AK:AK)&gt;0))</f>
        <v>1</v>
      </c>
      <c r="H119">
        <f>SUMIF(Visits!E:E,'Summer Challenge'!A119,Visits!AK:AK)</f>
        <v>2</v>
      </c>
      <c r="J119" s="106"/>
      <c r="K119" s="106">
        <f t="shared" si="4"/>
        <v>10</v>
      </c>
      <c r="L119" s="4">
        <f>SUMIF(Visits!E:E,'Summer Challenge'!A119,Visits!AL:AL)</f>
        <v>2</v>
      </c>
      <c r="M119" s="4">
        <f t="shared" si="5"/>
        <v>8</v>
      </c>
      <c r="N119" s="4"/>
      <c r="O119" t="s">
        <v>201</v>
      </c>
      <c r="P119" t="s">
        <v>202</v>
      </c>
      <c r="Q119" t="str">
        <f>IF(SUM('User Engagement'!G114:H114)&gt;=0,"YES", "NO")</f>
        <v>YES</v>
      </c>
      <c r="S119" s="2" t="str">
        <f t="shared" si="14"/>
        <v>Hello win! Here is your progress in the *Summer Quest* so far.
👨🏼‍🤝‍👨🏽 *10* new friends
🖼️ *2* exhibitions
🕑 *8* hours of art experiences
Dive deeper into the Guilds and Journeys. Find your next experience bit.ly/3MfEXat
We’re excited to see your adventures unfold over the next 4 weeks! 🚀
Share your journey with pride and don't forget to tag @nimi_collective.</v>
      </c>
      <c r="T119" t="s">
        <v>203</v>
      </c>
    </row>
    <row r="120" spans="1:20" ht="51">
      <c r="A120" t="str">
        <f>Users!A98</f>
        <v>yyasemin.mermer@gmail.com</v>
      </c>
      <c r="B120" s="66" t="str">
        <f>Users!D98</f>
        <v>07824492343</v>
      </c>
      <c r="C120" s="23" t="str">
        <f>VLOOKUP(A120,Users!A:D,2,FALSE)</f>
        <v>Yasemin</v>
      </c>
      <c r="D120" s="23" t="str">
        <f>VLOOKUP(A120,Users!A:D,3,FALSE)</f>
        <v>Mermer</v>
      </c>
      <c r="E120" s="99">
        <f>COUNTIF(Visits!AJ:AJ,'Summer Challenge'!A228)</f>
        <v>0</v>
      </c>
      <c r="G120" cm="1">
        <f t="array" ref="G120">SUM(--(FREQUENCY(IF(Visits!E:E='Summer Challenge'!A120,Visits!AK:AK),Visits!AK:AK)&gt;0))</f>
        <v>1</v>
      </c>
      <c r="H120">
        <f>SUMIF(Visits!E:E,'Summer Challenge'!A120,Visits!AK:AK)</f>
        <v>0</v>
      </c>
      <c r="J120" s="106"/>
      <c r="K120" s="106">
        <f t="shared" si="4"/>
        <v>0</v>
      </c>
      <c r="L120" s="4">
        <f>SUMIF(Visits!E:E,'Summer Challenge'!A120,Visits!AL:AL)</f>
        <v>0</v>
      </c>
      <c r="M120" s="4">
        <f t="shared" si="5"/>
        <v>0</v>
      </c>
      <c r="N120" s="4"/>
      <c r="O120" t="s">
        <v>201</v>
      </c>
      <c r="P120" t="s">
        <v>202</v>
      </c>
      <c r="Q120" t="str">
        <f>IF(SUM('User Engagement'!G100:H100)&gt;=0,"YES", "NO")</f>
        <v>YES</v>
      </c>
      <c r="S120" s="2" t="str">
        <f t="shared" si="6"/>
        <v>👨🏼‍🤝‍👨🏽 0 new friends
🖼️ 0 exhibitions
🕑 0 hours of art experiences</v>
      </c>
    </row>
    <row r="121" spans="1:20" ht="272.10000000000002">
      <c r="A121" t="str">
        <f>Users!A99</f>
        <v>yskinoue0127@gmail.com</v>
      </c>
      <c r="B121" s="66" t="str">
        <f>Users!D99</f>
        <v>+44 7789 411814</v>
      </c>
      <c r="C121" s="23" t="str">
        <f>VLOOKUP(A121,Users!A:D,2,FALSE)</f>
        <v>Yusuke</v>
      </c>
      <c r="D121" s="23" t="str">
        <f>VLOOKUP(A121,Users!A:D,3,FALSE)</f>
        <v>Inoue</v>
      </c>
      <c r="E121" s="99">
        <f>COUNTIF(Visits!AJ:AJ,'Summer Challenge'!A229)</f>
        <v>0</v>
      </c>
      <c r="G121" cm="1">
        <f t="array" ref="G121">SUM(--(FREQUENCY(IF(Visits!E:E='Summer Challenge'!A121,Visits!AK:AK),Visits!AK:AK)&gt;0))</f>
        <v>2</v>
      </c>
      <c r="H121">
        <f>SUMIF(Visits!E:E,'Summer Challenge'!A121,Visits!AK:AK)</f>
        <v>3</v>
      </c>
      <c r="J121" s="106"/>
      <c r="K121" s="106">
        <f t="shared" si="4"/>
        <v>15</v>
      </c>
      <c r="L121" s="4">
        <f>SUMIF(Visits!E:E,'Summer Challenge'!A121,Visits!AL:AL)</f>
        <v>3</v>
      </c>
      <c r="M121" s="4">
        <f t="shared" si="5"/>
        <v>12</v>
      </c>
      <c r="N121" s="4"/>
      <c r="O121" t="s">
        <v>202</v>
      </c>
      <c r="P121" t="s">
        <v>202</v>
      </c>
      <c r="Q121" t="str">
        <f>IF(SUM('User Engagement'!G101:H101)&gt;=0,"YES", "NO")</f>
        <v>YES</v>
      </c>
      <c r="S121" s="2" t="str">
        <f t="shared" ref="S121:S122" si="15">"Hello "&amp;C121&amp;"! Here is your progress in the *Summer Quest* so far.
👨🏼‍🤝‍👨🏽 *"&amp;K121&amp;"* new friends
🖼️ *"&amp;L121&amp;"* exhibitions
🕑 *"&amp;M121&amp;"* hours of art experiences
Dive deeper into the Guilds and Journeys. Find your next experience bit.ly/3MfEXat
We’re excited to see your adventures unfold over the next 4 weeks! 🚀
Share your journey with pride and don't forget to tag @nimi_collective."</f>
        <v>Hello Yusuke! Here is your progress in the *Summer Quest* so far.
👨🏼‍🤝‍👨🏽 *15* new friends
🖼️ *3* exhibitions
🕑 *12* hours of art experiences
Dive deeper into the Guilds and Journeys. Find your next experience bit.ly/3MfEXat
We’re excited to see your adventures unfold over the next 4 weeks! 🚀
Share your journey with pride and don't forget to tag @nimi_collective.</v>
      </c>
      <c r="T121" t="s">
        <v>203</v>
      </c>
    </row>
    <row r="122" spans="1:20" ht="272.10000000000002">
      <c r="A122" t="str">
        <f>Users!A104</f>
        <v>kezheneva@gmail.com</v>
      </c>
      <c r="B122" s="98"/>
      <c r="C122" s="23" t="str">
        <f>VLOOKUP(A122,Users!A:D,2,FALSE)</f>
        <v>Zauresh</v>
      </c>
      <c r="D122" s="23" t="str">
        <f>VLOOKUP(A122,Users!A:D,3,FALSE)</f>
        <v>Kezheneva</v>
      </c>
      <c r="E122" s="99">
        <f>COUNTIF(Visits!AJ:AJ,'Summer Challenge'!A230)</f>
        <v>0</v>
      </c>
      <c r="G122" cm="1">
        <f t="array" ref="G122">SUM(--(FREQUENCY(IF(Visits!E:E='Summer Challenge'!A122,Visits!AK:AK),Visits!AK:AK)&gt;0))</f>
        <v>1</v>
      </c>
      <c r="H122">
        <f>SUMIF(Visits!E:E,'Summer Challenge'!A122,Visits!AK:AK)</f>
        <v>1</v>
      </c>
      <c r="J122" s="106"/>
      <c r="K122" s="106">
        <f t="shared" si="4"/>
        <v>5</v>
      </c>
      <c r="L122" s="4">
        <f>SUMIF(Visits!E:E,'Summer Challenge'!A122,Visits!AL:AL)</f>
        <v>1</v>
      </c>
      <c r="M122" s="4">
        <f t="shared" si="5"/>
        <v>4</v>
      </c>
      <c r="N122" s="4"/>
      <c r="O122" t="s">
        <v>201</v>
      </c>
      <c r="P122" s="98" t="s">
        <v>202</v>
      </c>
      <c r="Q122" t="str">
        <f>IF(SUM('User Engagement'!G106:H106)&gt;=0,"YES", "NO")</f>
        <v>YES</v>
      </c>
      <c r="R122" s="98"/>
      <c r="S122" s="2" t="str">
        <f t="shared" si="15"/>
        <v>Hello Zauresh! Here is your progress in the *Summer Quest* so far.
👨🏼‍🤝‍👨🏽 *5* new friends
🖼️ *1* exhibitions
🕑 *4* hours of art experiences
Dive deeper into the Guilds and Journeys. Find your next experience bit.ly/3MfEXat
We’re excited to see your adventures unfold over the next 4 weeks! 🚀
Share your journey with pride and don't forget to tag @nimi_collective.</v>
      </c>
      <c r="T122" t="s">
        <v>203</v>
      </c>
    </row>
    <row r="123" spans="1:20" ht="51">
      <c r="A123" t="str">
        <f>Users!A100</f>
        <v>zinab.rama@gmail.com</v>
      </c>
      <c r="B123" s="66" t="str">
        <f>Users!D100</f>
        <v>07398634749</v>
      </c>
      <c r="C123" s="23" t="str">
        <f>VLOOKUP(A123,Users!A:D,2,FALSE)</f>
        <v>Zinab</v>
      </c>
      <c r="D123" s="23" t="str">
        <f>VLOOKUP(A123,Users!A:D,3,FALSE)</f>
        <v>Al Ramathany</v>
      </c>
      <c r="E123" s="99">
        <f>COUNTIF(Visits!AJ:AJ,'Summer Challenge'!A231)</f>
        <v>0</v>
      </c>
      <c r="G123" cm="1">
        <f t="array" ref="G123">SUM(--(FREQUENCY(IF(Visits!E:E='Summer Challenge'!A123,Visits!AK:AK),Visits!AK:AK)&gt;0))</f>
        <v>1</v>
      </c>
      <c r="H123">
        <f>SUMIF(Visits!E:E,'Summer Challenge'!A123,Visits!AK:AK)</f>
        <v>0</v>
      </c>
      <c r="J123" s="106"/>
      <c r="K123" s="106">
        <f t="shared" si="4"/>
        <v>0</v>
      </c>
      <c r="L123" s="4">
        <f>SUMIF(Visits!E:E,'Summer Challenge'!A123,Visits!AL:AL)</f>
        <v>0</v>
      </c>
      <c r="M123" s="4">
        <f t="shared" si="5"/>
        <v>0</v>
      </c>
      <c r="N123" s="4"/>
      <c r="O123" t="s">
        <v>201</v>
      </c>
      <c r="P123" t="s">
        <v>202</v>
      </c>
      <c r="Q123" t="str">
        <f>IF(SUM('User Engagement'!G102:H102)&gt;=0,"YES", "NO")</f>
        <v>YES</v>
      </c>
      <c r="S123" s="2" t="str">
        <f t="shared" si="6"/>
        <v>👨🏼‍🤝‍👨🏽 0 new friends
🖼️ 0 exhibitions
🕑 0 hours of art experiences</v>
      </c>
    </row>
    <row r="124" spans="1:20" ht="272.10000000000002">
      <c r="A124" t="str">
        <f>Users!A110</f>
        <v>chiharu.t.i@nifty.com</v>
      </c>
      <c r="C124" s="23" t="str">
        <f>VLOOKUP(A124,Users!A:D,2,FALSE)</f>
        <v>遊介</v>
      </c>
      <c r="D124" s="23" t="str">
        <f>VLOOKUP(A124,Users!A:D,3,FALSE)</f>
        <v>井上</v>
      </c>
      <c r="E124" s="99">
        <f>COUNTIF(Visits!AJ:AJ,'Summer Challenge'!A232)</f>
        <v>0</v>
      </c>
      <c r="G124" cm="1">
        <f t="array" ref="G124">SUM(--(FREQUENCY(IF(Visits!E:E='Summer Challenge'!A124,Visits!AK:AK),Visits!AK:AK)&gt;0))</f>
        <v>1</v>
      </c>
      <c r="H124">
        <f>SUMIF(Visits!E:E,'Summer Challenge'!A124,Visits!AK:AK)</f>
        <v>1</v>
      </c>
      <c r="J124" s="106"/>
      <c r="K124" s="106">
        <f t="shared" si="4"/>
        <v>5</v>
      </c>
      <c r="L124" s="4">
        <f>SUMIF(Visits!E:E,'Summer Challenge'!A124,Visits!AL:AL)</f>
        <v>1</v>
      </c>
      <c r="M124" s="4">
        <f t="shared" si="5"/>
        <v>4</v>
      </c>
      <c r="N124" s="4"/>
      <c r="O124" t="s">
        <v>201</v>
      </c>
      <c r="P124" t="s">
        <v>202</v>
      </c>
      <c r="Q124" t="str">
        <f>IF(SUM('User Engagement'!G112:H112)&gt;=0,"YES", "NO")</f>
        <v>YES</v>
      </c>
      <c r="S124" s="2" t="str">
        <f>"Hello "&amp;C124&amp;"! Here is your progress in the *Summer Quest* so far.
👨🏼‍🤝‍👨🏽 *"&amp;K124&amp;"* new friends
🖼️ *"&amp;L124&amp;"* exhibitions
🕑 *"&amp;M124&amp;"* hours of art experiences
Dive deeper into the Guilds and Journeys. Find your next experience bit.ly/3MfEXat
We’re excited to see your adventures unfold over the next 4 weeks! 🚀
Share your journey with pride and don't forget to tag @nimi_collective."</f>
        <v>Hello 遊介! Here is your progress in the *Summer Quest* so far.
👨🏼‍🤝‍👨🏽 *5* new friends
🖼️ *1* exhibitions
🕑 *4* hours of art experiences
Dive deeper into the Guilds and Journeys. Find your next experience bit.ly/3MfEXat
We’re excited to see your adventures unfold over the next 4 weeks! 🚀
Share your journey with pride and don't forget to tag @nimi_collective.</v>
      </c>
    </row>
    <row r="125" spans="1:20" ht="51">
      <c r="A125">
        <f>Users!A4</f>
        <v>0</v>
      </c>
      <c r="B125" s="66" t="str">
        <f>Users!D4</f>
        <v>+447949567643</v>
      </c>
      <c r="C125" s="23" t="e">
        <f>VLOOKUP(A125,Users!A:D,2,FALSE)</f>
        <v>#N/A</v>
      </c>
      <c r="D125" s="23" t="e">
        <f>VLOOKUP(A125,Users!A:D,3,FALSE)</f>
        <v>#N/A</v>
      </c>
      <c r="E125" s="99">
        <f>COUNTIF(Visits!AJ:AJ,'Summer Challenge'!A233)</f>
        <v>0</v>
      </c>
      <c r="G125" t="e" cm="1">
        <f t="array" ref="G125">SUM(--(FREQUENCY(IF(Visits!E:E='Summer Challenge'!A125,Visits!AK:AK),Visits!AK:AK)&gt;0))</f>
        <v>#N/A</v>
      </c>
      <c r="H125">
        <f>SUMIF(Visits!E:E,'Summer Challenge'!A125,Visits!AK:AK)</f>
        <v>0</v>
      </c>
      <c r="J125" s="106"/>
      <c r="K125" s="106">
        <f t="shared" si="4"/>
        <v>0</v>
      </c>
      <c r="L125" s="4">
        <f>SUMIF(Visits!E:E,'Summer Challenge'!A125,Visits!AL:AL)</f>
        <v>0</v>
      </c>
      <c r="M125" s="4">
        <f t="shared" si="5"/>
        <v>0</v>
      </c>
      <c r="N125" s="4"/>
      <c r="O125" t="s">
        <v>201</v>
      </c>
      <c r="P125" t="s">
        <v>202</v>
      </c>
      <c r="Q125" t="str">
        <f>IF(SUM('User Engagement'!G6:H6)&gt;=0,"YES", "NO")</f>
        <v>YES</v>
      </c>
      <c r="S125" s="2" t="str">
        <f t="shared" si="6"/>
        <v>👨🏼‍🤝‍👨🏽 0 new friends
🖼️ 0 exhibitions
🕑 0 hours of art experiences</v>
      </c>
    </row>
    <row r="126" spans="1:20" ht="51">
      <c r="A126">
        <f>Users!A41</f>
        <v>0</v>
      </c>
      <c r="B126" s="66" t="str">
        <f>Users!D41</f>
        <v>+44 7365 408208</v>
      </c>
      <c r="C126" s="23" t="e">
        <f>VLOOKUP(A126,Users!A:D,2,FALSE)</f>
        <v>#N/A</v>
      </c>
      <c r="D126" s="23" t="e">
        <f>VLOOKUP(A126,Users!A:D,3,FALSE)</f>
        <v>#N/A</v>
      </c>
      <c r="E126" s="99">
        <f>COUNTIF(Visits!AJ:AJ,'Summer Challenge'!A234)</f>
        <v>0</v>
      </c>
      <c r="G126" t="e" cm="1">
        <f t="array" ref="G126">SUM(--(FREQUENCY(IF(Visits!E:E='Summer Challenge'!A126,Visits!AK:AK),Visits!AK:AK)&gt;0))</f>
        <v>#N/A</v>
      </c>
      <c r="H126">
        <f>SUMIF(Visits!E:E,'Summer Challenge'!A126,Visits!AK:AK)</f>
        <v>0</v>
      </c>
      <c r="J126" s="106"/>
      <c r="K126" s="106">
        <f t="shared" si="4"/>
        <v>0</v>
      </c>
      <c r="L126" s="4">
        <f>SUMIF(Visits!E:E,'Summer Challenge'!A126,Visits!AL:AL)</f>
        <v>0</v>
      </c>
      <c r="M126" s="4">
        <f t="shared" si="5"/>
        <v>0</v>
      </c>
      <c r="N126" s="4"/>
      <c r="O126" t="s">
        <v>201</v>
      </c>
      <c r="P126" t="s">
        <v>202</v>
      </c>
      <c r="Q126" t="str">
        <f>IF(SUM('User Engagement'!G43:H43)&gt;=0,"YES", "NO")</f>
        <v>YES</v>
      </c>
      <c r="S126" s="2" t="str">
        <f t="shared" si="6"/>
        <v>👨🏼‍🤝‍👨🏽 0 new friends
🖼️ 0 exhibitions
🕑 0 hours of art experiences</v>
      </c>
    </row>
    <row r="127" spans="1:20" ht="51">
      <c r="A127" t="str">
        <f>Users!A125</f>
        <v>Lesslyt@gmail.com</v>
      </c>
      <c r="C127" s="23" t="str">
        <f>VLOOKUP(A127,Users!A:D,2,FALSE)</f>
        <v>Lessly</v>
      </c>
      <c r="D127" s="23" t="str">
        <f>VLOOKUP(A127,Users!A:D,3,FALSE)</f>
        <v>T</v>
      </c>
      <c r="E127" s="99">
        <f>COUNTIF(Visits!AJ:AJ,'Summer Challenge'!A235)</f>
        <v>0</v>
      </c>
      <c r="G127" cm="1">
        <f t="array" ref="G127">SUM(--(FREQUENCY(IF(Visits!E:E='Summer Challenge'!A127,Visits!AK:AK),Visits!AK:AK)&gt;0))</f>
        <v>1</v>
      </c>
      <c r="H127">
        <f>SUMIF(Visits!E:E,'Summer Challenge'!A127,Visits!AK:AK)</f>
        <v>1</v>
      </c>
      <c r="J127" s="106"/>
      <c r="K127" s="106">
        <f t="shared" si="4"/>
        <v>5</v>
      </c>
      <c r="L127" s="4">
        <f>SUMIF(Visits!E:E,'Summer Challenge'!A127,Visits!AL:AL)</f>
        <v>1</v>
      </c>
      <c r="M127" s="4">
        <f t="shared" si="5"/>
        <v>4</v>
      </c>
      <c r="N127" s="4"/>
      <c r="O127" t="s">
        <v>201</v>
      </c>
      <c r="P127" t="s">
        <v>202</v>
      </c>
      <c r="Q127" t="str">
        <f>IF(SUM('User Engagement'!G128:H128)&gt;=0,"YES", "NO")</f>
        <v>YES</v>
      </c>
      <c r="S127" s="2" t="str">
        <f t="shared" si="6"/>
        <v>👨🏼‍🤝‍👨🏽 5 new friends
🖼️ 1 exhibitions
🕑 4 hours of art experiences</v>
      </c>
    </row>
    <row r="128" spans="1:20" ht="51">
      <c r="A128" t="str">
        <f>Users!A126</f>
        <v>chavezliliana@gmail.com</v>
      </c>
      <c r="C128" s="23" t="str">
        <f>VLOOKUP(A128,Users!A:D,2,FALSE)</f>
        <v>Liliana</v>
      </c>
      <c r="D128" s="23" t="str">
        <f>VLOOKUP(A128,Users!A:D,3,FALSE)</f>
        <v>Chavez</v>
      </c>
      <c r="E128" s="99">
        <f>COUNTIF(Visits!AJ:AJ,'Summer Challenge'!A236)</f>
        <v>0</v>
      </c>
      <c r="G128" cm="1">
        <f t="array" ref="G128">SUM(--(FREQUENCY(IF(Visits!E:E='Summer Challenge'!A128,Visits!AK:AK),Visits!AK:AK)&gt;0))</f>
        <v>1</v>
      </c>
      <c r="H128">
        <f>SUMIF(Visits!E:E,'Summer Challenge'!A128,Visits!AK:AK)</f>
        <v>1</v>
      </c>
      <c r="J128" s="106"/>
      <c r="K128" s="106">
        <f t="shared" si="4"/>
        <v>5</v>
      </c>
      <c r="L128" s="4">
        <f>SUMIF(Visits!E:E,'Summer Challenge'!A128,Visits!AL:AL)</f>
        <v>1</v>
      </c>
      <c r="M128" s="4">
        <f t="shared" si="5"/>
        <v>4</v>
      </c>
      <c r="N128" s="4"/>
      <c r="O128" t="s">
        <v>201</v>
      </c>
      <c r="P128" t="s">
        <v>202</v>
      </c>
      <c r="Q128" t="str">
        <f>IF(SUM('User Engagement'!G129:H129)&gt;=0,"YES", "NO")</f>
        <v>YES</v>
      </c>
      <c r="S128" s="2" t="str">
        <f t="shared" si="6"/>
        <v>👨🏼‍🤝‍👨🏽 5 new friends
🖼️ 1 exhibitions
🕑 4 hours of art experiences</v>
      </c>
    </row>
    <row r="129" spans="1:19" ht="51">
      <c r="A129" t="str">
        <f>Users!A127</f>
        <v>visitor-jay</v>
      </c>
      <c r="C129" s="23" t="str">
        <f>VLOOKUP(A129,Users!A:D,2,FALSE)</f>
        <v>Jay</v>
      </c>
      <c r="D129" s="23">
        <f>VLOOKUP(A129,Users!A:D,3,FALSE)</f>
        <v>0</v>
      </c>
      <c r="E129" s="99">
        <f>COUNTIF(Visits!AJ:AJ,'Summer Challenge'!A237)</f>
        <v>0</v>
      </c>
      <c r="G129" cm="1">
        <f t="array" ref="G129">SUM(--(FREQUENCY(IF(Visits!E:E='Summer Challenge'!A129,Visits!AK:AK),Visits!AK:AK)&gt;0))</f>
        <v>1</v>
      </c>
      <c r="H129">
        <f>SUMIF(Visits!E:E,'Summer Challenge'!A129,Visits!AK:AK)</f>
        <v>2</v>
      </c>
      <c r="J129" s="106"/>
      <c r="K129" s="106">
        <f t="shared" si="4"/>
        <v>5</v>
      </c>
      <c r="L129" s="4">
        <f>SUMIF(Visits!E:E,'Summer Challenge'!A129,Visits!AL:AL)</f>
        <v>1</v>
      </c>
      <c r="M129" s="4">
        <f t="shared" si="5"/>
        <v>4</v>
      </c>
      <c r="N129" s="4"/>
      <c r="O129" t="s">
        <v>201</v>
      </c>
      <c r="P129" t="s">
        <v>202</v>
      </c>
      <c r="Q129" t="str">
        <f>IF(SUM('User Engagement'!G130:H130)&gt;=0,"YES", "NO")</f>
        <v>YES</v>
      </c>
      <c r="S129" s="2" t="str">
        <f t="shared" si="6"/>
        <v>👨🏼‍🤝‍👨🏽 5 new friends
🖼️ 1 exhibitions
🕑 4 hours of art experiences</v>
      </c>
    </row>
    <row r="130" spans="1:19" ht="51">
      <c r="A130" t="str">
        <f>Users!A128</f>
        <v>visitor-jay-sister</v>
      </c>
      <c r="C130" s="23">
        <f>VLOOKUP(A130,Users!A:D,2,FALSE)</f>
        <v>0</v>
      </c>
      <c r="D130" s="23">
        <f>VLOOKUP(A130,Users!A:D,3,FALSE)</f>
        <v>0</v>
      </c>
      <c r="E130" s="99">
        <f>COUNTIF(Visits!AJ:AJ,'Summer Challenge'!A238)</f>
        <v>0</v>
      </c>
      <c r="G130" cm="1">
        <f t="array" ref="G130">SUM(--(FREQUENCY(IF(Visits!E:E='Summer Challenge'!A130,Visits!AK:AK),Visits!AK:AK)&gt;0))</f>
        <v>1</v>
      </c>
      <c r="H130">
        <f>SUMIF(Visits!E:E,'Summer Challenge'!A130,Visits!AK:AK)</f>
        <v>2</v>
      </c>
      <c r="J130" s="106"/>
      <c r="K130" s="106">
        <f t="shared" si="4"/>
        <v>5</v>
      </c>
      <c r="L130" s="4">
        <f>SUMIF(Visits!E:E,'Summer Challenge'!A130,Visits!AL:AL)</f>
        <v>1</v>
      </c>
      <c r="M130" s="4">
        <f t="shared" si="5"/>
        <v>4</v>
      </c>
      <c r="N130" s="4"/>
      <c r="O130" t="s">
        <v>201</v>
      </c>
      <c r="P130" t="s">
        <v>202</v>
      </c>
      <c r="Q130" t="str">
        <f>IF(SUM('User Engagement'!G131:H131)&gt;=0,"YES", "NO")</f>
        <v>YES</v>
      </c>
      <c r="S130" s="2" t="str">
        <f t="shared" si="6"/>
        <v>👨🏼‍🤝‍👨🏽 5 new friends
🖼️ 1 exhibitions
🕑 4 hours of art experiences</v>
      </c>
    </row>
    <row r="131" spans="1:19" ht="51">
      <c r="A131" t="str">
        <f>Users!A129</f>
        <v>alisa-no-email</v>
      </c>
      <c r="C131" s="23" t="str">
        <f>VLOOKUP(A131,Users!A:D,2,FALSE)</f>
        <v>Alisa</v>
      </c>
      <c r="D131" s="23">
        <f>VLOOKUP(A131,Users!A:D,3,FALSE)</f>
        <v>0</v>
      </c>
      <c r="E131" s="99">
        <f>COUNTIF(Visits!AJ:AJ,'Summer Challenge'!A239)</f>
        <v>0</v>
      </c>
      <c r="G131" cm="1">
        <f t="array" ref="G131">SUM(--(FREQUENCY(IF(Visits!E:E='Summer Challenge'!A131,Visits!AK:AK),Visits!AK:AK)&gt;0))</f>
        <v>1</v>
      </c>
      <c r="H131">
        <f>SUMIF(Visits!E:E,'Summer Challenge'!A131,Visits!AK:AK)</f>
        <v>1</v>
      </c>
      <c r="J131" s="106"/>
      <c r="K131" s="106">
        <f t="shared" si="4"/>
        <v>5</v>
      </c>
      <c r="L131" s="4">
        <f>SUMIF(Visits!E:E,'Summer Challenge'!A131,Visits!AL:AL)</f>
        <v>1</v>
      </c>
      <c r="M131" s="4">
        <f t="shared" si="5"/>
        <v>4</v>
      </c>
      <c r="N131" s="4"/>
      <c r="O131" t="s">
        <v>201</v>
      </c>
      <c r="P131" t="s">
        <v>202</v>
      </c>
      <c r="Q131" t="str">
        <f>IF(SUM('User Engagement'!G132:H132)&gt;=0,"YES", "NO")</f>
        <v>YES</v>
      </c>
      <c r="S131" s="2" t="str">
        <f t="shared" si="6"/>
        <v>👨🏼‍🤝‍👨🏽 5 new friends
🖼️ 1 exhibitions
🕑 4 hours of art experiences</v>
      </c>
    </row>
    <row r="132" spans="1:19" ht="51">
      <c r="A132">
        <f>Users!A130</f>
        <v>0</v>
      </c>
      <c r="C132" s="23" t="e">
        <f>VLOOKUP(A132,Users!A:D,2,FALSE)</f>
        <v>#N/A</v>
      </c>
      <c r="D132" s="23" t="e">
        <f>VLOOKUP(A132,Users!A:D,3,FALSE)</f>
        <v>#N/A</v>
      </c>
      <c r="E132" s="99">
        <f>COUNTIF(Visits!AJ:AJ,'Summer Challenge'!A240)</f>
        <v>0</v>
      </c>
      <c r="G132" t="e" cm="1">
        <f t="array" ref="G132">SUM(--(FREQUENCY(IF(Visits!E:E='Summer Challenge'!A132,Visits!AK:AK),Visits!AK:AK)&gt;0))</f>
        <v>#N/A</v>
      </c>
      <c r="H132">
        <f>SUMIF(Visits!E:E,'Summer Challenge'!A132,Visits!AK:AK)</f>
        <v>0</v>
      </c>
      <c r="J132" s="106"/>
      <c r="K132" s="106">
        <f t="shared" si="4"/>
        <v>0</v>
      </c>
      <c r="L132" s="4">
        <f>SUMIF(Visits!E:E,'Summer Challenge'!A132,Visits!AL:AL)</f>
        <v>0</v>
      </c>
      <c r="M132" s="4">
        <f t="shared" si="5"/>
        <v>0</v>
      </c>
      <c r="N132" s="4"/>
      <c r="O132" t="s">
        <v>201</v>
      </c>
      <c r="P132" t="s">
        <v>202</v>
      </c>
      <c r="Q132" t="str">
        <f>IF(SUM('User Engagement'!G133:H133)&gt;=0,"YES", "NO")</f>
        <v>YES</v>
      </c>
      <c r="S132" s="2" t="str">
        <f t="shared" si="6"/>
        <v>👨🏼‍🤝‍👨🏽 0 new friends
🖼️ 0 exhibitions
🕑 0 hours of art experiences</v>
      </c>
    </row>
    <row r="133" spans="1:19" ht="51">
      <c r="A133">
        <f>Users!A131</f>
        <v>0</v>
      </c>
      <c r="C133" s="23" t="e">
        <f>VLOOKUP(A133,Users!A:D,2,FALSE)</f>
        <v>#N/A</v>
      </c>
      <c r="D133" s="23" t="e">
        <f>VLOOKUP(A133,Users!A:D,3,FALSE)</f>
        <v>#N/A</v>
      </c>
      <c r="E133" s="99">
        <f>COUNTIF(Visits!AJ:AJ,'Summer Challenge'!A241)</f>
        <v>0</v>
      </c>
      <c r="G133" t="e" cm="1">
        <f t="array" ref="G133">SUM(--(FREQUENCY(IF(Visits!E:E='Summer Challenge'!A133,Visits!AK:AK),Visits!AK:AK)&gt;0))</f>
        <v>#N/A</v>
      </c>
      <c r="H133">
        <f>SUMIF(Visits!E:E,'Summer Challenge'!A133,Visits!AK:AK)</f>
        <v>0</v>
      </c>
      <c r="J133" s="106"/>
      <c r="K133" s="106">
        <f t="shared" ref="K133:K196" si="16">L133*10/2</f>
        <v>0</v>
      </c>
      <c r="L133" s="4">
        <f>SUMIF(Visits!E:E,'Summer Challenge'!A133,Visits!AL:AL)</f>
        <v>0</v>
      </c>
      <c r="M133" s="4">
        <f t="shared" ref="M133:M196" si="17">L133*4</f>
        <v>0</v>
      </c>
      <c r="N133" s="4"/>
      <c r="O133" t="s">
        <v>201</v>
      </c>
      <c r="P133" t="s">
        <v>202</v>
      </c>
      <c r="Q133" t="str">
        <f>IF(SUM('User Engagement'!G134:H134)&gt;=0,"YES", "NO")</f>
        <v>YES</v>
      </c>
      <c r="S133" s="2" t="str">
        <f t="shared" si="6"/>
        <v>👨🏼‍🤝‍👨🏽 0 new friends
🖼️ 0 exhibitions
🕑 0 hours of art experiences</v>
      </c>
    </row>
    <row r="134" spans="1:19" ht="51">
      <c r="A134">
        <f>Users!A132</f>
        <v>0</v>
      </c>
      <c r="C134" s="23" t="e">
        <f>VLOOKUP(A134,Users!A:D,2,FALSE)</f>
        <v>#N/A</v>
      </c>
      <c r="D134" s="23" t="e">
        <f>VLOOKUP(A134,Users!A:D,3,FALSE)</f>
        <v>#N/A</v>
      </c>
      <c r="E134" s="99">
        <f>COUNTIF(Visits!AJ:AJ,'Summer Challenge'!A242)</f>
        <v>0</v>
      </c>
      <c r="G134" t="e" cm="1">
        <f t="array" ref="G134">SUM(--(FREQUENCY(IF(Visits!E:E='Summer Challenge'!A134,Visits!AK:AK),Visits!AK:AK)&gt;0))</f>
        <v>#N/A</v>
      </c>
      <c r="H134">
        <f>SUMIF(Visits!E:E,'Summer Challenge'!A134,Visits!AK:AK)</f>
        <v>0</v>
      </c>
      <c r="J134" s="106"/>
      <c r="K134" s="106">
        <f t="shared" si="16"/>
        <v>0</v>
      </c>
      <c r="L134" s="4">
        <f>SUMIF(Visits!E:E,'Summer Challenge'!A134,Visits!AL:AL)</f>
        <v>0</v>
      </c>
      <c r="M134" s="4">
        <f t="shared" si="17"/>
        <v>0</v>
      </c>
      <c r="N134" s="4"/>
      <c r="O134" t="s">
        <v>201</v>
      </c>
      <c r="P134" t="s">
        <v>202</v>
      </c>
      <c r="Q134" t="str">
        <f>IF(SUM('User Engagement'!G135:H135)&gt;=0,"YES", "NO")</f>
        <v>YES</v>
      </c>
      <c r="S134" s="2" t="str">
        <f t="shared" ref="S134:S197" si="18">"👨🏼‍🤝‍👨🏽 "&amp;K134&amp;" new friends
🖼️ "&amp;L134&amp;" exhibitions
🕑 "&amp;M134&amp;" hours of art experiences"</f>
        <v>👨🏼‍🤝‍👨🏽 0 new friends
🖼️ 0 exhibitions
🕑 0 hours of art experiences</v>
      </c>
    </row>
    <row r="135" spans="1:19" ht="51">
      <c r="A135">
        <f>Users!A133</f>
        <v>0</v>
      </c>
      <c r="C135" s="23" t="e">
        <f>VLOOKUP(A135,Users!A:D,2,FALSE)</f>
        <v>#N/A</v>
      </c>
      <c r="D135" s="23" t="e">
        <f>VLOOKUP(A135,Users!A:D,3,FALSE)</f>
        <v>#N/A</v>
      </c>
      <c r="E135" s="99">
        <f>COUNTIF(Visits!AJ:AJ,'Summer Challenge'!A243)</f>
        <v>0</v>
      </c>
      <c r="G135" t="e" cm="1">
        <f t="array" ref="G135">SUM(--(FREQUENCY(IF(Visits!E:E='Summer Challenge'!A135,Visits!AK:AK),Visits!AK:AK)&gt;0))</f>
        <v>#N/A</v>
      </c>
      <c r="H135">
        <f>SUMIF(Visits!E:E,'Summer Challenge'!A135,Visits!AK:AK)</f>
        <v>0</v>
      </c>
      <c r="J135" s="106"/>
      <c r="K135" s="106">
        <f t="shared" si="16"/>
        <v>0</v>
      </c>
      <c r="L135" s="4">
        <f>SUMIF(Visits!E:E,'Summer Challenge'!A135,Visits!AL:AL)</f>
        <v>0</v>
      </c>
      <c r="M135" s="4">
        <f t="shared" si="17"/>
        <v>0</v>
      </c>
      <c r="N135" s="4"/>
      <c r="O135" t="s">
        <v>201</v>
      </c>
      <c r="P135" t="s">
        <v>202</v>
      </c>
      <c r="Q135" t="str">
        <f>IF(SUM('User Engagement'!G136:H136)&gt;=0,"YES", "NO")</f>
        <v>YES</v>
      </c>
      <c r="S135" s="2" t="str">
        <f t="shared" si="18"/>
        <v>👨🏼‍🤝‍👨🏽 0 new friends
🖼️ 0 exhibitions
🕑 0 hours of art experiences</v>
      </c>
    </row>
    <row r="136" spans="1:19" ht="51">
      <c r="A136">
        <f>Users!A134</f>
        <v>0</v>
      </c>
      <c r="C136" s="23" t="e">
        <f>VLOOKUP(A136,Users!A:D,2,FALSE)</f>
        <v>#N/A</v>
      </c>
      <c r="D136" s="23" t="e">
        <f>VLOOKUP(A136,Users!A:D,3,FALSE)</f>
        <v>#N/A</v>
      </c>
      <c r="E136" s="99">
        <f>COUNTIF(Visits!AJ:AJ,'Summer Challenge'!A244)</f>
        <v>0</v>
      </c>
      <c r="G136" t="e" cm="1">
        <f t="array" ref="G136">SUM(--(FREQUENCY(IF(Visits!E:E='Summer Challenge'!A136,Visits!AK:AK),Visits!AK:AK)&gt;0))</f>
        <v>#N/A</v>
      </c>
      <c r="H136">
        <f>SUMIF(Visits!E:E,'Summer Challenge'!A136,Visits!AK:AK)</f>
        <v>0</v>
      </c>
      <c r="J136" s="106"/>
      <c r="K136" s="106">
        <f t="shared" si="16"/>
        <v>0</v>
      </c>
      <c r="L136" s="4">
        <f>SUMIF(Visits!E:E,'Summer Challenge'!A136,Visits!AL:AL)</f>
        <v>0</v>
      </c>
      <c r="M136" s="4">
        <f t="shared" si="17"/>
        <v>0</v>
      </c>
      <c r="N136" s="4"/>
      <c r="O136" t="s">
        <v>201</v>
      </c>
      <c r="P136" t="s">
        <v>202</v>
      </c>
      <c r="Q136" t="str">
        <f>IF(SUM('User Engagement'!G137:H137)&gt;=0,"YES", "NO")</f>
        <v>YES</v>
      </c>
      <c r="S136" s="2" t="str">
        <f t="shared" si="18"/>
        <v>👨🏼‍🤝‍👨🏽 0 new friends
🖼️ 0 exhibitions
🕑 0 hours of art experiences</v>
      </c>
    </row>
    <row r="137" spans="1:19" ht="51">
      <c r="A137">
        <f>Users!A135</f>
        <v>0</v>
      </c>
      <c r="C137" s="23" t="e">
        <f>VLOOKUP(A137,Users!A:D,2,FALSE)</f>
        <v>#N/A</v>
      </c>
      <c r="D137" s="23" t="e">
        <f>VLOOKUP(A137,Users!A:D,3,FALSE)</f>
        <v>#N/A</v>
      </c>
      <c r="E137" s="99">
        <f>COUNTIF(Visits!AJ:AJ,'Summer Challenge'!A245)</f>
        <v>0</v>
      </c>
      <c r="G137" t="e" cm="1">
        <f t="array" ref="G137">SUM(--(FREQUENCY(IF(Visits!E:E='Summer Challenge'!A137,Visits!AK:AK),Visits!AK:AK)&gt;0))</f>
        <v>#N/A</v>
      </c>
      <c r="H137">
        <f>SUMIF(Visits!E:E,'Summer Challenge'!A137,Visits!AK:AK)</f>
        <v>0</v>
      </c>
      <c r="J137" s="106"/>
      <c r="K137" s="106">
        <f t="shared" si="16"/>
        <v>0</v>
      </c>
      <c r="L137" s="4">
        <f>SUMIF(Visits!E:E,'Summer Challenge'!A137,Visits!AL:AL)</f>
        <v>0</v>
      </c>
      <c r="M137" s="4">
        <f t="shared" si="17"/>
        <v>0</v>
      </c>
      <c r="N137" s="4"/>
      <c r="O137" t="s">
        <v>201</v>
      </c>
      <c r="P137" t="s">
        <v>202</v>
      </c>
      <c r="Q137" t="str">
        <f>IF(SUM('User Engagement'!G138:H138)&gt;=0,"YES", "NO")</f>
        <v>YES</v>
      </c>
      <c r="S137" s="2" t="str">
        <f t="shared" si="18"/>
        <v>👨🏼‍🤝‍👨🏽 0 new friends
🖼️ 0 exhibitions
🕑 0 hours of art experiences</v>
      </c>
    </row>
    <row r="138" spans="1:19" ht="51">
      <c r="A138">
        <f>Users!A136</f>
        <v>0</v>
      </c>
      <c r="C138" s="23" t="e">
        <f>VLOOKUP(A138,Users!A:D,2,FALSE)</f>
        <v>#N/A</v>
      </c>
      <c r="D138" s="23" t="e">
        <f>VLOOKUP(A138,Users!A:D,3,FALSE)</f>
        <v>#N/A</v>
      </c>
      <c r="E138" s="99">
        <f>COUNTIF(Visits!AJ:AJ,'Summer Challenge'!A246)</f>
        <v>0</v>
      </c>
      <c r="G138" t="e" cm="1">
        <f t="array" ref="G138">SUM(--(FREQUENCY(IF(Visits!E:E='Summer Challenge'!A138,Visits!AK:AK),Visits!AK:AK)&gt;0))</f>
        <v>#N/A</v>
      </c>
      <c r="H138">
        <f>SUMIF(Visits!E:E,'Summer Challenge'!A138,Visits!AK:AK)</f>
        <v>0</v>
      </c>
      <c r="J138" s="106"/>
      <c r="K138" s="106">
        <f t="shared" si="16"/>
        <v>0</v>
      </c>
      <c r="L138" s="4">
        <f>SUMIF(Visits!E:E,'Summer Challenge'!A138,Visits!AL:AL)</f>
        <v>0</v>
      </c>
      <c r="M138" s="4">
        <f t="shared" si="17"/>
        <v>0</v>
      </c>
      <c r="N138" s="4"/>
      <c r="O138" t="s">
        <v>201</v>
      </c>
      <c r="P138" t="s">
        <v>202</v>
      </c>
      <c r="Q138" t="str">
        <f>IF(SUM('User Engagement'!G139:H139)&gt;=0,"YES", "NO")</f>
        <v>YES</v>
      </c>
      <c r="S138" s="2" t="str">
        <f t="shared" si="18"/>
        <v>👨🏼‍🤝‍👨🏽 0 new friends
🖼️ 0 exhibitions
🕑 0 hours of art experiences</v>
      </c>
    </row>
    <row r="139" spans="1:19" ht="51">
      <c r="A139">
        <f>Users!A137</f>
        <v>0</v>
      </c>
      <c r="C139" s="23" t="e">
        <f>VLOOKUP(A139,Users!A:D,2,FALSE)</f>
        <v>#N/A</v>
      </c>
      <c r="D139" s="23" t="e">
        <f>VLOOKUP(A139,Users!A:D,3,FALSE)</f>
        <v>#N/A</v>
      </c>
      <c r="E139" s="99">
        <f>COUNTIF(Visits!AJ:AJ,'Summer Challenge'!A247)</f>
        <v>0</v>
      </c>
      <c r="G139" t="e" cm="1">
        <f t="array" ref="G139">SUM(--(FREQUENCY(IF(Visits!E:E='Summer Challenge'!A139,Visits!AK:AK),Visits!AK:AK)&gt;0))</f>
        <v>#N/A</v>
      </c>
      <c r="H139">
        <f>SUMIF(Visits!E:E,'Summer Challenge'!A139,Visits!AK:AK)</f>
        <v>0</v>
      </c>
      <c r="J139" s="106"/>
      <c r="K139" s="106">
        <f t="shared" si="16"/>
        <v>0</v>
      </c>
      <c r="L139" s="4">
        <f>SUMIF(Visits!E:E,'Summer Challenge'!A139,Visits!AL:AL)</f>
        <v>0</v>
      </c>
      <c r="M139" s="4">
        <f t="shared" si="17"/>
        <v>0</v>
      </c>
      <c r="N139" s="4"/>
      <c r="O139" t="s">
        <v>201</v>
      </c>
      <c r="P139" t="s">
        <v>202</v>
      </c>
      <c r="Q139" t="str">
        <f>IF(SUM('User Engagement'!G140:H140)&gt;=0,"YES", "NO")</f>
        <v>YES</v>
      </c>
      <c r="S139" s="2" t="str">
        <f t="shared" si="18"/>
        <v>👨🏼‍🤝‍👨🏽 0 new friends
🖼️ 0 exhibitions
🕑 0 hours of art experiences</v>
      </c>
    </row>
    <row r="140" spans="1:19" ht="51">
      <c r="A140">
        <f>Users!A138</f>
        <v>0</v>
      </c>
      <c r="C140" s="23" t="e">
        <f>VLOOKUP(A140,Users!A:D,2,FALSE)</f>
        <v>#N/A</v>
      </c>
      <c r="D140" s="23" t="e">
        <f>VLOOKUP(A140,Users!A:D,3,FALSE)</f>
        <v>#N/A</v>
      </c>
      <c r="E140" s="99">
        <f>COUNTIF(Visits!AJ:AJ,'Summer Challenge'!A248)</f>
        <v>0</v>
      </c>
      <c r="G140" t="e" cm="1">
        <f t="array" ref="G140">SUM(--(FREQUENCY(IF(Visits!E:E='Summer Challenge'!A140,Visits!AK:AK),Visits!AK:AK)&gt;0))</f>
        <v>#N/A</v>
      </c>
      <c r="H140">
        <f>SUMIF(Visits!E:E,'Summer Challenge'!A140,Visits!AK:AK)</f>
        <v>0</v>
      </c>
      <c r="J140" s="106"/>
      <c r="K140" s="106">
        <f t="shared" si="16"/>
        <v>0</v>
      </c>
      <c r="L140" s="4">
        <f>SUMIF(Visits!E:E,'Summer Challenge'!A140,Visits!AL:AL)</f>
        <v>0</v>
      </c>
      <c r="M140" s="4">
        <f t="shared" si="17"/>
        <v>0</v>
      </c>
      <c r="N140" s="4"/>
      <c r="O140" t="s">
        <v>201</v>
      </c>
      <c r="P140" t="s">
        <v>202</v>
      </c>
      <c r="Q140" t="str">
        <f>IF(SUM('User Engagement'!G141:H141)&gt;=0,"YES", "NO")</f>
        <v>YES</v>
      </c>
      <c r="S140" s="2" t="str">
        <f t="shared" si="18"/>
        <v>👨🏼‍🤝‍👨🏽 0 new friends
🖼️ 0 exhibitions
🕑 0 hours of art experiences</v>
      </c>
    </row>
    <row r="141" spans="1:19" ht="51">
      <c r="A141">
        <f>Users!A139</f>
        <v>0</v>
      </c>
      <c r="C141" s="23" t="e">
        <f>VLOOKUP(A141,Users!A:D,2,FALSE)</f>
        <v>#N/A</v>
      </c>
      <c r="D141" s="23" t="e">
        <f>VLOOKUP(A141,Users!A:D,3,FALSE)</f>
        <v>#N/A</v>
      </c>
      <c r="E141" s="99">
        <f>COUNTIF(Visits!AJ:AJ,'Summer Challenge'!A249)</f>
        <v>0</v>
      </c>
      <c r="G141" t="e" cm="1">
        <f t="array" ref="G141">SUM(--(FREQUENCY(IF(Visits!E:E='Summer Challenge'!A141,Visits!AK:AK),Visits!AK:AK)&gt;0))</f>
        <v>#N/A</v>
      </c>
      <c r="H141">
        <f>SUMIF(Visits!E:E,'Summer Challenge'!A141,Visits!AK:AK)</f>
        <v>0</v>
      </c>
      <c r="J141" s="106"/>
      <c r="K141" s="106">
        <f t="shared" si="16"/>
        <v>0</v>
      </c>
      <c r="L141" s="4">
        <f>SUMIF(Visits!E:E,'Summer Challenge'!A141,Visits!AL:AL)</f>
        <v>0</v>
      </c>
      <c r="M141" s="4">
        <f t="shared" si="17"/>
        <v>0</v>
      </c>
      <c r="N141" s="4"/>
      <c r="O141" t="s">
        <v>201</v>
      </c>
      <c r="P141" t="s">
        <v>202</v>
      </c>
      <c r="Q141" t="str">
        <f>IF(SUM('User Engagement'!G142:H142)&gt;=0,"YES", "NO")</f>
        <v>YES</v>
      </c>
      <c r="S141" s="2" t="str">
        <f t="shared" si="18"/>
        <v>👨🏼‍🤝‍👨🏽 0 new friends
🖼️ 0 exhibitions
🕑 0 hours of art experiences</v>
      </c>
    </row>
    <row r="142" spans="1:19" ht="51">
      <c r="A142">
        <f>Users!A140</f>
        <v>0</v>
      </c>
      <c r="C142" s="23" t="e">
        <f>VLOOKUP(A142,Users!A:D,2,FALSE)</f>
        <v>#N/A</v>
      </c>
      <c r="D142" s="23" t="e">
        <f>VLOOKUP(A142,Users!A:D,3,FALSE)</f>
        <v>#N/A</v>
      </c>
      <c r="E142" s="99">
        <f>COUNTIF(Visits!AJ:AJ,'Summer Challenge'!A250)</f>
        <v>0</v>
      </c>
      <c r="G142" t="e" cm="1">
        <f t="array" ref="G142">SUM(--(FREQUENCY(IF(Visits!E:E='Summer Challenge'!A142,Visits!AK:AK),Visits!AK:AK)&gt;0))</f>
        <v>#N/A</v>
      </c>
      <c r="H142">
        <f>SUMIF(Visits!E:E,'Summer Challenge'!A142,Visits!AK:AK)</f>
        <v>0</v>
      </c>
      <c r="J142" s="106"/>
      <c r="K142" s="106">
        <f t="shared" si="16"/>
        <v>0</v>
      </c>
      <c r="L142" s="4">
        <f>SUMIF(Visits!E:E,'Summer Challenge'!A142,Visits!AL:AL)</f>
        <v>0</v>
      </c>
      <c r="M142" s="4">
        <f t="shared" si="17"/>
        <v>0</v>
      </c>
      <c r="N142" s="4"/>
      <c r="O142" t="s">
        <v>201</v>
      </c>
      <c r="P142" t="s">
        <v>202</v>
      </c>
      <c r="Q142" t="str">
        <f>IF(SUM('User Engagement'!G143:H143)&gt;=0,"YES", "NO")</f>
        <v>YES</v>
      </c>
      <c r="S142" s="2" t="str">
        <f t="shared" si="18"/>
        <v>👨🏼‍🤝‍👨🏽 0 new friends
🖼️ 0 exhibitions
🕑 0 hours of art experiences</v>
      </c>
    </row>
    <row r="143" spans="1:19" ht="51">
      <c r="A143">
        <f>Users!A141</f>
        <v>0</v>
      </c>
      <c r="C143" s="23" t="e">
        <f>VLOOKUP(A143,Users!A:D,2,FALSE)</f>
        <v>#N/A</v>
      </c>
      <c r="D143" s="23" t="e">
        <f>VLOOKUP(A143,Users!A:D,3,FALSE)</f>
        <v>#N/A</v>
      </c>
      <c r="E143" s="99">
        <f>COUNTIF(Visits!AJ:AJ,'Summer Challenge'!A251)</f>
        <v>0</v>
      </c>
      <c r="G143" t="e" cm="1">
        <f t="array" ref="G143">SUM(--(FREQUENCY(IF(Visits!E:E='Summer Challenge'!A143,Visits!AK:AK),Visits!AK:AK)&gt;0))</f>
        <v>#N/A</v>
      </c>
      <c r="H143">
        <f>SUMIF(Visits!E:E,'Summer Challenge'!A143,Visits!AK:AK)</f>
        <v>0</v>
      </c>
      <c r="J143" s="106"/>
      <c r="K143" s="106">
        <f t="shared" si="16"/>
        <v>0</v>
      </c>
      <c r="L143" s="4">
        <f>SUMIF(Visits!E:E,'Summer Challenge'!A143,Visits!AL:AL)</f>
        <v>0</v>
      </c>
      <c r="M143" s="4">
        <f t="shared" si="17"/>
        <v>0</v>
      </c>
      <c r="N143" s="4"/>
      <c r="O143" t="s">
        <v>201</v>
      </c>
      <c r="P143" t="s">
        <v>202</v>
      </c>
      <c r="Q143" t="str">
        <f>IF(SUM('User Engagement'!G144:H144)&gt;=0,"YES", "NO")</f>
        <v>YES</v>
      </c>
      <c r="S143" s="2" t="str">
        <f t="shared" si="18"/>
        <v>👨🏼‍🤝‍👨🏽 0 new friends
🖼️ 0 exhibitions
🕑 0 hours of art experiences</v>
      </c>
    </row>
    <row r="144" spans="1:19" ht="51">
      <c r="A144">
        <f>Users!A142</f>
        <v>0</v>
      </c>
      <c r="C144" s="23" t="e">
        <f>VLOOKUP(A144,Users!A:D,2,FALSE)</f>
        <v>#N/A</v>
      </c>
      <c r="D144" s="23" t="e">
        <f>VLOOKUP(A144,Users!A:D,3,FALSE)</f>
        <v>#N/A</v>
      </c>
      <c r="E144" s="99">
        <f>COUNTIF(Visits!AJ:AJ,'Summer Challenge'!A252)</f>
        <v>0</v>
      </c>
      <c r="G144" t="e" cm="1">
        <f t="array" ref="G144">SUM(--(FREQUENCY(IF(Visits!E:E='Summer Challenge'!A144,Visits!AK:AK),Visits!AK:AK)&gt;0))</f>
        <v>#N/A</v>
      </c>
      <c r="H144">
        <f>SUMIF(Visits!E:E,'Summer Challenge'!A144,Visits!AK:AK)</f>
        <v>0</v>
      </c>
      <c r="J144" s="106"/>
      <c r="K144" s="106">
        <f t="shared" si="16"/>
        <v>0</v>
      </c>
      <c r="L144" s="4">
        <f>SUMIF(Visits!E:E,'Summer Challenge'!A144,Visits!AL:AL)</f>
        <v>0</v>
      </c>
      <c r="M144" s="4">
        <f t="shared" si="17"/>
        <v>0</v>
      </c>
      <c r="N144" s="4"/>
      <c r="O144" t="s">
        <v>201</v>
      </c>
      <c r="P144" t="s">
        <v>202</v>
      </c>
      <c r="Q144" t="str">
        <f>IF(SUM('User Engagement'!G145:H145)&gt;=0,"YES", "NO")</f>
        <v>YES</v>
      </c>
      <c r="S144" s="2" t="str">
        <f t="shared" si="18"/>
        <v>👨🏼‍🤝‍👨🏽 0 new friends
🖼️ 0 exhibitions
🕑 0 hours of art experiences</v>
      </c>
    </row>
    <row r="145" spans="1:19" ht="51">
      <c r="A145">
        <f>Users!A143</f>
        <v>0</v>
      </c>
      <c r="C145" s="23" t="e">
        <f>VLOOKUP(A145,Users!A:D,2,FALSE)</f>
        <v>#N/A</v>
      </c>
      <c r="D145" s="23" t="e">
        <f>VLOOKUP(A145,Users!A:D,3,FALSE)</f>
        <v>#N/A</v>
      </c>
      <c r="E145" s="99">
        <f>COUNTIF(Visits!AJ:AJ,'Summer Challenge'!A253)</f>
        <v>0</v>
      </c>
      <c r="G145" t="e" cm="1">
        <f t="array" ref="G145">SUM(--(FREQUENCY(IF(Visits!E:E='Summer Challenge'!A145,Visits!AK:AK),Visits!AK:AK)&gt;0))</f>
        <v>#N/A</v>
      </c>
      <c r="H145">
        <f>SUMIF(Visits!E:E,'Summer Challenge'!A145,Visits!AK:AK)</f>
        <v>0</v>
      </c>
      <c r="J145" s="106"/>
      <c r="K145" s="106">
        <f t="shared" si="16"/>
        <v>0</v>
      </c>
      <c r="L145" s="4">
        <f>SUMIF(Visits!E:E,'Summer Challenge'!A145,Visits!AL:AL)</f>
        <v>0</v>
      </c>
      <c r="M145" s="4">
        <f t="shared" si="17"/>
        <v>0</v>
      </c>
      <c r="N145" s="4"/>
      <c r="O145" t="s">
        <v>201</v>
      </c>
      <c r="P145" t="s">
        <v>202</v>
      </c>
      <c r="Q145" t="str">
        <f>IF(SUM('User Engagement'!G146:H146)&gt;=0,"YES", "NO")</f>
        <v>YES</v>
      </c>
      <c r="S145" s="2" t="str">
        <f t="shared" si="18"/>
        <v>👨🏼‍🤝‍👨🏽 0 new friends
🖼️ 0 exhibitions
🕑 0 hours of art experiences</v>
      </c>
    </row>
    <row r="146" spans="1:19" ht="51">
      <c r="A146">
        <f>Users!A144</f>
        <v>0</v>
      </c>
      <c r="C146" s="23" t="e">
        <f>VLOOKUP(A146,Users!A:D,2,FALSE)</f>
        <v>#N/A</v>
      </c>
      <c r="D146" s="23" t="e">
        <f>VLOOKUP(A146,Users!A:D,3,FALSE)</f>
        <v>#N/A</v>
      </c>
      <c r="E146" s="99">
        <f>COUNTIF(Visits!AJ:AJ,'Summer Challenge'!A254)</f>
        <v>0</v>
      </c>
      <c r="G146" t="e" cm="1">
        <f t="array" ref="G146">SUM(--(FREQUENCY(IF(Visits!E:E='Summer Challenge'!A146,Visits!AK:AK),Visits!AK:AK)&gt;0))</f>
        <v>#N/A</v>
      </c>
      <c r="H146">
        <f>SUMIF(Visits!E:E,'Summer Challenge'!A146,Visits!AK:AK)</f>
        <v>0</v>
      </c>
      <c r="J146" s="106"/>
      <c r="K146" s="106">
        <f t="shared" si="16"/>
        <v>0</v>
      </c>
      <c r="L146" s="4">
        <f>SUMIF(Visits!E:E,'Summer Challenge'!A146,Visits!AL:AL)</f>
        <v>0</v>
      </c>
      <c r="M146" s="4">
        <f t="shared" si="17"/>
        <v>0</v>
      </c>
      <c r="N146" s="4"/>
      <c r="O146" t="s">
        <v>201</v>
      </c>
      <c r="P146" t="s">
        <v>202</v>
      </c>
      <c r="Q146" t="str">
        <f>IF(SUM('User Engagement'!G147:H147)&gt;=0,"YES", "NO")</f>
        <v>YES</v>
      </c>
      <c r="S146" s="2" t="str">
        <f t="shared" si="18"/>
        <v>👨🏼‍🤝‍👨🏽 0 new friends
🖼️ 0 exhibitions
🕑 0 hours of art experiences</v>
      </c>
    </row>
    <row r="147" spans="1:19" ht="51">
      <c r="A147">
        <f>Users!A145</f>
        <v>0</v>
      </c>
      <c r="C147" s="23" t="e">
        <f>VLOOKUP(A147,Users!A:D,2,FALSE)</f>
        <v>#N/A</v>
      </c>
      <c r="D147" s="23" t="e">
        <f>VLOOKUP(A147,Users!A:D,3,FALSE)</f>
        <v>#N/A</v>
      </c>
      <c r="E147" s="99">
        <f>COUNTIF(Visits!AJ:AJ,'Summer Challenge'!A255)</f>
        <v>0</v>
      </c>
      <c r="G147" t="e" cm="1">
        <f t="array" ref="G147">SUM(--(FREQUENCY(IF(Visits!E:E='Summer Challenge'!A147,Visits!AK:AK),Visits!AK:AK)&gt;0))</f>
        <v>#N/A</v>
      </c>
      <c r="H147">
        <f>SUMIF(Visits!E:E,'Summer Challenge'!A147,Visits!AK:AK)</f>
        <v>0</v>
      </c>
      <c r="J147" s="106"/>
      <c r="K147" s="106">
        <f t="shared" si="16"/>
        <v>0</v>
      </c>
      <c r="L147" s="4">
        <f>SUMIF(Visits!E:E,'Summer Challenge'!A147,Visits!AL:AL)</f>
        <v>0</v>
      </c>
      <c r="M147" s="4">
        <f t="shared" si="17"/>
        <v>0</v>
      </c>
      <c r="N147" s="4"/>
      <c r="O147" t="s">
        <v>201</v>
      </c>
      <c r="P147" t="s">
        <v>202</v>
      </c>
      <c r="Q147" t="str">
        <f>IF(SUM('User Engagement'!G148:H148)&gt;=0,"YES", "NO")</f>
        <v>YES</v>
      </c>
      <c r="S147" s="2" t="str">
        <f t="shared" si="18"/>
        <v>👨🏼‍🤝‍👨🏽 0 new friends
🖼️ 0 exhibitions
🕑 0 hours of art experiences</v>
      </c>
    </row>
    <row r="148" spans="1:19" ht="51">
      <c r="A148">
        <f>Users!A146</f>
        <v>0</v>
      </c>
      <c r="C148" s="23" t="e">
        <f>VLOOKUP(A148,Users!A:D,2,FALSE)</f>
        <v>#N/A</v>
      </c>
      <c r="D148" s="23" t="e">
        <f>VLOOKUP(A148,Users!A:D,3,FALSE)</f>
        <v>#N/A</v>
      </c>
      <c r="E148" s="99">
        <f>COUNTIF(Visits!AJ:AJ,'Summer Challenge'!A256)</f>
        <v>0</v>
      </c>
      <c r="G148" t="e" cm="1">
        <f t="array" ref="G148">SUM(--(FREQUENCY(IF(Visits!E:E='Summer Challenge'!A148,Visits!AK:AK),Visits!AK:AK)&gt;0))</f>
        <v>#N/A</v>
      </c>
      <c r="H148">
        <f>SUMIF(Visits!E:E,'Summer Challenge'!A148,Visits!AK:AK)</f>
        <v>0</v>
      </c>
      <c r="J148" s="106"/>
      <c r="K148" s="106">
        <f t="shared" si="16"/>
        <v>0</v>
      </c>
      <c r="L148" s="4">
        <f>SUMIF(Visits!E:E,'Summer Challenge'!A148,Visits!AL:AL)</f>
        <v>0</v>
      </c>
      <c r="M148" s="4">
        <f t="shared" si="17"/>
        <v>0</v>
      </c>
      <c r="N148" s="4"/>
      <c r="O148" t="s">
        <v>201</v>
      </c>
      <c r="P148" t="s">
        <v>202</v>
      </c>
      <c r="Q148" t="str">
        <f>IF(SUM('User Engagement'!G149:H149)&gt;=0,"YES", "NO")</f>
        <v>YES</v>
      </c>
      <c r="S148" s="2" t="str">
        <f t="shared" si="18"/>
        <v>👨🏼‍🤝‍👨🏽 0 new friends
🖼️ 0 exhibitions
🕑 0 hours of art experiences</v>
      </c>
    </row>
    <row r="149" spans="1:19" ht="51">
      <c r="A149">
        <f>Users!A147</f>
        <v>0</v>
      </c>
      <c r="C149" s="23" t="e">
        <f>VLOOKUP(A149,Users!A:D,2,FALSE)</f>
        <v>#N/A</v>
      </c>
      <c r="D149" s="23" t="e">
        <f>VLOOKUP(A149,Users!A:D,3,FALSE)</f>
        <v>#N/A</v>
      </c>
      <c r="E149" s="99">
        <f>COUNTIF(Visits!AJ:AJ,'Summer Challenge'!A257)</f>
        <v>0</v>
      </c>
      <c r="G149" t="e" cm="1">
        <f t="array" ref="G149">SUM(--(FREQUENCY(IF(Visits!E:E='Summer Challenge'!A149,Visits!AK:AK),Visits!AK:AK)&gt;0))</f>
        <v>#N/A</v>
      </c>
      <c r="H149">
        <f>SUMIF(Visits!E:E,'Summer Challenge'!A149,Visits!AK:AK)</f>
        <v>0</v>
      </c>
      <c r="J149" s="106"/>
      <c r="K149" s="106">
        <f t="shared" si="16"/>
        <v>0</v>
      </c>
      <c r="L149" s="4">
        <f>SUMIF(Visits!E:E,'Summer Challenge'!A149,Visits!AL:AL)</f>
        <v>0</v>
      </c>
      <c r="M149" s="4">
        <f t="shared" si="17"/>
        <v>0</v>
      </c>
      <c r="N149" s="4"/>
      <c r="O149" t="s">
        <v>201</v>
      </c>
      <c r="P149" t="s">
        <v>202</v>
      </c>
      <c r="Q149" t="str">
        <f>IF(SUM('User Engagement'!G150:H150)&gt;=0,"YES", "NO")</f>
        <v>YES</v>
      </c>
      <c r="S149" s="2" t="str">
        <f t="shared" si="18"/>
        <v>👨🏼‍🤝‍👨🏽 0 new friends
🖼️ 0 exhibitions
🕑 0 hours of art experiences</v>
      </c>
    </row>
    <row r="150" spans="1:19" ht="51">
      <c r="A150">
        <f>Users!A148</f>
        <v>0</v>
      </c>
      <c r="C150" s="23" t="e">
        <f>VLOOKUP(A150,Users!A:D,2,FALSE)</f>
        <v>#N/A</v>
      </c>
      <c r="D150" s="23" t="e">
        <f>VLOOKUP(A150,Users!A:D,3,FALSE)</f>
        <v>#N/A</v>
      </c>
      <c r="E150" s="99">
        <f>COUNTIF(Visits!AJ:AJ,'Summer Challenge'!A258)</f>
        <v>0</v>
      </c>
      <c r="G150" t="e" cm="1">
        <f t="array" ref="G150">SUM(--(FREQUENCY(IF(Visits!E:E='Summer Challenge'!A150,Visits!AK:AK),Visits!AK:AK)&gt;0))</f>
        <v>#N/A</v>
      </c>
      <c r="H150">
        <f>SUMIF(Visits!E:E,'Summer Challenge'!A150,Visits!AK:AK)</f>
        <v>0</v>
      </c>
      <c r="J150" s="106"/>
      <c r="K150" s="106">
        <f t="shared" si="16"/>
        <v>0</v>
      </c>
      <c r="L150" s="4">
        <f>SUMIF(Visits!E:E,'Summer Challenge'!A150,Visits!AL:AL)</f>
        <v>0</v>
      </c>
      <c r="M150" s="4">
        <f t="shared" si="17"/>
        <v>0</v>
      </c>
      <c r="N150" s="4"/>
      <c r="O150" t="s">
        <v>201</v>
      </c>
      <c r="P150" t="s">
        <v>202</v>
      </c>
      <c r="Q150" t="str">
        <f>IF(SUM('User Engagement'!G151:H151)&gt;=0,"YES", "NO")</f>
        <v>YES</v>
      </c>
      <c r="S150" s="2" t="str">
        <f t="shared" si="18"/>
        <v>👨🏼‍🤝‍👨🏽 0 new friends
🖼️ 0 exhibitions
🕑 0 hours of art experiences</v>
      </c>
    </row>
    <row r="151" spans="1:19" ht="51">
      <c r="A151">
        <f>Users!A149</f>
        <v>0</v>
      </c>
      <c r="C151" s="23" t="e">
        <f>VLOOKUP(A151,Users!A:D,2,FALSE)</f>
        <v>#N/A</v>
      </c>
      <c r="D151" s="23" t="e">
        <f>VLOOKUP(A151,Users!A:D,3,FALSE)</f>
        <v>#N/A</v>
      </c>
      <c r="E151" s="99">
        <f>COUNTIF(Visits!AJ:AJ,'Summer Challenge'!A259)</f>
        <v>0</v>
      </c>
      <c r="G151" t="e" cm="1">
        <f t="array" ref="G151">SUM(--(FREQUENCY(IF(Visits!E:E='Summer Challenge'!A151,Visits!AK:AK),Visits!AK:AK)&gt;0))</f>
        <v>#N/A</v>
      </c>
      <c r="H151">
        <f>SUMIF(Visits!E:E,'Summer Challenge'!A151,Visits!AK:AK)</f>
        <v>0</v>
      </c>
      <c r="J151" s="106"/>
      <c r="K151" s="106">
        <f t="shared" si="16"/>
        <v>0</v>
      </c>
      <c r="L151" s="4">
        <f>SUMIF(Visits!E:E,'Summer Challenge'!A151,Visits!AL:AL)</f>
        <v>0</v>
      </c>
      <c r="M151" s="4">
        <f t="shared" si="17"/>
        <v>0</v>
      </c>
      <c r="N151" s="4"/>
      <c r="O151" t="s">
        <v>201</v>
      </c>
      <c r="P151" t="s">
        <v>202</v>
      </c>
      <c r="Q151" t="str">
        <f>IF(SUM('User Engagement'!G152:H152)&gt;=0,"YES", "NO")</f>
        <v>YES</v>
      </c>
      <c r="S151" s="2" t="str">
        <f t="shared" si="18"/>
        <v>👨🏼‍🤝‍👨🏽 0 new friends
🖼️ 0 exhibitions
🕑 0 hours of art experiences</v>
      </c>
    </row>
    <row r="152" spans="1:19" ht="51">
      <c r="A152">
        <f>Users!A150</f>
        <v>0</v>
      </c>
      <c r="C152" s="23" t="e">
        <f>VLOOKUP(A152,Users!A:D,2,FALSE)</f>
        <v>#N/A</v>
      </c>
      <c r="D152" s="23" t="e">
        <f>VLOOKUP(A152,Users!A:D,3,FALSE)</f>
        <v>#N/A</v>
      </c>
      <c r="E152" s="99">
        <f>COUNTIF(Visits!AJ:AJ,'Summer Challenge'!A260)</f>
        <v>0</v>
      </c>
      <c r="G152" t="e" cm="1">
        <f t="array" ref="G152">SUM(--(FREQUENCY(IF(Visits!E:E='Summer Challenge'!A152,Visits!AK:AK),Visits!AK:AK)&gt;0))</f>
        <v>#N/A</v>
      </c>
      <c r="H152">
        <f>SUMIF(Visits!E:E,'Summer Challenge'!A152,Visits!AK:AK)</f>
        <v>0</v>
      </c>
      <c r="J152" s="106"/>
      <c r="K152" s="106">
        <f t="shared" si="16"/>
        <v>0</v>
      </c>
      <c r="L152" s="4">
        <f>SUMIF(Visits!E:E,'Summer Challenge'!A152,Visits!AL:AL)</f>
        <v>0</v>
      </c>
      <c r="M152" s="4">
        <f t="shared" si="17"/>
        <v>0</v>
      </c>
      <c r="N152" s="4"/>
      <c r="O152" t="s">
        <v>201</v>
      </c>
      <c r="P152" t="s">
        <v>202</v>
      </c>
      <c r="Q152" t="str">
        <f>IF(SUM('User Engagement'!G153:H153)&gt;=0,"YES", "NO")</f>
        <v>YES</v>
      </c>
      <c r="S152" s="2" t="str">
        <f t="shared" si="18"/>
        <v>👨🏼‍🤝‍👨🏽 0 new friends
🖼️ 0 exhibitions
🕑 0 hours of art experiences</v>
      </c>
    </row>
    <row r="153" spans="1:19" ht="51">
      <c r="A153">
        <f>Users!A151</f>
        <v>0</v>
      </c>
      <c r="C153" s="23" t="e">
        <f>VLOOKUP(A153,Users!A:D,2,FALSE)</f>
        <v>#N/A</v>
      </c>
      <c r="D153" s="23" t="e">
        <f>VLOOKUP(A153,Users!A:D,3,FALSE)</f>
        <v>#N/A</v>
      </c>
      <c r="E153" s="99">
        <f>COUNTIF(Visits!AJ:AJ,'Summer Challenge'!A261)</f>
        <v>0</v>
      </c>
      <c r="G153" t="e" cm="1">
        <f t="array" ref="G153">SUM(--(FREQUENCY(IF(Visits!E:E='Summer Challenge'!A153,Visits!AK:AK),Visits!AK:AK)&gt;0))</f>
        <v>#N/A</v>
      </c>
      <c r="H153">
        <f>SUMIF(Visits!E:E,'Summer Challenge'!A153,Visits!AK:AK)</f>
        <v>0</v>
      </c>
      <c r="J153" s="106"/>
      <c r="K153" s="106">
        <f t="shared" si="16"/>
        <v>0</v>
      </c>
      <c r="L153" s="4">
        <f>SUMIF(Visits!E:E,'Summer Challenge'!A153,Visits!AL:AL)</f>
        <v>0</v>
      </c>
      <c r="M153" s="4">
        <f t="shared" si="17"/>
        <v>0</v>
      </c>
      <c r="N153" s="4"/>
      <c r="O153" t="s">
        <v>201</v>
      </c>
      <c r="P153" t="s">
        <v>202</v>
      </c>
      <c r="Q153" t="str">
        <f>IF(SUM('User Engagement'!G154:H154)&gt;=0,"YES", "NO")</f>
        <v>YES</v>
      </c>
      <c r="S153" s="2" t="str">
        <f t="shared" si="18"/>
        <v>👨🏼‍🤝‍👨🏽 0 new friends
🖼️ 0 exhibitions
🕑 0 hours of art experiences</v>
      </c>
    </row>
    <row r="154" spans="1:19" ht="51">
      <c r="A154">
        <f>Users!A152</f>
        <v>0</v>
      </c>
      <c r="C154" s="23" t="e">
        <f>VLOOKUP(A154,Users!A:D,2,FALSE)</f>
        <v>#N/A</v>
      </c>
      <c r="D154" s="23" t="e">
        <f>VLOOKUP(A154,Users!A:D,3,FALSE)</f>
        <v>#N/A</v>
      </c>
      <c r="E154" s="99">
        <f>COUNTIF(Visits!AJ:AJ,'Summer Challenge'!A262)</f>
        <v>0</v>
      </c>
      <c r="G154" t="e" cm="1">
        <f t="array" ref="G154">SUM(--(FREQUENCY(IF(Visits!E:E='Summer Challenge'!A154,Visits!AK:AK),Visits!AK:AK)&gt;0))</f>
        <v>#N/A</v>
      </c>
      <c r="H154">
        <f>SUMIF(Visits!E:E,'Summer Challenge'!A154,Visits!AK:AK)</f>
        <v>0</v>
      </c>
      <c r="J154" s="106"/>
      <c r="K154" s="106">
        <f t="shared" si="16"/>
        <v>0</v>
      </c>
      <c r="L154" s="4">
        <f>SUMIF(Visits!E:E,'Summer Challenge'!A154,Visits!AL:AL)</f>
        <v>0</v>
      </c>
      <c r="M154" s="4">
        <f t="shared" si="17"/>
        <v>0</v>
      </c>
      <c r="N154" s="4"/>
      <c r="O154" t="s">
        <v>201</v>
      </c>
      <c r="P154" t="s">
        <v>202</v>
      </c>
      <c r="Q154" t="str">
        <f>IF(SUM('User Engagement'!G155:H155)&gt;=0,"YES", "NO")</f>
        <v>YES</v>
      </c>
      <c r="S154" s="2" t="str">
        <f t="shared" si="18"/>
        <v>👨🏼‍🤝‍👨🏽 0 new friends
🖼️ 0 exhibitions
🕑 0 hours of art experiences</v>
      </c>
    </row>
    <row r="155" spans="1:19" ht="51">
      <c r="A155">
        <f>Users!A153</f>
        <v>0</v>
      </c>
      <c r="C155" s="23" t="e">
        <f>VLOOKUP(A155,Users!A:D,2,FALSE)</f>
        <v>#N/A</v>
      </c>
      <c r="D155" s="23" t="e">
        <f>VLOOKUP(A155,Users!A:D,3,FALSE)</f>
        <v>#N/A</v>
      </c>
      <c r="E155" s="99">
        <f>COUNTIF(Visits!AJ:AJ,'Summer Challenge'!A263)</f>
        <v>0</v>
      </c>
      <c r="G155" t="e" cm="1">
        <f t="array" ref="G155">SUM(--(FREQUENCY(IF(Visits!E:E='Summer Challenge'!A155,Visits!AK:AK),Visits!AK:AK)&gt;0))</f>
        <v>#N/A</v>
      </c>
      <c r="H155">
        <f>SUMIF(Visits!E:E,'Summer Challenge'!A155,Visits!AK:AK)</f>
        <v>0</v>
      </c>
      <c r="J155" s="106"/>
      <c r="K155" s="106">
        <f t="shared" si="16"/>
        <v>0</v>
      </c>
      <c r="L155" s="4">
        <f>SUMIF(Visits!E:E,'Summer Challenge'!A155,Visits!AL:AL)</f>
        <v>0</v>
      </c>
      <c r="M155" s="4">
        <f t="shared" si="17"/>
        <v>0</v>
      </c>
      <c r="N155" s="4"/>
      <c r="O155" t="s">
        <v>201</v>
      </c>
      <c r="P155" t="s">
        <v>202</v>
      </c>
      <c r="Q155" t="str">
        <f>IF(SUM('User Engagement'!G156:H156)&gt;=0,"YES", "NO")</f>
        <v>YES</v>
      </c>
      <c r="S155" s="2" t="str">
        <f t="shared" si="18"/>
        <v>👨🏼‍🤝‍👨🏽 0 new friends
🖼️ 0 exhibitions
🕑 0 hours of art experiences</v>
      </c>
    </row>
    <row r="156" spans="1:19" ht="51">
      <c r="A156">
        <f>Users!A154</f>
        <v>0</v>
      </c>
      <c r="C156" s="23" t="e">
        <f>VLOOKUP(A156,Users!A:D,2,FALSE)</f>
        <v>#N/A</v>
      </c>
      <c r="D156" s="23" t="e">
        <f>VLOOKUP(A156,Users!A:D,3,FALSE)</f>
        <v>#N/A</v>
      </c>
      <c r="E156" s="99">
        <f>COUNTIF(Visits!AJ:AJ,'Summer Challenge'!A264)</f>
        <v>0</v>
      </c>
      <c r="G156" t="e" cm="1">
        <f t="array" ref="G156">SUM(--(FREQUENCY(IF(Visits!E:E='Summer Challenge'!A156,Visits!AK:AK),Visits!AK:AK)&gt;0))</f>
        <v>#N/A</v>
      </c>
      <c r="H156">
        <f>SUMIF(Visits!E:E,'Summer Challenge'!A156,Visits!AK:AK)</f>
        <v>0</v>
      </c>
      <c r="J156" s="106"/>
      <c r="K156" s="106">
        <f t="shared" si="16"/>
        <v>0</v>
      </c>
      <c r="L156" s="4">
        <f>SUMIF(Visits!E:E,'Summer Challenge'!A156,Visits!AL:AL)</f>
        <v>0</v>
      </c>
      <c r="M156" s="4">
        <f t="shared" si="17"/>
        <v>0</v>
      </c>
      <c r="N156" s="4"/>
      <c r="O156" t="s">
        <v>201</v>
      </c>
      <c r="P156" t="s">
        <v>202</v>
      </c>
      <c r="Q156" t="str">
        <f>IF(SUM('User Engagement'!G157:H157)&gt;=0,"YES", "NO")</f>
        <v>YES</v>
      </c>
      <c r="S156" s="2" t="str">
        <f t="shared" si="18"/>
        <v>👨🏼‍🤝‍👨🏽 0 new friends
🖼️ 0 exhibitions
🕑 0 hours of art experiences</v>
      </c>
    </row>
    <row r="157" spans="1:19" ht="51">
      <c r="A157">
        <f>Users!A155</f>
        <v>0</v>
      </c>
      <c r="C157" s="23" t="e">
        <f>VLOOKUP(A157,Users!A:D,2,FALSE)</f>
        <v>#N/A</v>
      </c>
      <c r="D157" s="23" t="e">
        <f>VLOOKUP(A157,Users!A:D,3,FALSE)</f>
        <v>#N/A</v>
      </c>
      <c r="E157" s="99">
        <f>COUNTIF(Visits!AJ:AJ,'Summer Challenge'!A265)</f>
        <v>0</v>
      </c>
      <c r="G157" t="e" cm="1">
        <f t="array" ref="G157">SUM(--(FREQUENCY(IF(Visits!E:E='Summer Challenge'!A157,Visits!AK:AK),Visits!AK:AK)&gt;0))</f>
        <v>#N/A</v>
      </c>
      <c r="H157">
        <f>SUMIF(Visits!E:E,'Summer Challenge'!A157,Visits!AK:AK)</f>
        <v>0</v>
      </c>
      <c r="J157" s="106"/>
      <c r="K157" s="106">
        <f t="shared" si="16"/>
        <v>0</v>
      </c>
      <c r="L157" s="4">
        <f>SUMIF(Visits!E:E,'Summer Challenge'!A157,Visits!AL:AL)</f>
        <v>0</v>
      </c>
      <c r="M157" s="4">
        <f t="shared" si="17"/>
        <v>0</v>
      </c>
      <c r="N157" s="4"/>
      <c r="O157" t="s">
        <v>201</v>
      </c>
      <c r="P157" t="s">
        <v>202</v>
      </c>
      <c r="Q157" t="str">
        <f>IF(SUM('User Engagement'!G158:H158)&gt;=0,"YES", "NO")</f>
        <v>YES</v>
      </c>
      <c r="S157" s="2" t="str">
        <f t="shared" si="18"/>
        <v>👨🏼‍🤝‍👨🏽 0 new friends
🖼️ 0 exhibitions
🕑 0 hours of art experiences</v>
      </c>
    </row>
    <row r="158" spans="1:19" ht="51">
      <c r="A158">
        <f>Users!A156</f>
        <v>0</v>
      </c>
      <c r="C158" s="23" t="e">
        <f>VLOOKUP(A158,Users!A:D,2,FALSE)</f>
        <v>#N/A</v>
      </c>
      <c r="D158" s="23" t="e">
        <f>VLOOKUP(A158,Users!A:D,3,FALSE)</f>
        <v>#N/A</v>
      </c>
      <c r="E158" s="99">
        <f>COUNTIF(Visits!AJ:AJ,'Summer Challenge'!A266)</f>
        <v>0</v>
      </c>
      <c r="G158" t="e" cm="1">
        <f t="array" ref="G158">SUM(--(FREQUENCY(IF(Visits!E:E='Summer Challenge'!A158,Visits!AK:AK),Visits!AK:AK)&gt;0))</f>
        <v>#N/A</v>
      </c>
      <c r="H158">
        <f>SUMIF(Visits!E:E,'Summer Challenge'!A158,Visits!AK:AK)</f>
        <v>0</v>
      </c>
      <c r="J158" s="106"/>
      <c r="K158" s="106">
        <f t="shared" si="16"/>
        <v>0</v>
      </c>
      <c r="L158" s="4">
        <f>SUMIF(Visits!E:E,'Summer Challenge'!A158,Visits!AL:AL)</f>
        <v>0</v>
      </c>
      <c r="M158" s="4">
        <f t="shared" si="17"/>
        <v>0</v>
      </c>
      <c r="N158" s="4"/>
      <c r="O158" t="s">
        <v>201</v>
      </c>
      <c r="P158" t="s">
        <v>202</v>
      </c>
      <c r="Q158" t="str">
        <f>IF(SUM('User Engagement'!G159:H159)&gt;=0,"YES", "NO")</f>
        <v>YES</v>
      </c>
      <c r="S158" s="2" t="str">
        <f t="shared" si="18"/>
        <v>👨🏼‍🤝‍👨🏽 0 new friends
🖼️ 0 exhibitions
🕑 0 hours of art experiences</v>
      </c>
    </row>
    <row r="159" spans="1:19" ht="51">
      <c r="A159">
        <f>Users!A157</f>
        <v>0</v>
      </c>
      <c r="C159" s="23" t="e">
        <f>VLOOKUP(A159,Users!A:D,2,FALSE)</f>
        <v>#N/A</v>
      </c>
      <c r="D159" s="23" t="e">
        <f>VLOOKUP(A159,Users!A:D,3,FALSE)</f>
        <v>#N/A</v>
      </c>
      <c r="E159" s="99">
        <f>COUNTIF(Visits!AJ:AJ,'Summer Challenge'!A267)</f>
        <v>0</v>
      </c>
      <c r="G159" t="e" cm="1">
        <f t="array" ref="G159">SUM(--(FREQUENCY(IF(Visits!E:E='Summer Challenge'!A159,Visits!AK:AK),Visits!AK:AK)&gt;0))</f>
        <v>#N/A</v>
      </c>
      <c r="H159">
        <f>SUMIF(Visits!E:E,'Summer Challenge'!A159,Visits!AK:AK)</f>
        <v>0</v>
      </c>
      <c r="J159" s="106"/>
      <c r="K159" s="106">
        <f t="shared" si="16"/>
        <v>0</v>
      </c>
      <c r="L159" s="4">
        <f>SUMIF(Visits!E:E,'Summer Challenge'!A159,Visits!AL:AL)</f>
        <v>0</v>
      </c>
      <c r="M159" s="4">
        <f t="shared" si="17"/>
        <v>0</v>
      </c>
      <c r="N159" s="4"/>
      <c r="O159" t="s">
        <v>201</v>
      </c>
      <c r="P159" t="s">
        <v>202</v>
      </c>
      <c r="Q159" t="str">
        <f>IF(SUM('User Engagement'!G160:H160)&gt;=0,"YES", "NO")</f>
        <v>YES</v>
      </c>
      <c r="S159" s="2" t="str">
        <f t="shared" si="18"/>
        <v>👨🏼‍🤝‍👨🏽 0 new friends
🖼️ 0 exhibitions
🕑 0 hours of art experiences</v>
      </c>
    </row>
    <row r="160" spans="1:19" ht="51">
      <c r="A160">
        <f>Users!A158</f>
        <v>0</v>
      </c>
      <c r="C160" s="23" t="e">
        <f>VLOOKUP(A160,Users!A:D,2,FALSE)</f>
        <v>#N/A</v>
      </c>
      <c r="D160" s="23" t="e">
        <f>VLOOKUP(A160,Users!A:D,3,FALSE)</f>
        <v>#N/A</v>
      </c>
      <c r="E160" s="99">
        <f>COUNTIF(Visits!AJ:AJ,'Summer Challenge'!A268)</f>
        <v>0</v>
      </c>
      <c r="G160" t="e" cm="1">
        <f t="array" ref="G160">SUM(--(FREQUENCY(IF(Visits!E:E='Summer Challenge'!A160,Visits!AK:AK),Visits!AK:AK)&gt;0))</f>
        <v>#N/A</v>
      </c>
      <c r="H160">
        <f>SUMIF(Visits!E:E,'Summer Challenge'!A160,Visits!AK:AK)</f>
        <v>0</v>
      </c>
      <c r="J160" s="106"/>
      <c r="K160" s="106">
        <f t="shared" si="16"/>
        <v>0</v>
      </c>
      <c r="L160" s="4">
        <f>SUMIF(Visits!E:E,'Summer Challenge'!A160,Visits!AL:AL)</f>
        <v>0</v>
      </c>
      <c r="M160" s="4">
        <f t="shared" si="17"/>
        <v>0</v>
      </c>
      <c r="N160" s="4"/>
      <c r="O160" t="s">
        <v>201</v>
      </c>
      <c r="P160" t="s">
        <v>202</v>
      </c>
      <c r="Q160" t="str">
        <f>IF(SUM('User Engagement'!G161:H161)&gt;=0,"YES", "NO")</f>
        <v>YES</v>
      </c>
      <c r="S160" s="2" t="str">
        <f t="shared" si="18"/>
        <v>👨🏼‍🤝‍👨🏽 0 new friends
🖼️ 0 exhibitions
🕑 0 hours of art experiences</v>
      </c>
    </row>
    <row r="161" spans="1:19" ht="51">
      <c r="A161">
        <f>Users!A159</f>
        <v>0</v>
      </c>
      <c r="C161" s="23" t="e">
        <f>VLOOKUP(A161,Users!A:D,2,FALSE)</f>
        <v>#N/A</v>
      </c>
      <c r="D161" s="23" t="e">
        <f>VLOOKUP(A161,Users!A:D,3,FALSE)</f>
        <v>#N/A</v>
      </c>
      <c r="E161" s="99">
        <f>COUNTIF(Visits!AJ:AJ,'Summer Challenge'!A269)</f>
        <v>0</v>
      </c>
      <c r="G161" t="e" cm="1">
        <f t="array" ref="G161">SUM(--(FREQUENCY(IF(Visits!E:E='Summer Challenge'!A161,Visits!AK:AK),Visits!AK:AK)&gt;0))</f>
        <v>#N/A</v>
      </c>
      <c r="H161">
        <f>SUMIF(Visits!E:E,'Summer Challenge'!A161,Visits!AK:AK)</f>
        <v>0</v>
      </c>
      <c r="J161" s="106"/>
      <c r="K161" s="106">
        <f t="shared" si="16"/>
        <v>0</v>
      </c>
      <c r="L161" s="4">
        <f>SUMIF(Visits!E:E,'Summer Challenge'!A161,Visits!AL:AL)</f>
        <v>0</v>
      </c>
      <c r="M161" s="4">
        <f t="shared" si="17"/>
        <v>0</v>
      </c>
      <c r="N161" s="4"/>
      <c r="O161" t="s">
        <v>201</v>
      </c>
      <c r="P161" t="s">
        <v>202</v>
      </c>
      <c r="Q161" t="str">
        <f>IF(SUM('User Engagement'!G162:H162)&gt;=0,"YES", "NO")</f>
        <v>YES</v>
      </c>
      <c r="S161" s="2" t="str">
        <f t="shared" si="18"/>
        <v>👨🏼‍🤝‍👨🏽 0 new friends
🖼️ 0 exhibitions
🕑 0 hours of art experiences</v>
      </c>
    </row>
    <row r="162" spans="1:19" ht="51">
      <c r="A162">
        <f>Users!A160</f>
        <v>0</v>
      </c>
      <c r="C162" s="23" t="e">
        <f>VLOOKUP(A162,Users!A:D,2,FALSE)</f>
        <v>#N/A</v>
      </c>
      <c r="D162" s="23" t="e">
        <f>VLOOKUP(A162,Users!A:D,3,FALSE)</f>
        <v>#N/A</v>
      </c>
      <c r="E162" s="99">
        <f>COUNTIF(Visits!AJ:AJ,'Summer Challenge'!A270)</f>
        <v>0</v>
      </c>
      <c r="G162" t="e" cm="1">
        <f t="array" ref="G162">SUM(--(FREQUENCY(IF(Visits!E:E='Summer Challenge'!A162,Visits!AK:AK),Visits!AK:AK)&gt;0))</f>
        <v>#N/A</v>
      </c>
      <c r="H162">
        <f>SUMIF(Visits!E:E,'Summer Challenge'!A162,Visits!AK:AK)</f>
        <v>0</v>
      </c>
      <c r="J162" s="106"/>
      <c r="K162" s="106">
        <f t="shared" si="16"/>
        <v>0</v>
      </c>
      <c r="L162" s="4">
        <f>SUMIF(Visits!E:E,'Summer Challenge'!A162,Visits!AL:AL)</f>
        <v>0</v>
      </c>
      <c r="M162" s="4">
        <f t="shared" si="17"/>
        <v>0</v>
      </c>
      <c r="N162" s="4"/>
      <c r="O162" t="s">
        <v>201</v>
      </c>
      <c r="P162" t="s">
        <v>202</v>
      </c>
      <c r="Q162" t="str">
        <f>IF(SUM('User Engagement'!G163:H163)&gt;=0,"YES", "NO")</f>
        <v>YES</v>
      </c>
      <c r="S162" s="2" t="str">
        <f t="shared" si="18"/>
        <v>👨🏼‍🤝‍👨🏽 0 new friends
🖼️ 0 exhibitions
🕑 0 hours of art experiences</v>
      </c>
    </row>
    <row r="163" spans="1:19" ht="51">
      <c r="A163">
        <f>Users!A161</f>
        <v>0</v>
      </c>
      <c r="C163" s="23" t="e">
        <f>VLOOKUP(A163,Users!A:D,2,FALSE)</f>
        <v>#N/A</v>
      </c>
      <c r="D163" s="23" t="e">
        <f>VLOOKUP(A163,Users!A:D,3,FALSE)</f>
        <v>#N/A</v>
      </c>
      <c r="E163" s="99">
        <f>COUNTIF(Visits!AJ:AJ,'Summer Challenge'!A271)</f>
        <v>0</v>
      </c>
      <c r="G163" t="e" cm="1">
        <f t="array" ref="G163">SUM(--(FREQUENCY(IF(Visits!E:E='Summer Challenge'!A163,Visits!AK:AK),Visits!AK:AK)&gt;0))</f>
        <v>#N/A</v>
      </c>
      <c r="H163">
        <f>SUMIF(Visits!E:E,'Summer Challenge'!A163,Visits!AK:AK)</f>
        <v>0</v>
      </c>
      <c r="J163" s="106"/>
      <c r="K163" s="106">
        <f t="shared" si="16"/>
        <v>0</v>
      </c>
      <c r="L163" s="4">
        <f>SUMIF(Visits!E:E,'Summer Challenge'!A163,Visits!AL:AL)</f>
        <v>0</v>
      </c>
      <c r="M163" s="4">
        <f t="shared" si="17"/>
        <v>0</v>
      </c>
      <c r="N163" s="4"/>
      <c r="O163" t="s">
        <v>201</v>
      </c>
      <c r="P163" t="s">
        <v>202</v>
      </c>
      <c r="Q163" t="str">
        <f>IF(SUM('User Engagement'!G164:H164)&gt;=0,"YES", "NO")</f>
        <v>YES</v>
      </c>
      <c r="S163" s="2" t="str">
        <f t="shared" si="18"/>
        <v>👨🏼‍🤝‍👨🏽 0 new friends
🖼️ 0 exhibitions
🕑 0 hours of art experiences</v>
      </c>
    </row>
    <row r="164" spans="1:19" ht="51">
      <c r="A164">
        <f>Users!A162</f>
        <v>0</v>
      </c>
      <c r="C164" s="23" t="e">
        <f>VLOOKUP(A164,Users!A:D,2,FALSE)</f>
        <v>#N/A</v>
      </c>
      <c r="D164" s="23" t="e">
        <f>VLOOKUP(A164,Users!A:D,3,FALSE)</f>
        <v>#N/A</v>
      </c>
      <c r="E164" s="99">
        <f>COUNTIF(Visits!AJ:AJ,'Summer Challenge'!A272)</f>
        <v>0</v>
      </c>
      <c r="G164" t="e" cm="1">
        <f t="array" ref="G164">SUM(--(FREQUENCY(IF(Visits!E:E='Summer Challenge'!A164,Visits!AK:AK),Visits!AK:AK)&gt;0))</f>
        <v>#N/A</v>
      </c>
      <c r="H164">
        <f>SUMIF(Visits!E:E,'Summer Challenge'!A164,Visits!AK:AK)</f>
        <v>0</v>
      </c>
      <c r="J164" s="106"/>
      <c r="K164" s="106">
        <f t="shared" si="16"/>
        <v>0</v>
      </c>
      <c r="L164" s="4">
        <f>SUMIF(Visits!E:E,'Summer Challenge'!A164,Visits!AL:AL)</f>
        <v>0</v>
      </c>
      <c r="M164" s="4">
        <f t="shared" si="17"/>
        <v>0</v>
      </c>
      <c r="N164" s="4"/>
      <c r="O164" t="s">
        <v>201</v>
      </c>
      <c r="P164" t="s">
        <v>202</v>
      </c>
      <c r="Q164" t="str">
        <f>IF(SUM('User Engagement'!G165:H165)&gt;=0,"YES", "NO")</f>
        <v>YES</v>
      </c>
      <c r="S164" s="2" t="str">
        <f t="shared" si="18"/>
        <v>👨🏼‍🤝‍👨🏽 0 new friends
🖼️ 0 exhibitions
🕑 0 hours of art experiences</v>
      </c>
    </row>
    <row r="165" spans="1:19" ht="51">
      <c r="A165">
        <f>Users!A163</f>
        <v>0</v>
      </c>
      <c r="C165" s="23" t="e">
        <f>VLOOKUP(A165,Users!A:D,2,FALSE)</f>
        <v>#N/A</v>
      </c>
      <c r="D165" s="23" t="e">
        <f>VLOOKUP(A165,Users!A:D,3,FALSE)</f>
        <v>#N/A</v>
      </c>
      <c r="E165" s="99">
        <f>COUNTIF(Visits!AJ:AJ,'Summer Challenge'!A273)</f>
        <v>0</v>
      </c>
      <c r="G165" t="e" cm="1">
        <f t="array" ref="G165">SUM(--(FREQUENCY(IF(Visits!E:E='Summer Challenge'!A165,Visits!AK:AK),Visits!AK:AK)&gt;0))</f>
        <v>#N/A</v>
      </c>
      <c r="H165">
        <f>SUMIF(Visits!E:E,'Summer Challenge'!A165,Visits!AK:AK)</f>
        <v>0</v>
      </c>
      <c r="J165" s="106"/>
      <c r="K165" s="106">
        <f t="shared" si="16"/>
        <v>0</v>
      </c>
      <c r="L165" s="4">
        <f>SUMIF(Visits!E:E,'Summer Challenge'!A165,Visits!AL:AL)</f>
        <v>0</v>
      </c>
      <c r="M165" s="4">
        <f t="shared" si="17"/>
        <v>0</v>
      </c>
      <c r="N165" s="4"/>
      <c r="O165" t="s">
        <v>201</v>
      </c>
      <c r="P165" t="s">
        <v>202</v>
      </c>
      <c r="Q165" t="str">
        <f>IF(SUM('User Engagement'!G166:H166)&gt;=0,"YES", "NO")</f>
        <v>YES</v>
      </c>
      <c r="S165" s="2" t="str">
        <f t="shared" si="18"/>
        <v>👨🏼‍🤝‍👨🏽 0 new friends
🖼️ 0 exhibitions
🕑 0 hours of art experiences</v>
      </c>
    </row>
    <row r="166" spans="1:19" ht="51">
      <c r="A166">
        <f>Users!A164</f>
        <v>0</v>
      </c>
      <c r="C166" s="23" t="e">
        <f>VLOOKUP(A166,Users!A:D,2,FALSE)</f>
        <v>#N/A</v>
      </c>
      <c r="D166" s="23" t="e">
        <f>VLOOKUP(A166,Users!A:D,3,FALSE)</f>
        <v>#N/A</v>
      </c>
      <c r="E166" s="99">
        <f>COUNTIF(Visits!AJ:AJ,'Summer Challenge'!A274)</f>
        <v>0</v>
      </c>
      <c r="G166" t="e" cm="1">
        <f t="array" ref="G166">SUM(--(FREQUENCY(IF(Visits!E:E='Summer Challenge'!A166,Visits!AK:AK),Visits!AK:AK)&gt;0))</f>
        <v>#N/A</v>
      </c>
      <c r="H166">
        <f>SUMIF(Visits!E:E,'Summer Challenge'!A166,Visits!AK:AK)</f>
        <v>0</v>
      </c>
      <c r="J166" s="106"/>
      <c r="K166" s="106">
        <f t="shared" si="16"/>
        <v>0</v>
      </c>
      <c r="L166" s="4">
        <f>SUMIF(Visits!E:E,'Summer Challenge'!A166,Visits!AL:AL)</f>
        <v>0</v>
      </c>
      <c r="M166" s="4">
        <f t="shared" si="17"/>
        <v>0</v>
      </c>
      <c r="N166" s="4"/>
      <c r="O166" t="s">
        <v>201</v>
      </c>
      <c r="P166" t="s">
        <v>202</v>
      </c>
      <c r="Q166" t="str">
        <f>IF(SUM('User Engagement'!G167:H167)&gt;=0,"YES", "NO")</f>
        <v>YES</v>
      </c>
      <c r="S166" s="2" t="str">
        <f t="shared" si="18"/>
        <v>👨🏼‍🤝‍👨🏽 0 new friends
🖼️ 0 exhibitions
🕑 0 hours of art experiences</v>
      </c>
    </row>
    <row r="167" spans="1:19" ht="51">
      <c r="A167">
        <f>Users!A165</f>
        <v>0</v>
      </c>
      <c r="C167" s="23" t="e">
        <f>VLOOKUP(A167,Users!A:D,2,FALSE)</f>
        <v>#N/A</v>
      </c>
      <c r="D167" s="23" t="e">
        <f>VLOOKUP(A167,Users!A:D,3,FALSE)</f>
        <v>#N/A</v>
      </c>
      <c r="E167" s="99">
        <f>COUNTIF(Visits!AJ:AJ,'Summer Challenge'!A275)</f>
        <v>0</v>
      </c>
      <c r="G167" t="e" cm="1">
        <f t="array" ref="G167">SUM(--(FREQUENCY(IF(Visits!E:E='Summer Challenge'!A167,Visits!AK:AK),Visits!AK:AK)&gt;0))</f>
        <v>#N/A</v>
      </c>
      <c r="H167">
        <f>SUMIF(Visits!E:E,'Summer Challenge'!A167,Visits!AK:AK)</f>
        <v>0</v>
      </c>
      <c r="J167" s="106"/>
      <c r="K167" s="106">
        <f t="shared" si="16"/>
        <v>0</v>
      </c>
      <c r="L167" s="4">
        <f>SUMIF(Visits!E:E,'Summer Challenge'!A167,Visits!AL:AL)</f>
        <v>0</v>
      </c>
      <c r="M167" s="4">
        <f t="shared" si="17"/>
        <v>0</v>
      </c>
      <c r="N167" s="4"/>
      <c r="O167" t="s">
        <v>201</v>
      </c>
      <c r="P167" t="s">
        <v>202</v>
      </c>
      <c r="Q167" t="str">
        <f>IF(SUM('User Engagement'!G168:H168)&gt;=0,"YES", "NO")</f>
        <v>YES</v>
      </c>
      <c r="S167" s="2" t="str">
        <f t="shared" si="18"/>
        <v>👨🏼‍🤝‍👨🏽 0 new friends
🖼️ 0 exhibitions
🕑 0 hours of art experiences</v>
      </c>
    </row>
    <row r="168" spans="1:19" ht="51">
      <c r="A168">
        <f>Users!A166</f>
        <v>0</v>
      </c>
      <c r="C168" s="23" t="e">
        <f>VLOOKUP(A168,Users!A:D,2,FALSE)</f>
        <v>#N/A</v>
      </c>
      <c r="D168" s="23" t="e">
        <f>VLOOKUP(A168,Users!A:D,3,FALSE)</f>
        <v>#N/A</v>
      </c>
      <c r="E168" s="99">
        <f>COUNTIF(Visits!AJ:AJ,'Summer Challenge'!A276)</f>
        <v>0</v>
      </c>
      <c r="G168" t="e" cm="1">
        <f t="array" ref="G168">SUM(--(FREQUENCY(IF(Visits!E:E='Summer Challenge'!A168,Visits!AK:AK),Visits!AK:AK)&gt;0))</f>
        <v>#N/A</v>
      </c>
      <c r="H168">
        <f>SUMIF(Visits!E:E,'Summer Challenge'!A168,Visits!AK:AK)</f>
        <v>0</v>
      </c>
      <c r="J168" s="106"/>
      <c r="K168" s="106">
        <f t="shared" si="16"/>
        <v>0</v>
      </c>
      <c r="L168" s="4">
        <f>SUMIF(Visits!E:E,'Summer Challenge'!A168,Visits!AL:AL)</f>
        <v>0</v>
      </c>
      <c r="M168" s="4">
        <f t="shared" si="17"/>
        <v>0</v>
      </c>
      <c r="N168" s="4"/>
      <c r="O168" t="s">
        <v>201</v>
      </c>
      <c r="P168" t="s">
        <v>202</v>
      </c>
      <c r="Q168" t="str">
        <f>IF(SUM('User Engagement'!G169:H169)&gt;=0,"YES", "NO")</f>
        <v>YES</v>
      </c>
      <c r="S168" s="2" t="str">
        <f t="shared" si="18"/>
        <v>👨🏼‍🤝‍👨🏽 0 new friends
🖼️ 0 exhibitions
🕑 0 hours of art experiences</v>
      </c>
    </row>
    <row r="169" spans="1:19" ht="51">
      <c r="A169">
        <f>Users!A167</f>
        <v>0</v>
      </c>
      <c r="C169" s="23" t="e">
        <f>VLOOKUP(A169,Users!A:D,2,FALSE)</f>
        <v>#N/A</v>
      </c>
      <c r="D169" s="23" t="e">
        <f>VLOOKUP(A169,Users!A:D,3,FALSE)</f>
        <v>#N/A</v>
      </c>
      <c r="E169" s="99">
        <f>COUNTIF(Visits!AJ:AJ,'Summer Challenge'!A277)</f>
        <v>0</v>
      </c>
      <c r="G169" t="e" cm="1">
        <f t="array" ref="G169">SUM(--(FREQUENCY(IF(Visits!E:E='Summer Challenge'!A169,Visits!AK:AK),Visits!AK:AK)&gt;0))</f>
        <v>#N/A</v>
      </c>
      <c r="H169">
        <f>SUMIF(Visits!E:E,'Summer Challenge'!A169,Visits!AK:AK)</f>
        <v>0</v>
      </c>
      <c r="J169" s="106"/>
      <c r="K169" s="106">
        <f t="shared" si="16"/>
        <v>0</v>
      </c>
      <c r="L169" s="4">
        <f>SUMIF(Visits!E:E,'Summer Challenge'!A169,Visits!AL:AL)</f>
        <v>0</v>
      </c>
      <c r="M169" s="4">
        <f t="shared" si="17"/>
        <v>0</v>
      </c>
      <c r="N169" s="4"/>
      <c r="O169" t="s">
        <v>201</v>
      </c>
      <c r="P169" t="s">
        <v>202</v>
      </c>
      <c r="Q169" t="str">
        <f>IF(SUM('User Engagement'!G170:H170)&gt;=0,"YES", "NO")</f>
        <v>YES</v>
      </c>
      <c r="S169" s="2" t="str">
        <f t="shared" si="18"/>
        <v>👨🏼‍🤝‍👨🏽 0 new friends
🖼️ 0 exhibitions
🕑 0 hours of art experiences</v>
      </c>
    </row>
    <row r="170" spans="1:19" ht="51">
      <c r="A170">
        <f>Users!A168</f>
        <v>0</v>
      </c>
      <c r="C170" s="23" t="e">
        <f>VLOOKUP(A170,Users!A:D,2,FALSE)</f>
        <v>#N/A</v>
      </c>
      <c r="D170" s="23" t="e">
        <f>VLOOKUP(A170,Users!A:D,3,FALSE)</f>
        <v>#N/A</v>
      </c>
      <c r="E170" s="99">
        <f>COUNTIF(Visits!AJ:AJ,'Summer Challenge'!A278)</f>
        <v>0</v>
      </c>
      <c r="G170" t="e" cm="1">
        <f t="array" ref="G170">SUM(--(FREQUENCY(IF(Visits!E:E='Summer Challenge'!A170,Visits!AK:AK),Visits!AK:AK)&gt;0))</f>
        <v>#N/A</v>
      </c>
      <c r="H170">
        <f>SUMIF(Visits!E:E,'Summer Challenge'!A170,Visits!AK:AK)</f>
        <v>0</v>
      </c>
      <c r="J170" s="106"/>
      <c r="K170" s="106">
        <f t="shared" si="16"/>
        <v>0</v>
      </c>
      <c r="L170" s="4">
        <f>SUMIF(Visits!E:E,'Summer Challenge'!A170,Visits!AL:AL)</f>
        <v>0</v>
      </c>
      <c r="M170" s="4">
        <f t="shared" si="17"/>
        <v>0</v>
      </c>
      <c r="N170" s="4"/>
      <c r="O170" t="s">
        <v>201</v>
      </c>
      <c r="P170" t="s">
        <v>202</v>
      </c>
      <c r="Q170" t="str">
        <f>IF(SUM('User Engagement'!G171:H171)&gt;=0,"YES", "NO")</f>
        <v>YES</v>
      </c>
      <c r="S170" s="2" t="str">
        <f t="shared" si="18"/>
        <v>👨🏼‍🤝‍👨🏽 0 new friends
🖼️ 0 exhibitions
🕑 0 hours of art experiences</v>
      </c>
    </row>
    <row r="171" spans="1:19" ht="51">
      <c r="A171">
        <f>Users!A169</f>
        <v>0</v>
      </c>
      <c r="C171" s="23" t="e">
        <f>VLOOKUP(A171,Users!A:D,2,FALSE)</f>
        <v>#N/A</v>
      </c>
      <c r="D171" s="23" t="e">
        <f>VLOOKUP(A171,Users!A:D,3,FALSE)</f>
        <v>#N/A</v>
      </c>
      <c r="E171" s="99">
        <f>COUNTIF(Visits!AJ:AJ,'Summer Challenge'!A279)</f>
        <v>0</v>
      </c>
      <c r="G171" t="e" cm="1">
        <f t="array" ref="G171">SUM(--(FREQUENCY(IF(Visits!E:E='Summer Challenge'!A171,Visits!AK:AK),Visits!AK:AK)&gt;0))</f>
        <v>#N/A</v>
      </c>
      <c r="H171">
        <f>SUMIF(Visits!E:E,'Summer Challenge'!A171,Visits!AK:AK)</f>
        <v>0</v>
      </c>
      <c r="J171" s="106"/>
      <c r="K171" s="106">
        <f t="shared" si="16"/>
        <v>0</v>
      </c>
      <c r="L171" s="4">
        <f>SUMIF(Visits!E:E,'Summer Challenge'!A171,Visits!AL:AL)</f>
        <v>0</v>
      </c>
      <c r="M171" s="4">
        <f t="shared" si="17"/>
        <v>0</v>
      </c>
      <c r="N171" s="4"/>
      <c r="O171" t="s">
        <v>201</v>
      </c>
      <c r="P171" t="s">
        <v>202</v>
      </c>
      <c r="Q171" t="str">
        <f>IF(SUM('User Engagement'!G172:H172)&gt;=0,"YES", "NO")</f>
        <v>YES</v>
      </c>
      <c r="S171" s="2" t="str">
        <f t="shared" si="18"/>
        <v>👨🏼‍🤝‍👨🏽 0 new friends
🖼️ 0 exhibitions
🕑 0 hours of art experiences</v>
      </c>
    </row>
    <row r="172" spans="1:19" ht="51">
      <c r="A172">
        <f>Users!A170</f>
        <v>0</v>
      </c>
      <c r="C172" s="23" t="e">
        <f>VLOOKUP(A172,Users!A:D,2,FALSE)</f>
        <v>#N/A</v>
      </c>
      <c r="D172" s="23" t="e">
        <f>VLOOKUP(A172,Users!A:D,3,FALSE)</f>
        <v>#N/A</v>
      </c>
      <c r="E172" s="99">
        <f>COUNTIF(Visits!AJ:AJ,'Summer Challenge'!A280)</f>
        <v>0</v>
      </c>
      <c r="G172" t="e" cm="1">
        <f t="array" ref="G172">SUM(--(FREQUENCY(IF(Visits!E:E='Summer Challenge'!A172,Visits!AK:AK),Visits!AK:AK)&gt;0))</f>
        <v>#N/A</v>
      </c>
      <c r="H172">
        <f>SUMIF(Visits!E:E,'Summer Challenge'!A172,Visits!AK:AK)</f>
        <v>0</v>
      </c>
      <c r="J172" s="106"/>
      <c r="K172" s="106">
        <f t="shared" si="16"/>
        <v>0</v>
      </c>
      <c r="L172" s="4">
        <f>SUMIF(Visits!E:E,'Summer Challenge'!A172,Visits!AL:AL)</f>
        <v>0</v>
      </c>
      <c r="M172" s="4">
        <f t="shared" si="17"/>
        <v>0</v>
      </c>
      <c r="N172" s="4"/>
      <c r="O172" t="s">
        <v>201</v>
      </c>
      <c r="P172" t="s">
        <v>202</v>
      </c>
      <c r="Q172" t="str">
        <f>IF(SUM('User Engagement'!G173:H173)&gt;=0,"YES", "NO")</f>
        <v>YES</v>
      </c>
      <c r="S172" s="2" t="str">
        <f t="shared" si="18"/>
        <v>👨🏼‍🤝‍👨🏽 0 new friends
🖼️ 0 exhibitions
🕑 0 hours of art experiences</v>
      </c>
    </row>
    <row r="173" spans="1:19" ht="51">
      <c r="A173">
        <f>Users!A171</f>
        <v>0</v>
      </c>
      <c r="C173" s="23" t="e">
        <f>VLOOKUP(A173,Users!A:D,2,FALSE)</f>
        <v>#N/A</v>
      </c>
      <c r="D173" s="23" t="e">
        <f>VLOOKUP(A173,Users!A:D,3,FALSE)</f>
        <v>#N/A</v>
      </c>
      <c r="E173" s="99">
        <f>COUNTIF(Visits!AJ:AJ,'Summer Challenge'!A281)</f>
        <v>0</v>
      </c>
      <c r="G173" t="e" cm="1">
        <f t="array" ref="G173">SUM(--(FREQUENCY(IF(Visits!E:E='Summer Challenge'!A173,Visits!AK:AK),Visits!AK:AK)&gt;0))</f>
        <v>#N/A</v>
      </c>
      <c r="H173">
        <f>SUMIF(Visits!E:E,'Summer Challenge'!A173,Visits!AK:AK)</f>
        <v>0</v>
      </c>
      <c r="J173" s="106"/>
      <c r="K173" s="106">
        <f t="shared" si="16"/>
        <v>0</v>
      </c>
      <c r="L173" s="4">
        <f>SUMIF(Visits!E:E,'Summer Challenge'!A173,Visits!AL:AL)</f>
        <v>0</v>
      </c>
      <c r="M173" s="4">
        <f t="shared" si="17"/>
        <v>0</v>
      </c>
      <c r="N173" s="4"/>
      <c r="O173" t="s">
        <v>201</v>
      </c>
      <c r="P173" t="s">
        <v>202</v>
      </c>
      <c r="Q173" t="str">
        <f>IF(SUM('User Engagement'!G174:H174)&gt;=0,"YES", "NO")</f>
        <v>YES</v>
      </c>
      <c r="S173" s="2" t="str">
        <f t="shared" si="18"/>
        <v>👨🏼‍🤝‍👨🏽 0 new friends
🖼️ 0 exhibitions
🕑 0 hours of art experiences</v>
      </c>
    </row>
    <row r="174" spans="1:19" ht="51">
      <c r="A174">
        <f>Users!A172</f>
        <v>0</v>
      </c>
      <c r="C174" s="23" t="e">
        <f>VLOOKUP(A174,Users!A:D,2,FALSE)</f>
        <v>#N/A</v>
      </c>
      <c r="D174" s="23" t="e">
        <f>VLOOKUP(A174,Users!A:D,3,FALSE)</f>
        <v>#N/A</v>
      </c>
      <c r="E174" s="99">
        <f>COUNTIF(Visits!AJ:AJ,'Summer Challenge'!A282)</f>
        <v>0</v>
      </c>
      <c r="G174" t="e" cm="1">
        <f t="array" ref="G174">SUM(--(FREQUENCY(IF(Visits!E:E='Summer Challenge'!A174,Visits!AK:AK),Visits!AK:AK)&gt;0))</f>
        <v>#N/A</v>
      </c>
      <c r="H174">
        <f>SUMIF(Visits!E:E,'Summer Challenge'!A174,Visits!AK:AK)</f>
        <v>0</v>
      </c>
      <c r="J174" s="106"/>
      <c r="K174" s="106">
        <f t="shared" si="16"/>
        <v>0</v>
      </c>
      <c r="L174" s="4">
        <f>SUMIF(Visits!E:E,'Summer Challenge'!A174,Visits!AL:AL)</f>
        <v>0</v>
      </c>
      <c r="M174" s="4">
        <f t="shared" si="17"/>
        <v>0</v>
      </c>
      <c r="N174" s="4"/>
      <c r="O174" t="s">
        <v>201</v>
      </c>
      <c r="P174" t="s">
        <v>202</v>
      </c>
      <c r="Q174" t="str">
        <f>IF(SUM('User Engagement'!G175:H175)&gt;=0,"YES", "NO")</f>
        <v>YES</v>
      </c>
      <c r="S174" s="2" t="str">
        <f t="shared" si="18"/>
        <v>👨🏼‍🤝‍👨🏽 0 new friends
🖼️ 0 exhibitions
🕑 0 hours of art experiences</v>
      </c>
    </row>
    <row r="175" spans="1:19" ht="51">
      <c r="A175">
        <f>Users!A173</f>
        <v>0</v>
      </c>
      <c r="C175" s="23" t="e">
        <f>VLOOKUP(A175,Users!A:D,2,FALSE)</f>
        <v>#N/A</v>
      </c>
      <c r="D175" s="23" t="e">
        <f>VLOOKUP(A175,Users!A:D,3,FALSE)</f>
        <v>#N/A</v>
      </c>
      <c r="E175" s="99">
        <f>COUNTIF(Visits!AJ:AJ,'Summer Challenge'!A283)</f>
        <v>0</v>
      </c>
      <c r="G175" t="e" cm="1">
        <f t="array" ref="G175">SUM(--(FREQUENCY(IF(Visits!E:E='Summer Challenge'!A175,Visits!AK:AK),Visits!AK:AK)&gt;0))</f>
        <v>#N/A</v>
      </c>
      <c r="H175">
        <f>SUMIF(Visits!E:E,'Summer Challenge'!A175,Visits!AK:AK)</f>
        <v>0</v>
      </c>
      <c r="J175" s="106"/>
      <c r="K175" s="106">
        <f t="shared" si="16"/>
        <v>0</v>
      </c>
      <c r="L175" s="4">
        <f>SUMIF(Visits!E:E,'Summer Challenge'!A175,Visits!AL:AL)</f>
        <v>0</v>
      </c>
      <c r="M175" s="4">
        <f t="shared" si="17"/>
        <v>0</v>
      </c>
      <c r="N175" s="4"/>
      <c r="O175" t="s">
        <v>201</v>
      </c>
      <c r="P175" t="s">
        <v>202</v>
      </c>
      <c r="Q175" t="str">
        <f>IF(SUM('User Engagement'!G176:H176)&gt;=0,"YES", "NO")</f>
        <v>YES</v>
      </c>
      <c r="S175" s="2" t="str">
        <f t="shared" si="18"/>
        <v>👨🏼‍🤝‍👨🏽 0 new friends
🖼️ 0 exhibitions
🕑 0 hours of art experiences</v>
      </c>
    </row>
    <row r="176" spans="1:19" ht="51">
      <c r="A176">
        <f>Users!A174</f>
        <v>0</v>
      </c>
      <c r="C176" s="23" t="e">
        <f>VLOOKUP(A176,Users!A:D,2,FALSE)</f>
        <v>#N/A</v>
      </c>
      <c r="D176" s="23" t="e">
        <f>VLOOKUP(A176,Users!A:D,3,FALSE)</f>
        <v>#N/A</v>
      </c>
      <c r="E176" s="99">
        <f>COUNTIF(Visits!AJ:AJ,'Summer Challenge'!A284)</f>
        <v>0</v>
      </c>
      <c r="G176" t="e" cm="1">
        <f t="array" ref="G176">SUM(--(FREQUENCY(IF(Visits!E:E='Summer Challenge'!A176,Visits!AK:AK),Visits!AK:AK)&gt;0))</f>
        <v>#N/A</v>
      </c>
      <c r="H176">
        <f>SUMIF(Visits!E:E,'Summer Challenge'!A176,Visits!AK:AK)</f>
        <v>0</v>
      </c>
      <c r="J176" s="106"/>
      <c r="K176" s="106">
        <f t="shared" si="16"/>
        <v>0</v>
      </c>
      <c r="L176" s="4">
        <f>SUMIF(Visits!E:E,'Summer Challenge'!A176,Visits!AL:AL)</f>
        <v>0</v>
      </c>
      <c r="M176" s="4">
        <f t="shared" si="17"/>
        <v>0</v>
      </c>
      <c r="N176" s="4"/>
      <c r="O176" t="s">
        <v>201</v>
      </c>
      <c r="P176" t="s">
        <v>202</v>
      </c>
      <c r="Q176" t="str">
        <f>IF(SUM('User Engagement'!G177:H177)&gt;=0,"YES", "NO")</f>
        <v>YES</v>
      </c>
      <c r="S176" s="2" t="str">
        <f t="shared" si="18"/>
        <v>👨🏼‍🤝‍👨🏽 0 new friends
🖼️ 0 exhibitions
🕑 0 hours of art experiences</v>
      </c>
    </row>
    <row r="177" spans="1:19" ht="51">
      <c r="A177">
        <f>Users!A175</f>
        <v>0</v>
      </c>
      <c r="C177" s="23" t="e">
        <f>VLOOKUP(A177,Users!A:D,2,FALSE)</f>
        <v>#N/A</v>
      </c>
      <c r="D177" s="23" t="e">
        <f>VLOOKUP(A177,Users!A:D,3,FALSE)</f>
        <v>#N/A</v>
      </c>
      <c r="E177" s="99">
        <f>COUNTIF(Visits!AJ:AJ,'Summer Challenge'!A285)</f>
        <v>0</v>
      </c>
      <c r="G177" t="e" cm="1">
        <f t="array" ref="G177">SUM(--(FREQUENCY(IF(Visits!E:E='Summer Challenge'!A177,Visits!AK:AK),Visits!AK:AK)&gt;0))</f>
        <v>#N/A</v>
      </c>
      <c r="H177">
        <f>SUMIF(Visits!E:E,'Summer Challenge'!A177,Visits!AK:AK)</f>
        <v>0</v>
      </c>
      <c r="J177" s="106"/>
      <c r="K177" s="106">
        <f t="shared" si="16"/>
        <v>0</v>
      </c>
      <c r="L177" s="4">
        <f>SUMIF(Visits!E:E,'Summer Challenge'!A177,Visits!AL:AL)</f>
        <v>0</v>
      </c>
      <c r="M177" s="4">
        <f t="shared" si="17"/>
        <v>0</v>
      </c>
      <c r="N177" s="4"/>
      <c r="O177" t="s">
        <v>201</v>
      </c>
      <c r="P177" t="s">
        <v>202</v>
      </c>
      <c r="Q177" t="str">
        <f>IF(SUM('User Engagement'!G178:H178)&gt;=0,"YES", "NO")</f>
        <v>YES</v>
      </c>
      <c r="S177" s="2" t="str">
        <f t="shared" si="18"/>
        <v>👨🏼‍🤝‍👨🏽 0 new friends
🖼️ 0 exhibitions
🕑 0 hours of art experiences</v>
      </c>
    </row>
    <row r="178" spans="1:19" ht="51">
      <c r="A178">
        <f>Users!A176</f>
        <v>0</v>
      </c>
      <c r="C178" s="23" t="e">
        <f>VLOOKUP(A178,Users!A:D,2,FALSE)</f>
        <v>#N/A</v>
      </c>
      <c r="D178" s="23" t="e">
        <f>VLOOKUP(A178,Users!A:D,3,FALSE)</f>
        <v>#N/A</v>
      </c>
      <c r="E178" s="99">
        <f>COUNTIF(Visits!AJ:AJ,'Summer Challenge'!A286)</f>
        <v>0</v>
      </c>
      <c r="G178" t="e" cm="1">
        <f t="array" ref="G178">SUM(--(FREQUENCY(IF(Visits!E:E='Summer Challenge'!A178,Visits!AK:AK),Visits!AK:AK)&gt;0))</f>
        <v>#N/A</v>
      </c>
      <c r="H178">
        <f>SUMIF(Visits!E:E,'Summer Challenge'!A178,Visits!AK:AK)</f>
        <v>0</v>
      </c>
      <c r="J178" s="106"/>
      <c r="K178" s="106">
        <f t="shared" si="16"/>
        <v>0</v>
      </c>
      <c r="L178" s="4">
        <f>SUMIF(Visits!E:E,'Summer Challenge'!A178,Visits!AL:AL)</f>
        <v>0</v>
      </c>
      <c r="M178" s="4">
        <f t="shared" si="17"/>
        <v>0</v>
      </c>
      <c r="N178" s="4"/>
      <c r="O178" t="s">
        <v>201</v>
      </c>
      <c r="P178" t="s">
        <v>202</v>
      </c>
      <c r="Q178" t="str">
        <f>IF(SUM('User Engagement'!G179:H179)&gt;=0,"YES", "NO")</f>
        <v>YES</v>
      </c>
      <c r="S178" s="2" t="str">
        <f t="shared" si="18"/>
        <v>👨🏼‍🤝‍👨🏽 0 new friends
🖼️ 0 exhibitions
🕑 0 hours of art experiences</v>
      </c>
    </row>
    <row r="179" spans="1:19" ht="51">
      <c r="A179">
        <f>Users!A177</f>
        <v>0</v>
      </c>
      <c r="C179" s="23" t="e">
        <f>VLOOKUP(A179,Users!A:D,2,FALSE)</f>
        <v>#N/A</v>
      </c>
      <c r="D179" s="23" t="e">
        <f>VLOOKUP(A179,Users!A:D,3,FALSE)</f>
        <v>#N/A</v>
      </c>
      <c r="E179" s="99">
        <f>COUNTIF(Visits!AJ:AJ,'Summer Challenge'!A287)</f>
        <v>0</v>
      </c>
      <c r="G179" t="e" cm="1">
        <f t="array" ref="G179">SUM(--(FREQUENCY(IF(Visits!E:E='Summer Challenge'!A179,Visits!AK:AK),Visits!AK:AK)&gt;0))</f>
        <v>#N/A</v>
      </c>
      <c r="H179">
        <f>SUMIF(Visits!E:E,'Summer Challenge'!A179,Visits!AK:AK)</f>
        <v>0</v>
      </c>
      <c r="J179" s="106"/>
      <c r="K179" s="106">
        <f t="shared" si="16"/>
        <v>0</v>
      </c>
      <c r="L179" s="4">
        <f>SUMIF(Visits!E:E,'Summer Challenge'!A179,Visits!AL:AL)</f>
        <v>0</v>
      </c>
      <c r="M179" s="4">
        <f t="shared" si="17"/>
        <v>0</v>
      </c>
      <c r="N179" s="4"/>
      <c r="O179" t="s">
        <v>201</v>
      </c>
      <c r="P179" t="s">
        <v>202</v>
      </c>
      <c r="Q179" t="str">
        <f>IF(SUM('User Engagement'!G180:H180)&gt;=0,"YES", "NO")</f>
        <v>YES</v>
      </c>
      <c r="S179" s="2" t="str">
        <f t="shared" si="18"/>
        <v>👨🏼‍🤝‍👨🏽 0 new friends
🖼️ 0 exhibitions
🕑 0 hours of art experiences</v>
      </c>
    </row>
    <row r="180" spans="1:19" ht="51">
      <c r="A180">
        <f>Users!A178</f>
        <v>0</v>
      </c>
      <c r="C180" s="23" t="e">
        <f>VLOOKUP(A180,Users!A:D,2,FALSE)</f>
        <v>#N/A</v>
      </c>
      <c r="D180" s="23" t="e">
        <f>VLOOKUP(A180,Users!A:D,3,FALSE)</f>
        <v>#N/A</v>
      </c>
      <c r="E180" s="99">
        <f>COUNTIF(Visits!AJ:AJ,'Summer Challenge'!A288)</f>
        <v>0</v>
      </c>
      <c r="G180" t="e" cm="1">
        <f t="array" ref="G180">SUM(--(FREQUENCY(IF(Visits!E:E='Summer Challenge'!A180,Visits!AK:AK),Visits!AK:AK)&gt;0))</f>
        <v>#N/A</v>
      </c>
      <c r="H180">
        <f>SUMIF(Visits!E:E,'Summer Challenge'!A180,Visits!AK:AK)</f>
        <v>0</v>
      </c>
      <c r="J180" s="106"/>
      <c r="K180" s="106">
        <f t="shared" si="16"/>
        <v>0</v>
      </c>
      <c r="L180" s="4">
        <f>SUMIF(Visits!E:E,'Summer Challenge'!A180,Visits!AL:AL)</f>
        <v>0</v>
      </c>
      <c r="M180" s="4">
        <f t="shared" si="17"/>
        <v>0</v>
      </c>
      <c r="N180" s="4"/>
      <c r="O180" t="s">
        <v>201</v>
      </c>
      <c r="P180" t="s">
        <v>202</v>
      </c>
      <c r="Q180" t="str">
        <f>IF(SUM('User Engagement'!G181:H181)&gt;=0,"YES", "NO")</f>
        <v>YES</v>
      </c>
      <c r="S180" s="2" t="str">
        <f t="shared" si="18"/>
        <v>👨🏼‍🤝‍👨🏽 0 new friends
🖼️ 0 exhibitions
🕑 0 hours of art experiences</v>
      </c>
    </row>
    <row r="181" spans="1:19" ht="51">
      <c r="A181">
        <f>Users!A179</f>
        <v>0</v>
      </c>
      <c r="C181" s="23" t="e">
        <f>VLOOKUP(A181,Users!A:D,2,FALSE)</f>
        <v>#N/A</v>
      </c>
      <c r="D181" s="23" t="e">
        <f>VLOOKUP(A181,Users!A:D,3,FALSE)</f>
        <v>#N/A</v>
      </c>
      <c r="E181" s="99">
        <f>COUNTIF(Visits!AJ:AJ,'Summer Challenge'!A289)</f>
        <v>0</v>
      </c>
      <c r="G181" t="e" cm="1">
        <f t="array" ref="G181">SUM(--(FREQUENCY(IF(Visits!E:E='Summer Challenge'!A181,Visits!AK:AK),Visits!AK:AK)&gt;0))</f>
        <v>#N/A</v>
      </c>
      <c r="H181">
        <f>SUMIF(Visits!E:E,'Summer Challenge'!A181,Visits!AK:AK)</f>
        <v>0</v>
      </c>
      <c r="J181" s="106"/>
      <c r="K181" s="106">
        <f t="shared" si="16"/>
        <v>0</v>
      </c>
      <c r="L181" s="4">
        <f>SUMIF(Visits!E:E,'Summer Challenge'!A181,Visits!AL:AL)</f>
        <v>0</v>
      </c>
      <c r="M181" s="4">
        <f t="shared" si="17"/>
        <v>0</v>
      </c>
      <c r="N181" s="4"/>
      <c r="O181" t="s">
        <v>201</v>
      </c>
      <c r="P181" t="s">
        <v>202</v>
      </c>
      <c r="Q181" t="str">
        <f>IF(SUM('User Engagement'!G182:H182)&gt;=0,"YES", "NO")</f>
        <v>YES</v>
      </c>
      <c r="S181" s="2" t="str">
        <f t="shared" si="18"/>
        <v>👨🏼‍🤝‍👨🏽 0 new friends
🖼️ 0 exhibitions
🕑 0 hours of art experiences</v>
      </c>
    </row>
    <row r="182" spans="1:19" ht="51">
      <c r="A182">
        <f>Users!A180</f>
        <v>0</v>
      </c>
      <c r="C182" s="23" t="e">
        <f>VLOOKUP(A182,Users!A:D,2,FALSE)</f>
        <v>#N/A</v>
      </c>
      <c r="D182" s="23" t="e">
        <f>VLOOKUP(A182,Users!A:D,3,FALSE)</f>
        <v>#N/A</v>
      </c>
      <c r="E182" s="99">
        <f>COUNTIF(Visits!AJ:AJ,'Summer Challenge'!A290)</f>
        <v>0</v>
      </c>
      <c r="G182" t="e" cm="1">
        <f t="array" ref="G182">SUM(--(FREQUENCY(IF(Visits!E:E='Summer Challenge'!A182,Visits!AK:AK),Visits!AK:AK)&gt;0))</f>
        <v>#N/A</v>
      </c>
      <c r="H182">
        <f>SUMIF(Visits!E:E,'Summer Challenge'!A182,Visits!AK:AK)</f>
        <v>0</v>
      </c>
      <c r="J182" s="106"/>
      <c r="K182" s="106">
        <f t="shared" si="16"/>
        <v>0</v>
      </c>
      <c r="L182" s="4">
        <f>SUMIF(Visits!E:E,'Summer Challenge'!A182,Visits!AL:AL)</f>
        <v>0</v>
      </c>
      <c r="M182" s="4">
        <f t="shared" si="17"/>
        <v>0</v>
      </c>
      <c r="N182" s="4"/>
      <c r="O182" t="s">
        <v>201</v>
      </c>
      <c r="P182" t="s">
        <v>202</v>
      </c>
      <c r="Q182" t="str">
        <f>IF(SUM('User Engagement'!G183:H183)&gt;=0,"YES", "NO")</f>
        <v>YES</v>
      </c>
      <c r="S182" s="2" t="str">
        <f t="shared" si="18"/>
        <v>👨🏼‍🤝‍👨🏽 0 new friends
🖼️ 0 exhibitions
🕑 0 hours of art experiences</v>
      </c>
    </row>
    <row r="183" spans="1:19" ht="51">
      <c r="A183">
        <f>Users!A181</f>
        <v>0</v>
      </c>
      <c r="C183" s="23" t="e">
        <f>VLOOKUP(A183,Users!A:D,2,FALSE)</f>
        <v>#N/A</v>
      </c>
      <c r="D183" s="23" t="e">
        <f>VLOOKUP(A183,Users!A:D,3,FALSE)</f>
        <v>#N/A</v>
      </c>
      <c r="E183" s="99">
        <f>COUNTIF(Visits!AJ:AJ,'Summer Challenge'!A291)</f>
        <v>0</v>
      </c>
      <c r="G183" t="e" cm="1">
        <f t="array" ref="G183">SUM(--(FREQUENCY(IF(Visits!E:E='Summer Challenge'!A183,Visits!AK:AK),Visits!AK:AK)&gt;0))</f>
        <v>#N/A</v>
      </c>
      <c r="H183">
        <f>SUMIF(Visits!E:E,'Summer Challenge'!A183,Visits!AK:AK)</f>
        <v>0</v>
      </c>
      <c r="J183" s="106"/>
      <c r="K183" s="106">
        <f t="shared" si="16"/>
        <v>0</v>
      </c>
      <c r="L183" s="4">
        <f>SUMIF(Visits!E:E,'Summer Challenge'!A183,Visits!AL:AL)</f>
        <v>0</v>
      </c>
      <c r="M183" s="4">
        <f t="shared" si="17"/>
        <v>0</v>
      </c>
      <c r="N183" s="4"/>
      <c r="O183" t="s">
        <v>201</v>
      </c>
      <c r="P183" t="s">
        <v>202</v>
      </c>
      <c r="Q183" t="str">
        <f>IF(SUM('User Engagement'!G184:H184)&gt;=0,"YES", "NO")</f>
        <v>YES</v>
      </c>
      <c r="S183" s="2" t="str">
        <f t="shared" si="18"/>
        <v>👨🏼‍🤝‍👨🏽 0 new friends
🖼️ 0 exhibitions
🕑 0 hours of art experiences</v>
      </c>
    </row>
    <row r="184" spans="1:19" ht="51">
      <c r="A184">
        <f>Users!A182</f>
        <v>0</v>
      </c>
      <c r="C184" s="23" t="e">
        <f>VLOOKUP(A184,Users!A:D,2,FALSE)</f>
        <v>#N/A</v>
      </c>
      <c r="D184" s="23" t="e">
        <f>VLOOKUP(A184,Users!A:D,3,FALSE)</f>
        <v>#N/A</v>
      </c>
      <c r="E184" s="99">
        <f>COUNTIF(Visits!AJ:AJ,'Summer Challenge'!A292)</f>
        <v>0</v>
      </c>
      <c r="G184" t="e" cm="1">
        <f t="array" ref="G184">SUM(--(FREQUENCY(IF(Visits!E:E='Summer Challenge'!A184,Visits!AK:AK),Visits!AK:AK)&gt;0))</f>
        <v>#N/A</v>
      </c>
      <c r="H184">
        <f>SUMIF(Visits!E:E,'Summer Challenge'!A184,Visits!AK:AK)</f>
        <v>0</v>
      </c>
      <c r="J184" s="106"/>
      <c r="K184" s="106">
        <f t="shared" si="16"/>
        <v>0</v>
      </c>
      <c r="L184" s="4">
        <f>SUMIF(Visits!E:E,'Summer Challenge'!A184,Visits!AL:AL)</f>
        <v>0</v>
      </c>
      <c r="M184" s="4">
        <f t="shared" si="17"/>
        <v>0</v>
      </c>
      <c r="N184" s="4"/>
      <c r="O184" t="s">
        <v>201</v>
      </c>
      <c r="P184" t="s">
        <v>202</v>
      </c>
      <c r="Q184" t="str">
        <f>IF(SUM('User Engagement'!G185:H185)&gt;=0,"YES", "NO")</f>
        <v>YES</v>
      </c>
      <c r="S184" s="2" t="str">
        <f t="shared" si="18"/>
        <v>👨🏼‍🤝‍👨🏽 0 new friends
🖼️ 0 exhibitions
🕑 0 hours of art experiences</v>
      </c>
    </row>
    <row r="185" spans="1:19" ht="51">
      <c r="A185">
        <f>Users!A183</f>
        <v>0</v>
      </c>
      <c r="C185" s="23" t="e">
        <f>VLOOKUP(A185,Users!A:D,2,FALSE)</f>
        <v>#N/A</v>
      </c>
      <c r="D185" s="23" t="e">
        <f>VLOOKUP(A185,Users!A:D,3,FALSE)</f>
        <v>#N/A</v>
      </c>
      <c r="E185" s="99">
        <f>COUNTIF(Visits!AJ:AJ,'Summer Challenge'!A293)</f>
        <v>0</v>
      </c>
      <c r="G185" t="e" cm="1">
        <f t="array" ref="G185">SUM(--(FREQUENCY(IF(Visits!E:E='Summer Challenge'!A185,Visits!AK:AK),Visits!AK:AK)&gt;0))</f>
        <v>#N/A</v>
      </c>
      <c r="H185">
        <f>SUMIF(Visits!E:E,'Summer Challenge'!A185,Visits!AK:AK)</f>
        <v>0</v>
      </c>
      <c r="J185" s="106"/>
      <c r="K185" s="106">
        <f t="shared" si="16"/>
        <v>0</v>
      </c>
      <c r="L185" s="4">
        <f>SUMIF(Visits!E:E,'Summer Challenge'!A185,Visits!AL:AL)</f>
        <v>0</v>
      </c>
      <c r="M185" s="4">
        <f t="shared" si="17"/>
        <v>0</v>
      </c>
      <c r="N185" s="4"/>
      <c r="O185" t="s">
        <v>201</v>
      </c>
      <c r="P185" t="s">
        <v>202</v>
      </c>
      <c r="Q185" t="str">
        <f>IF(SUM('User Engagement'!G186:H186)&gt;=0,"YES", "NO")</f>
        <v>YES</v>
      </c>
      <c r="S185" s="2" t="str">
        <f t="shared" si="18"/>
        <v>👨🏼‍🤝‍👨🏽 0 new friends
🖼️ 0 exhibitions
🕑 0 hours of art experiences</v>
      </c>
    </row>
    <row r="186" spans="1:19" ht="51">
      <c r="A186">
        <f>Users!A184</f>
        <v>0</v>
      </c>
      <c r="C186" s="23" t="e">
        <f>VLOOKUP(A186,Users!A:D,2,FALSE)</f>
        <v>#N/A</v>
      </c>
      <c r="D186" s="23" t="e">
        <f>VLOOKUP(A186,Users!A:D,3,FALSE)</f>
        <v>#N/A</v>
      </c>
      <c r="E186" s="99">
        <f>COUNTIF(Visits!AJ:AJ,'Summer Challenge'!A294)</f>
        <v>0</v>
      </c>
      <c r="G186" t="e" cm="1">
        <f t="array" ref="G186">SUM(--(FREQUENCY(IF(Visits!E:E='Summer Challenge'!A186,Visits!AK:AK),Visits!AK:AK)&gt;0))</f>
        <v>#N/A</v>
      </c>
      <c r="H186">
        <f>SUMIF(Visits!E:E,'Summer Challenge'!A186,Visits!AK:AK)</f>
        <v>0</v>
      </c>
      <c r="J186" s="106"/>
      <c r="K186" s="106">
        <f t="shared" si="16"/>
        <v>0</v>
      </c>
      <c r="L186" s="4">
        <f>SUMIF(Visits!E:E,'Summer Challenge'!A186,Visits!AL:AL)</f>
        <v>0</v>
      </c>
      <c r="M186" s="4">
        <f t="shared" si="17"/>
        <v>0</v>
      </c>
      <c r="N186" s="4"/>
      <c r="O186" t="s">
        <v>201</v>
      </c>
      <c r="P186" t="s">
        <v>202</v>
      </c>
      <c r="Q186" t="str">
        <f>IF(SUM('User Engagement'!G187:H187)&gt;=0,"YES", "NO")</f>
        <v>YES</v>
      </c>
      <c r="S186" s="2" t="str">
        <f t="shared" si="18"/>
        <v>👨🏼‍🤝‍👨🏽 0 new friends
🖼️ 0 exhibitions
🕑 0 hours of art experiences</v>
      </c>
    </row>
    <row r="187" spans="1:19" ht="51">
      <c r="A187">
        <f>Users!A185</f>
        <v>0</v>
      </c>
      <c r="C187" s="23" t="e">
        <f>VLOOKUP(A187,Users!A:D,2,FALSE)</f>
        <v>#N/A</v>
      </c>
      <c r="D187" s="23" t="e">
        <f>VLOOKUP(A187,Users!A:D,3,FALSE)</f>
        <v>#N/A</v>
      </c>
      <c r="E187" s="99">
        <f>COUNTIF(Visits!AJ:AJ,'Summer Challenge'!A295)</f>
        <v>0</v>
      </c>
      <c r="G187" t="e" cm="1">
        <f t="array" ref="G187">SUM(--(FREQUENCY(IF(Visits!E:E='Summer Challenge'!A187,Visits!AK:AK),Visits!AK:AK)&gt;0))</f>
        <v>#N/A</v>
      </c>
      <c r="H187">
        <f>SUMIF(Visits!E:E,'Summer Challenge'!A187,Visits!AK:AK)</f>
        <v>0</v>
      </c>
      <c r="J187" s="106"/>
      <c r="K187" s="106">
        <f t="shared" si="16"/>
        <v>0</v>
      </c>
      <c r="L187" s="4">
        <f>SUMIF(Visits!E:E,'Summer Challenge'!A187,Visits!AL:AL)</f>
        <v>0</v>
      </c>
      <c r="M187" s="4">
        <f t="shared" si="17"/>
        <v>0</v>
      </c>
      <c r="N187" s="4"/>
      <c r="O187" t="s">
        <v>201</v>
      </c>
      <c r="P187" t="s">
        <v>202</v>
      </c>
      <c r="Q187" t="str">
        <f>IF(SUM('User Engagement'!G188:H188)&gt;=0,"YES", "NO")</f>
        <v>YES</v>
      </c>
      <c r="S187" s="2" t="str">
        <f t="shared" si="18"/>
        <v>👨🏼‍🤝‍👨🏽 0 new friends
🖼️ 0 exhibitions
🕑 0 hours of art experiences</v>
      </c>
    </row>
    <row r="188" spans="1:19" ht="51">
      <c r="A188">
        <f>Users!A186</f>
        <v>0</v>
      </c>
      <c r="C188" s="23" t="e">
        <f>VLOOKUP(A188,Users!A:D,2,FALSE)</f>
        <v>#N/A</v>
      </c>
      <c r="D188" s="23" t="e">
        <f>VLOOKUP(A188,Users!A:D,3,FALSE)</f>
        <v>#N/A</v>
      </c>
      <c r="E188" s="99">
        <f>COUNTIF(Visits!AJ:AJ,'Summer Challenge'!A296)</f>
        <v>0</v>
      </c>
      <c r="G188" t="e" cm="1">
        <f t="array" ref="G188">SUM(--(FREQUENCY(IF(Visits!E:E='Summer Challenge'!A188,Visits!AK:AK),Visits!AK:AK)&gt;0))</f>
        <v>#N/A</v>
      </c>
      <c r="H188">
        <f>SUMIF(Visits!E:E,'Summer Challenge'!A188,Visits!AK:AK)</f>
        <v>0</v>
      </c>
      <c r="J188" s="106"/>
      <c r="K188" s="106">
        <f t="shared" si="16"/>
        <v>0</v>
      </c>
      <c r="L188" s="4">
        <f>SUMIF(Visits!E:E,'Summer Challenge'!A188,Visits!AL:AL)</f>
        <v>0</v>
      </c>
      <c r="M188" s="4">
        <f t="shared" si="17"/>
        <v>0</v>
      </c>
      <c r="N188" s="4"/>
      <c r="O188" t="s">
        <v>201</v>
      </c>
      <c r="P188" t="s">
        <v>202</v>
      </c>
      <c r="Q188" t="str">
        <f>IF(SUM('User Engagement'!G189:H189)&gt;=0,"YES", "NO")</f>
        <v>YES</v>
      </c>
      <c r="S188" s="2" t="str">
        <f t="shared" si="18"/>
        <v>👨🏼‍🤝‍👨🏽 0 new friends
🖼️ 0 exhibitions
🕑 0 hours of art experiences</v>
      </c>
    </row>
    <row r="189" spans="1:19" ht="51">
      <c r="A189">
        <f>Users!A187</f>
        <v>0</v>
      </c>
      <c r="C189" s="23" t="e">
        <f>VLOOKUP(A189,Users!A:D,2,FALSE)</f>
        <v>#N/A</v>
      </c>
      <c r="D189" s="23" t="e">
        <f>VLOOKUP(A189,Users!A:D,3,FALSE)</f>
        <v>#N/A</v>
      </c>
      <c r="E189" s="99">
        <f>COUNTIF(Visits!AJ:AJ,'Summer Challenge'!A297)</f>
        <v>0</v>
      </c>
      <c r="G189" t="e" cm="1">
        <f t="array" ref="G189">SUM(--(FREQUENCY(IF(Visits!E:E='Summer Challenge'!A189,Visits!AK:AK),Visits!AK:AK)&gt;0))</f>
        <v>#N/A</v>
      </c>
      <c r="H189">
        <f>SUMIF(Visits!E:E,'Summer Challenge'!A189,Visits!AK:AK)</f>
        <v>0</v>
      </c>
      <c r="J189" s="106"/>
      <c r="K189" s="106">
        <f t="shared" si="16"/>
        <v>0</v>
      </c>
      <c r="L189" s="4">
        <f>SUMIF(Visits!E:E,'Summer Challenge'!A189,Visits!AL:AL)</f>
        <v>0</v>
      </c>
      <c r="M189" s="4">
        <f t="shared" si="17"/>
        <v>0</v>
      </c>
      <c r="N189" s="4"/>
      <c r="O189" t="s">
        <v>201</v>
      </c>
      <c r="P189" t="s">
        <v>202</v>
      </c>
      <c r="Q189" t="str">
        <f>IF(SUM('User Engagement'!G190:H190)&gt;=0,"YES", "NO")</f>
        <v>YES</v>
      </c>
      <c r="S189" s="2" t="str">
        <f t="shared" si="18"/>
        <v>👨🏼‍🤝‍👨🏽 0 new friends
🖼️ 0 exhibitions
🕑 0 hours of art experiences</v>
      </c>
    </row>
    <row r="190" spans="1:19" ht="51">
      <c r="A190">
        <f>Users!A188</f>
        <v>0</v>
      </c>
      <c r="C190" s="23" t="e">
        <f>VLOOKUP(A190,Users!A:D,2,FALSE)</f>
        <v>#N/A</v>
      </c>
      <c r="D190" s="23" t="e">
        <f>VLOOKUP(A190,Users!A:D,3,FALSE)</f>
        <v>#N/A</v>
      </c>
      <c r="E190" s="99">
        <f>COUNTIF(Visits!AJ:AJ,'Summer Challenge'!A298)</f>
        <v>0</v>
      </c>
      <c r="G190" t="e" cm="1">
        <f t="array" ref="G190">SUM(--(FREQUENCY(IF(Visits!E:E='Summer Challenge'!A190,Visits!AK:AK),Visits!AK:AK)&gt;0))</f>
        <v>#N/A</v>
      </c>
      <c r="H190">
        <f>SUMIF(Visits!E:E,'Summer Challenge'!A190,Visits!AK:AK)</f>
        <v>0</v>
      </c>
      <c r="J190" s="106"/>
      <c r="K190" s="106">
        <f t="shared" si="16"/>
        <v>0</v>
      </c>
      <c r="L190" s="4">
        <f>SUMIF(Visits!E:E,'Summer Challenge'!A190,Visits!AL:AL)</f>
        <v>0</v>
      </c>
      <c r="M190" s="4">
        <f t="shared" si="17"/>
        <v>0</v>
      </c>
      <c r="N190" s="4"/>
      <c r="O190" t="s">
        <v>201</v>
      </c>
      <c r="P190" t="s">
        <v>202</v>
      </c>
      <c r="Q190" t="str">
        <f>IF(SUM('User Engagement'!G191:H191)&gt;=0,"YES", "NO")</f>
        <v>YES</v>
      </c>
      <c r="S190" s="2" t="str">
        <f t="shared" si="18"/>
        <v>👨🏼‍🤝‍👨🏽 0 new friends
🖼️ 0 exhibitions
🕑 0 hours of art experiences</v>
      </c>
    </row>
    <row r="191" spans="1:19" ht="51">
      <c r="A191">
        <f>Users!A189</f>
        <v>0</v>
      </c>
      <c r="C191" s="23" t="e">
        <f>VLOOKUP(A191,Users!A:D,2,FALSE)</f>
        <v>#N/A</v>
      </c>
      <c r="D191" s="23" t="e">
        <f>VLOOKUP(A191,Users!A:D,3,FALSE)</f>
        <v>#N/A</v>
      </c>
      <c r="E191" s="99">
        <f>COUNTIF(Visits!AJ:AJ,'Summer Challenge'!A299)</f>
        <v>0</v>
      </c>
      <c r="G191" t="e" cm="1">
        <f t="array" ref="G191">SUM(--(FREQUENCY(IF(Visits!E:E='Summer Challenge'!A191,Visits!AK:AK),Visits!AK:AK)&gt;0))</f>
        <v>#N/A</v>
      </c>
      <c r="H191">
        <f>SUMIF(Visits!E:E,'Summer Challenge'!A191,Visits!AK:AK)</f>
        <v>0</v>
      </c>
      <c r="J191" s="106"/>
      <c r="K191" s="106">
        <f t="shared" si="16"/>
        <v>0</v>
      </c>
      <c r="L191" s="4">
        <f>SUMIF(Visits!E:E,'Summer Challenge'!A191,Visits!AL:AL)</f>
        <v>0</v>
      </c>
      <c r="M191" s="4">
        <f t="shared" si="17"/>
        <v>0</v>
      </c>
      <c r="N191" s="4"/>
      <c r="O191" t="s">
        <v>201</v>
      </c>
      <c r="P191" t="s">
        <v>202</v>
      </c>
      <c r="Q191" t="str">
        <f>IF(SUM('User Engagement'!G192:H192)&gt;=0,"YES", "NO")</f>
        <v>YES</v>
      </c>
      <c r="S191" s="2" t="str">
        <f t="shared" si="18"/>
        <v>👨🏼‍🤝‍👨🏽 0 new friends
🖼️ 0 exhibitions
🕑 0 hours of art experiences</v>
      </c>
    </row>
    <row r="192" spans="1:19" ht="51">
      <c r="A192">
        <f>Users!A190</f>
        <v>0</v>
      </c>
      <c r="C192" s="23" t="e">
        <f>VLOOKUP(A192,Users!A:D,2,FALSE)</f>
        <v>#N/A</v>
      </c>
      <c r="D192" s="23" t="e">
        <f>VLOOKUP(A192,Users!A:D,3,FALSE)</f>
        <v>#N/A</v>
      </c>
      <c r="E192" s="99">
        <f>COUNTIF(Visits!AJ:AJ,'Summer Challenge'!A300)</f>
        <v>0</v>
      </c>
      <c r="G192" t="e" cm="1">
        <f t="array" ref="G192">SUM(--(FREQUENCY(IF(Visits!E:E='Summer Challenge'!A192,Visits!AK:AK),Visits!AK:AK)&gt;0))</f>
        <v>#N/A</v>
      </c>
      <c r="H192">
        <f>SUMIF(Visits!E:E,'Summer Challenge'!A192,Visits!AK:AK)</f>
        <v>0</v>
      </c>
      <c r="J192" s="106"/>
      <c r="K192" s="106">
        <f t="shared" si="16"/>
        <v>0</v>
      </c>
      <c r="L192" s="4">
        <f>SUMIF(Visits!E:E,'Summer Challenge'!A192,Visits!AL:AL)</f>
        <v>0</v>
      </c>
      <c r="M192" s="4">
        <f t="shared" si="17"/>
        <v>0</v>
      </c>
      <c r="N192" s="4"/>
      <c r="O192" t="s">
        <v>201</v>
      </c>
      <c r="P192" t="s">
        <v>202</v>
      </c>
      <c r="Q192" t="str">
        <f>IF(SUM('User Engagement'!G193:H193)&gt;=0,"YES", "NO")</f>
        <v>YES</v>
      </c>
      <c r="S192" s="2" t="str">
        <f t="shared" si="18"/>
        <v>👨🏼‍🤝‍👨🏽 0 new friends
🖼️ 0 exhibitions
🕑 0 hours of art experiences</v>
      </c>
    </row>
    <row r="193" spans="1:19" ht="51">
      <c r="A193">
        <f>Users!A191</f>
        <v>0</v>
      </c>
      <c r="C193" s="23" t="e">
        <f>VLOOKUP(A193,Users!A:D,2,FALSE)</f>
        <v>#N/A</v>
      </c>
      <c r="D193" s="23" t="e">
        <f>VLOOKUP(A193,Users!A:D,3,FALSE)</f>
        <v>#N/A</v>
      </c>
      <c r="E193" s="99">
        <f>COUNTIF(Visits!AJ:AJ,'Summer Challenge'!A301)</f>
        <v>0</v>
      </c>
      <c r="G193" t="e" cm="1">
        <f t="array" ref="G193">SUM(--(FREQUENCY(IF(Visits!E:E='Summer Challenge'!A193,Visits!AK:AK),Visits!AK:AK)&gt;0))</f>
        <v>#N/A</v>
      </c>
      <c r="H193">
        <f>SUMIF(Visits!E:E,'Summer Challenge'!A193,Visits!AK:AK)</f>
        <v>0</v>
      </c>
      <c r="J193" s="106"/>
      <c r="K193" s="106">
        <f t="shared" si="16"/>
        <v>0</v>
      </c>
      <c r="L193" s="4">
        <f>SUMIF(Visits!E:E,'Summer Challenge'!A193,Visits!AL:AL)</f>
        <v>0</v>
      </c>
      <c r="M193" s="4">
        <f t="shared" si="17"/>
        <v>0</v>
      </c>
      <c r="N193" s="4"/>
      <c r="O193" t="s">
        <v>201</v>
      </c>
      <c r="P193" t="s">
        <v>202</v>
      </c>
      <c r="Q193" t="str">
        <f>IF(SUM('User Engagement'!G194:H194)&gt;=0,"YES", "NO")</f>
        <v>YES</v>
      </c>
      <c r="S193" s="2" t="str">
        <f t="shared" si="18"/>
        <v>👨🏼‍🤝‍👨🏽 0 new friends
🖼️ 0 exhibitions
🕑 0 hours of art experiences</v>
      </c>
    </row>
    <row r="194" spans="1:19" ht="51">
      <c r="A194">
        <f>Users!A192</f>
        <v>0</v>
      </c>
      <c r="C194" s="23" t="e">
        <f>VLOOKUP(A194,Users!A:D,2,FALSE)</f>
        <v>#N/A</v>
      </c>
      <c r="D194" s="23" t="e">
        <f>VLOOKUP(A194,Users!A:D,3,FALSE)</f>
        <v>#N/A</v>
      </c>
      <c r="E194" s="99">
        <f>COUNTIF(Visits!AJ:AJ,'Summer Challenge'!A302)</f>
        <v>0</v>
      </c>
      <c r="G194" t="e" cm="1">
        <f t="array" ref="G194">SUM(--(FREQUENCY(IF(Visits!E:E='Summer Challenge'!A194,Visits!AK:AK),Visits!AK:AK)&gt;0))</f>
        <v>#N/A</v>
      </c>
      <c r="H194">
        <f>SUMIF(Visits!E:E,'Summer Challenge'!A194,Visits!AK:AK)</f>
        <v>0</v>
      </c>
      <c r="J194" s="106"/>
      <c r="K194" s="106">
        <f t="shared" si="16"/>
        <v>0</v>
      </c>
      <c r="L194" s="4">
        <f>SUMIF(Visits!E:E,'Summer Challenge'!A194,Visits!AL:AL)</f>
        <v>0</v>
      </c>
      <c r="M194" s="4">
        <f t="shared" si="17"/>
        <v>0</v>
      </c>
      <c r="N194" s="4"/>
      <c r="O194" t="s">
        <v>201</v>
      </c>
      <c r="P194" t="s">
        <v>202</v>
      </c>
      <c r="Q194" t="str">
        <f>IF(SUM('User Engagement'!G195:H195)&gt;=0,"YES", "NO")</f>
        <v>YES</v>
      </c>
      <c r="S194" s="2" t="str">
        <f t="shared" si="18"/>
        <v>👨🏼‍🤝‍👨🏽 0 new friends
🖼️ 0 exhibitions
🕑 0 hours of art experiences</v>
      </c>
    </row>
    <row r="195" spans="1:19" ht="51">
      <c r="A195">
        <f>Users!A193</f>
        <v>0</v>
      </c>
      <c r="C195" s="23" t="e">
        <f>VLOOKUP(A195,Users!A:D,2,FALSE)</f>
        <v>#N/A</v>
      </c>
      <c r="D195" s="23" t="e">
        <f>VLOOKUP(A195,Users!A:D,3,FALSE)</f>
        <v>#N/A</v>
      </c>
      <c r="E195" s="99">
        <f>COUNTIF(Visits!AJ:AJ,'Summer Challenge'!A303)</f>
        <v>0</v>
      </c>
      <c r="G195" t="e" cm="1">
        <f t="array" ref="G195">SUM(--(FREQUENCY(IF(Visits!E:E='Summer Challenge'!A195,Visits!AK:AK),Visits!AK:AK)&gt;0))</f>
        <v>#N/A</v>
      </c>
      <c r="H195">
        <f>SUMIF(Visits!E:E,'Summer Challenge'!A195,Visits!AK:AK)</f>
        <v>0</v>
      </c>
      <c r="J195" s="106"/>
      <c r="K195" s="106">
        <f t="shared" si="16"/>
        <v>0</v>
      </c>
      <c r="L195" s="4">
        <f>SUMIF(Visits!E:E,'Summer Challenge'!A195,Visits!AL:AL)</f>
        <v>0</v>
      </c>
      <c r="M195" s="4">
        <f t="shared" si="17"/>
        <v>0</v>
      </c>
      <c r="N195" s="4"/>
      <c r="O195" t="s">
        <v>201</v>
      </c>
      <c r="P195" t="s">
        <v>202</v>
      </c>
      <c r="Q195" t="str">
        <f>IF(SUM('User Engagement'!G196:H196)&gt;=0,"YES", "NO")</f>
        <v>YES</v>
      </c>
      <c r="S195" s="2" t="str">
        <f t="shared" si="18"/>
        <v>👨🏼‍🤝‍👨🏽 0 new friends
🖼️ 0 exhibitions
🕑 0 hours of art experiences</v>
      </c>
    </row>
    <row r="196" spans="1:19" ht="51">
      <c r="A196">
        <f>Users!A194</f>
        <v>0</v>
      </c>
      <c r="C196" s="23" t="e">
        <f>VLOOKUP(A196,Users!A:D,2,FALSE)</f>
        <v>#N/A</v>
      </c>
      <c r="D196" s="23" t="e">
        <f>VLOOKUP(A196,Users!A:D,3,FALSE)</f>
        <v>#N/A</v>
      </c>
      <c r="E196" s="99">
        <f>COUNTIF(Visits!AJ:AJ,'Summer Challenge'!A304)</f>
        <v>0</v>
      </c>
      <c r="G196" t="e" cm="1">
        <f t="array" ref="G196">SUM(--(FREQUENCY(IF(Visits!E:E='Summer Challenge'!A196,Visits!AK:AK),Visits!AK:AK)&gt;0))</f>
        <v>#N/A</v>
      </c>
      <c r="H196">
        <f>SUMIF(Visits!E:E,'Summer Challenge'!A196,Visits!AK:AK)</f>
        <v>0</v>
      </c>
      <c r="J196" s="106"/>
      <c r="K196" s="106">
        <f t="shared" si="16"/>
        <v>0</v>
      </c>
      <c r="L196" s="4">
        <f>SUMIF(Visits!E:E,'Summer Challenge'!A196,Visits!AL:AL)</f>
        <v>0</v>
      </c>
      <c r="M196" s="4">
        <f t="shared" si="17"/>
        <v>0</v>
      </c>
      <c r="N196" s="4"/>
      <c r="O196" t="s">
        <v>201</v>
      </c>
      <c r="P196" t="s">
        <v>202</v>
      </c>
      <c r="Q196" t="str">
        <f>IF(SUM('User Engagement'!G197:H197)&gt;=0,"YES", "NO")</f>
        <v>YES</v>
      </c>
      <c r="S196" s="2" t="str">
        <f t="shared" si="18"/>
        <v>👨🏼‍🤝‍👨🏽 0 new friends
🖼️ 0 exhibitions
🕑 0 hours of art experiences</v>
      </c>
    </row>
    <row r="197" spans="1:19" ht="51">
      <c r="A197">
        <f>Users!A195</f>
        <v>0</v>
      </c>
      <c r="C197" s="23" t="e">
        <f>VLOOKUP(A197,Users!A:D,2,FALSE)</f>
        <v>#N/A</v>
      </c>
      <c r="D197" s="23" t="e">
        <f>VLOOKUP(A197,Users!A:D,3,FALSE)</f>
        <v>#N/A</v>
      </c>
      <c r="E197" s="99">
        <f>COUNTIF(Visits!AJ:AJ,'Summer Challenge'!A305)</f>
        <v>0</v>
      </c>
      <c r="G197" t="e" cm="1">
        <f t="array" ref="G197">SUM(--(FREQUENCY(IF(Visits!E:E='Summer Challenge'!A197,Visits!AK:AK),Visits!AK:AK)&gt;0))</f>
        <v>#N/A</v>
      </c>
      <c r="H197">
        <f>SUMIF(Visits!E:E,'Summer Challenge'!A197,Visits!AK:AK)</f>
        <v>0</v>
      </c>
      <c r="J197" s="106"/>
      <c r="K197" s="106">
        <f t="shared" ref="K197:K227" si="19">L197*10/2</f>
        <v>0</v>
      </c>
      <c r="L197" s="4">
        <f>SUMIF(Visits!E:E,'Summer Challenge'!A197,Visits!AL:AL)</f>
        <v>0</v>
      </c>
      <c r="M197" s="4">
        <f t="shared" ref="M197:M227" si="20">L197*4</f>
        <v>0</v>
      </c>
      <c r="N197" s="4"/>
      <c r="O197" t="s">
        <v>201</v>
      </c>
      <c r="P197" t="s">
        <v>202</v>
      </c>
      <c r="Q197" t="str">
        <f>IF(SUM('User Engagement'!G198:H198)&gt;=0,"YES", "NO")</f>
        <v>YES</v>
      </c>
      <c r="S197" s="2" t="str">
        <f t="shared" si="18"/>
        <v>👨🏼‍🤝‍👨🏽 0 new friends
🖼️ 0 exhibitions
🕑 0 hours of art experiences</v>
      </c>
    </row>
    <row r="198" spans="1:19" ht="51">
      <c r="A198">
        <f>Users!A196</f>
        <v>0</v>
      </c>
      <c r="C198" s="23" t="e">
        <f>VLOOKUP(A198,Users!A:D,2,FALSE)</f>
        <v>#N/A</v>
      </c>
      <c r="D198" s="23" t="e">
        <f>VLOOKUP(A198,Users!A:D,3,FALSE)</f>
        <v>#N/A</v>
      </c>
      <c r="E198" s="99">
        <f>COUNTIF(Visits!AJ:AJ,'Summer Challenge'!A306)</f>
        <v>0</v>
      </c>
      <c r="G198" t="e" cm="1">
        <f t="array" ref="G198">SUM(--(FREQUENCY(IF(Visits!E:E='Summer Challenge'!A198,Visits!AK:AK),Visits!AK:AK)&gt;0))</f>
        <v>#N/A</v>
      </c>
      <c r="H198">
        <f>SUMIF(Visits!E:E,'Summer Challenge'!A198,Visits!AK:AK)</f>
        <v>0</v>
      </c>
      <c r="J198" s="106"/>
      <c r="K198" s="106">
        <f t="shared" si="19"/>
        <v>0</v>
      </c>
      <c r="L198" s="4">
        <f>SUMIF(Visits!E:E,'Summer Challenge'!A198,Visits!AL:AL)</f>
        <v>0</v>
      </c>
      <c r="M198" s="4">
        <f t="shared" si="20"/>
        <v>0</v>
      </c>
      <c r="N198" s="4"/>
      <c r="O198" t="s">
        <v>201</v>
      </c>
      <c r="P198" t="s">
        <v>202</v>
      </c>
      <c r="Q198" t="str">
        <f>IF(SUM('User Engagement'!G199:H199)&gt;=0,"YES", "NO")</f>
        <v>YES</v>
      </c>
      <c r="S198" s="2" t="str">
        <f t="shared" ref="S198:S214" si="21">"👨🏼‍🤝‍👨🏽 "&amp;K198&amp;" new friends
🖼️ "&amp;L198&amp;" exhibitions
🕑 "&amp;M198&amp;" hours of art experiences"</f>
        <v>👨🏼‍🤝‍👨🏽 0 new friends
🖼️ 0 exhibitions
🕑 0 hours of art experiences</v>
      </c>
    </row>
    <row r="199" spans="1:19" ht="51">
      <c r="A199">
        <f>Users!A197</f>
        <v>0</v>
      </c>
      <c r="C199" s="23" t="e">
        <f>VLOOKUP(A199,Users!A:D,2,FALSE)</f>
        <v>#N/A</v>
      </c>
      <c r="D199" s="23" t="e">
        <f>VLOOKUP(A199,Users!A:D,3,FALSE)</f>
        <v>#N/A</v>
      </c>
      <c r="E199" s="99">
        <f>COUNTIF(Visits!AJ:AJ,'Summer Challenge'!A307)</f>
        <v>0</v>
      </c>
      <c r="G199" t="e" cm="1">
        <f t="array" ref="G199">SUM(--(FREQUENCY(IF(Visits!E:E='Summer Challenge'!A199,Visits!AK:AK),Visits!AK:AK)&gt;0))</f>
        <v>#N/A</v>
      </c>
      <c r="H199">
        <f>SUMIF(Visits!E:E,'Summer Challenge'!A199,Visits!AK:AK)</f>
        <v>0</v>
      </c>
      <c r="J199" s="106"/>
      <c r="K199" s="106">
        <f t="shared" si="19"/>
        <v>0</v>
      </c>
      <c r="L199" s="4">
        <f>SUMIF(Visits!E:E,'Summer Challenge'!A199,Visits!AL:AL)</f>
        <v>0</v>
      </c>
      <c r="M199" s="4">
        <f t="shared" si="20"/>
        <v>0</v>
      </c>
      <c r="N199" s="4"/>
      <c r="O199" t="s">
        <v>201</v>
      </c>
      <c r="P199" t="s">
        <v>202</v>
      </c>
      <c r="Q199" t="str">
        <f>IF(SUM('User Engagement'!G200:H200)&gt;=0,"YES", "NO")</f>
        <v>YES</v>
      </c>
      <c r="S199" s="2" t="str">
        <f t="shared" si="21"/>
        <v>👨🏼‍🤝‍👨🏽 0 new friends
🖼️ 0 exhibitions
🕑 0 hours of art experiences</v>
      </c>
    </row>
    <row r="200" spans="1:19" ht="51">
      <c r="A200">
        <f>Users!A198</f>
        <v>0</v>
      </c>
      <c r="C200" s="23" t="e">
        <f>VLOOKUP(A200,Users!A:D,2,FALSE)</f>
        <v>#N/A</v>
      </c>
      <c r="D200" s="23" t="e">
        <f>VLOOKUP(A200,Users!A:D,3,FALSE)</f>
        <v>#N/A</v>
      </c>
      <c r="E200" s="99">
        <f>COUNTIF(Visits!AJ:AJ,'Summer Challenge'!A308)</f>
        <v>0</v>
      </c>
      <c r="G200" t="e" cm="1">
        <f t="array" ref="G200">SUM(--(FREQUENCY(IF(Visits!E:E='Summer Challenge'!A200,Visits!AK:AK),Visits!AK:AK)&gt;0))</f>
        <v>#N/A</v>
      </c>
      <c r="H200">
        <f>SUMIF(Visits!E:E,'Summer Challenge'!A200,Visits!AK:AK)</f>
        <v>0</v>
      </c>
      <c r="J200" s="106"/>
      <c r="K200" s="106">
        <f t="shared" si="19"/>
        <v>0</v>
      </c>
      <c r="L200" s="4">
        <f>SUMIF(Visits!E:E,'Summer Challenge'!A200,Visits!AL:AL)</f>
        <v>0</v>
      </c>
      <c r="M200" s="4">
        <f t="shared" si="20"/>
        <v>0</v>
      </c>
      <c r="N200" s="4"/>
      <c r="O200" t="s">
        <v>201</v>
      </c>
      <c r="P200" t="s">
        <v>202</v>
      </c>
      <c r="Q200" t="str">
        <f>IF(SUM('User Engagement'!G201:H201)&gt;=0,"YES", "NO")</f>
        <v>YES</v>
      </c>
      <c r="S200" s="2" t="str">
        <f t="shared" si="21"/>
        <v>👨🏼‍🤝‍👨🏽 0 new friends
🖼️ 0 exhibitions
🕑 0 hours of art experiences</v>
      </c>
    </row>
    <row r="201" spans="1:19" ht="51">
      <c r="A201">
        <f>Users!A199</f>
        <v>0</v>
      </c>
      <c r="C201" s="23" t="e">
        <f>VLOOKUP(A201,Users!A:D,2,FALSE)</f>
        <v>#N/A</v>
      </c>
      <c r="D201" s="23" t="e">
        <f>VLOOKUP(A201,Users!A:D,3,FALSE)</f>
        <v>#N/A</v>
      </c>
      <c r="E201" s="99">
        <f>COUNTIF(Visits!AJ:AJ,'Summer Challenge'!A309)</f>
        <v>0</v>
      </c>
      <c r="G201" t="e" cm="1">
        <f t="array" ref="G201">SUM(--(FREQUENCY(IF(Visits!E:E='Summer Challenge'!A201,Visits!AK:AK),Visits!AK:AK)&gt;0))</f>
        <v>#N/A</v>
      </c>
      <c r="H201">
        <f>SUMIF(Visits!E:E,'Summer Challenge'!A201,Visits!AK:AK)</f>
        <v>0</v>
      </c>
      <c r="J201" s="106"/>
      <c r="K201" s="106">
        <f t="shared" si="19"/>
        <v>0</v>
      </c>
      <c r="L201" s="4">
        <f>SUMIF(Visits!E:E,'Summer Challenge'!A201,Visits!AL:AL)</f>
        <v>0</v>
      </c>
      <c r="M201" s="4">
        <f t="shared" si="20"/>
        <v>0</v>
      </c>
      <c r="N201" s="4"/>
      <c r="O201" t="s">
        <v>201</v>
      </c>
      <c r="P201" t="s">
        <v>202</v>
      </c>
      <c r="Q201" t="str">
        <f>IF(SUM('User Engagement'!G202:H202)&gt;=0,"YES", "NO")</f>
        <v>YES</v>
      </c>
      <c r="S201" s="2" t="str">
        <f t="shared" si="21"/>
        <v>👨🏼‍🤝‍👨🏽 0 new friends
🖼️ 0 exhibitions
🕑 0 hours of art experiences</v>
      </c>
    </row>
    <row r="202" spans="1:19" ht="51">
      <c r="A202">
        <f>Users!A200</f>
        <v>0</v>
      </c>
      <c r="C202" s="23" t="e">
        <f>VLOOKUP(A202,Users!A:D,2,FALSE)</f>
        <v>#N/A</v>
      </c>
      <c r="D202" s="23" t="e">
        <f>VLOOKUP(A202,Users!A:D,3,FALSE)</f>
        <v>#N/A</v>
      </c>
      <c r="E202" s="99">
        <f>COUNTIF(Visits!AJ:AJ,'Summer Challenge'!A310)</f>
        <v>0</v>
      </c>
      <c r="G202" t="e" cm="1">
        <f t="array" ref="G202">SUM(--(FREQUENCY(IF(Visits!E:E='Summer Challenge'!A202,Visits!AK:AK),Visits!AK:AK)&gt;0))</f>
        <v>#N/A</v>
      </c>
      <c r="H202">
        <f>SUMIF(Visits!E:E,'Summer Challenge'!A202,Visits!AK:AK)</f>
        <v>0</v>
      </c>
      <c r="J202" s="106"/>
      <c r="K202" s="106">
        <f t="shared" si="19"/>
        <v>0</v>
      </c>
      <c r="L202" s="4">
        <f>SUMIF(Visits!E:E,'Summer Challenge'!A202,Visits!AL:AL)</f>
        <v>0</v>
      </c>
      <c r="M202" s="4">
        <f t="shared" si="20"/>
        <v>0</v>
      </c>
      <c r="N202" s="4"/>
      <c r="O202" t="s">
        <v>201</v>
      </c>
      <c r="P202" t="s">
        <v>202</v>
      </c>
      <c r="Q202" t="str">
        <f>IF(SUM('User Engagement'!G203:H203)&gt;=0,"YES", "NO")</f>
        <v>YES</v>
      </c>
      <c r="S202" s="2" t="str">
        <f t="shared" si="21"/>
        <v>👨🏼‍🤝‍👨🏽 0 new friends
🖼️ 0 exhibitions
🕑 0 hours of art experiences</v>
      </c>
    </row>
    <row r="203" spans="1:19" ht="51">
      <c r="A203">
        <f>Users!A201</f>
        <v>0</v>
      </c>
      <c r="C203" s="23" t="e">
        <f>VLOOKUP(A203,Users!A:D,2,FALSE)</f>
        <v>#N/A</v>
      </c>
      <c r="D203" s="23" t="e">
        <f>VLOOKUP(A203,Users!A:D,3,FALSE)</f>
        <v>#N/A</v>
      </c>
      <c r="E203" s="99">
        <f>COUNTIF(Visits!AJ:AJ,'Summer Challenge'!A311)</f>
        <v>0</v>
      </c>
      <c r="G203" t="e" cm="1">
        <f t="array" ref="G203">SUM(--(FREQUENCY(IF(Visits!E:E='Summer Challenge'!A203,Visits!AK:AK),Visits!AK:AK)&gt;0))</f>
        <v>#N/A</v>
      </c>
      <c r="H203">
        <f>SUMIF(Visits!E:E,'Summer Challenge'!A203,Visits!AK:AK)</f>
        <v>0</v>
      </c>
      <c r="J203" s="106"/>
      <c r="K203" s="106">
        <f t="shared" si="19"/>
        <v>0</v>
      </c>
      <c r="L203" s="4">
        <f>SUMIF(Visits!E:E,'Summer Challenge'!A203,Visits!AL:AL)</f>
        <v>0</v>
      </c>
      <c r="M203" s="4">
        <f t="shared" si="20"/>
        <v>0</v>
      </c>
      <c r="N203" s="4"/>
      <c r="O203" t="s">
        <v>201</v>
      </c>
      <c r="P203" t="s">
        <v>202</v>
      </c>
      <c r="Q203" t="str">
        <f>IF(SUM('User Engagement'!G204:H204)&gt;=0,"YES", "NO")</f>
        <v>YES</v>
      </c>
      <c r="S203" s="2" t="str">
        <f t="shared" si="21"/>
        <v>👨🏼‍🤝‍👨🏽 0 new friends
🖼️ 0 exhibitions
🕑 0 hours of art experiences</v>
      </c>
    </row>
    <row r="204" spans="1:19" ht="51">
      <c r="A204">
        <f>Users!A202</f>
        <v>0</v>
      </c>
      <c r="C204" s="23" t="e">
        <f>VLOOKUP(A204,Users!A:D,2,FALSE)</f>
        <v>#N/A</v>
      </c>
      <c r="D204" s="23" t="e">
        <f>VLOOKUP(A204,Users!A:D,3,FALSE)</f>
        <v>#N/A</v>
      </c>
      <c r="E204" s="99">
        <f>COUNTIF(Visits!AJ:AJ,'Summer Challenge'!A312)</f>
        <v>0</v>
      </c>
      <c r="G204" t="e" cm="1">
        <f t="array" ref="G204">SUM(--(FREQUENCY(IF(Visits!E:E='Summer Challenge'!A204,Visits!AK:AK),Visits!AK:AK)&gt;0))</f>
        <v>#N/A</v>
      </c>
      <c r="H204">
        <f>SUMIF(Visits!E:E,'Summer Challenge'!A204,Visits!AK:AK)</f>
        <v>0</v>
      </c>
      <c r="J204" s="106"/>
      <c r="K204" s="106">
        <f t="shared" si="19"/>
        <v>0</v>
      </c>
      <c r="L204" s="4">
        <f>SUMIF(Visits!E:E,'Summer Challenge'!A204,Visits!AL:AL)</f>
        <v>0</v>
      </c>
      <c r="M204" s="4">
        <f t="shared" si="20"/>
        <v>0</v>
      </c>
      <c r="N204" s="4"/>
      <c r="O204" t="s">
        <v>201</v>
      </c>
      <c r="P204" t="s">
        <v>202</v>
      </c>
      <c r="Q204" t="str">
        <f>IF(SUM('User Engagement'!G205:H205)&gt;=0,"YES", "NO")</f>
        <v>YES</v>
      </c>
      <c r="S204" s="2" t="str">
        <f t="shared" si="21"/>
        <v>👨🏼‍🤝‍👨🏽 0 new friends
🖼️ 0 exhibitions
🕑 0 hours of art experiences</v>
      </c>
    </row>
    <row r="205" spans="1:19" ht="51">
      <c r="A205">
        <f>Users!A203</f>
        <v>0</v>
      </c>
      <c r="C205" s="23" t="e">
        <f>VLOOKUP(A205,Users!A:D,2,FALSE)</f>
        <v>#N/A</v>
      </c>
      <c r="D205" s="23" t="e">
        <f>VLOOKUP(A205,Users!A:D,3,FALSE)</f>
        <v>#N/A</v>
      </c>
      <c r="E205" s="99">
        <f>COUNTIF(Visits!AJ:AJ,'Summer Challenge'!A313)</f>
        <v>0</v>
      </c>
      <c r="G205" t="e" cm="1">
        <f t="array" ref="G205">SUM(--(FREQUENCY(IF(Visits!E:E='Summer Challenge'!A205,Visits!AK:AK),Visits!AK:AK)&gt;0))</f>
        <v>#N/A</v>
      </c>
      <c r="H205">
        <f>SUMIF(Visits!E:E,'Summer Challenge'!A205,Visits!AK:AK)</f>
        <v>0</v>
      </c>
      <c r="J205" s="106"/>
      <c r="K205" s="106">
        <f t="shared" si="19"/>
        <v>0</v>
      </c>
      <c r="L205" s="4">
        <f>SUMIF(Visits!E:E,'Summer Challenge'!A205,Visits!AL:AL)</f>
        <v>0</v>
      </c>
      <c r="M205" s="4">
        <f t="shared" si="20"/>
        <v>0</v>
      </c>
      <c r="N205" s="4"/>
      <c r="O205" t="s">
        <v>201</v>
      </c>
      <c r="P205" t="s">
        <v>202</v>
      </c>
      <c r="Q205" t="str">
        <f>IF(SUM('User Engagement'!G206:H206)&gt;=0,"YES", "NO")</f>
        <v>YES</v>
      </c>
      <c r="S205" s="2" t="str">
        <f t="shared" si="21"/>
        <v>👨🏼‍🤝‍👨🏽 0 new friends
🖼️ 0 exhibitions
🕑 0 hours of art experiences</v>
      </c>
    </row>
    <row r="206" spans="1:19" ht="51">
      <c r="A206">
        <f>Users!A204</f>
        <v>0</v>
      </c>
      <c r="C206" s="23" t="e">
        <f>VLOOKUP(A206,Users!A:D,2,FALSE)</f>
        <v>#N/A</v>
      </c>
      <c r="D206" s="23" t="e">
        <f>VLOOKUP(A206,Users!A:D,3,FALSE)</f>
        <v>#N/A</v>
      </c>
      <c r="E206" s="99">
        <f>COUNTIF(Visits!AJ:AJ,'Summer Challenge'!A314)</f>
        <v>0</v>
      </c>
      <c r="G206" t="e" cm="1">
        <f t="array" ref="G206">SUM(--(FREQUENCY(IF(Visits!E:E='Summer Challenge'!A206,Visits!AK:AK),Visits!AK:AK)&gt;0))</f>
        <v>#N/A</v>
      </c>
      <c r="H206">
        <f>SUMIF(Visits!E:E,'Summer Challenge'!A206,Visits!AK:AK)</f>
        <v>0</v>
      </c>
      <c r="J206" s="106"/>
      <c r="K206" s="106">
        <f t="shared" si="19"/>
        <v>0</v>
      </c>
      <c r="L206" s="4">
        <f>SUMIF(Visits!E:E,'Summer Challenge'!A206,Visits!AL:AL)</f>
        <v>0</v>
      </c>
      <c r="M206" s="4">
        <f t="shared" si="20"/>
        <v>0</v>
      </c>
      <c r="N206" s="4"/>
      <c r="O206" t="s">
        <v>201</v>
      </c>
      <c r="P206" t="s">
        <v>202</v>
      </c>
      <c r="Q206" t="str">
        <f>IF(SUM('User Engagement'!G207:H207)&gt;=0,"YES", "NO")</f>
        <v>YES</v>
      </c>
      <c r="S206" s="2" t="str">
        <f t="shared" si="21"/>
        <v>👨🏼‍🤝‍👨🏽 0 new friends
🖼️ 0 exhibitions
🕑 0 hours of art experiences</v>
      </c>
    </row>
    <row r="207" spans="1:19" ht="51">
      <c r="A207">
        <f>Users!A205</f>
        <v>0</v>
      </c>
      <c r="C207" s="23" t="e">
        <f>VLOOKUP(A207,Users!A:D,2,FALSE)</f>
        <v>#N/A</v>
      </c>
      <c r="D207" s="23" t="e">
        <f>VLOOKUP(A207,Users!A:D,3,FALSE)</f>
        <v>#N/A</v>
      </c>
      <c r="E207" s="99">
        <f>COUNTIF(Visits!AJ:AJ,'Summer Challenge'!A315)</f>
        <v>0</v>
      </c>
      <c r="G207" t="e" cm="1">
        <f t="array" ref="G207">SUM(--(FREQUENCY(IF(Visits!E:E='Summer Challenge'!A207,Visits!AK:AK),Visits!AK:AK)&gt;0))</f>
        <v>#N/A</v>
      </c>
      <c r="H207">
        <f>SUMIF(Visits!E:E,'Summer Challenge'!A207,Visits!AK:AK)</f>
        <v>0</v>
      </c>
      <c r="J207" s="106"/>
      <c r="K207" s="106">
        <f t="shared" si="19"/>
        <v>0</v>
      </c>
      <c r="L207" s="4">
        <f>SUMIF(Visits!E:E,'Summer Challenge'!A207,Visits!AL:AL)</f>
        <v>0</v>
      </c>
      <c r="M207" s="4">
        <f t="shared" si="20"/>
        <v>0</v>
      </c>
      <c r="N207" s="4"/>
      <c r="O207" t="s">
        <v>201</v>
      </c>
      <c r="P207" t="s">
        <v>202</v>
      </c>
      <c r="Q207" t="str">
        <f>IF(SUM('User Engagement'!G208:H208)&gt;=0,"YES", "NO")</f>
        <v>YES</v>
      </c>
      <c r="S207" s="2" t="str">
        <f t="shared" si="21"/>
        <v>👨🏼‍🤝‍👨🏽 0 new friends
🖼️ 0 exhibitions
🕑 0 hours of art experiences</v>
      </c>
    </row>
    <row r="208" spans="1:19" ht="51">
      <c r="A208">
        <f>Users!A206</f>
        <v>0</v>
      </c>
      <c r="C208" s="23" t="e">
        <f>VLOOKUP(A208,Users!A:D,2,FALSE)</f>
        <v>#N/A</v>
      </c>
      <c r="D208" s="23" t="e">
        <f>VLOOKUP(A208,Users!A:D,3,FALSE)</f>
        <v>#N/A</v>
      </c>
      <c r="E208" s="99">
        <f>COUNTIF(Visits!AJ:AJ,'Summer Challenge'!A316)</f>
        <v>0</v>
      </c>
      <c r="G208" t="e" cm="1">
        <f t="array" ref="G208">SUM(--(FREQUENCY(IF(Visits!E:E='Summer Challenge'!A208,Visits!AK:AK),Visits!AK:AK)&gt;0))</f>
        <v>#N/A</v>
      </c>
      <c r="H208">
        <f>SUMIF(Visits!E:E,'Summer Challenge'!A208,Visits!AK:AK)</f>
        <v>0</v>
      </c>
      <c r="J208" s="106"/>
      <c r="K208" s="106">
        <f t="shared" si="19"/>
        <v>0</v>
      </c>
      <c r="L208" s="4">
        <f>SUMIF(Visits!E:E,'Summer Challenge'!A208,Visits!AL:AL)</f>
        <v>0</v>
      </c>
      <c r="M208" s="4">
        <f t="shared" si="20"/>
        <v>0</v>
      </c>
      <c r="N208" s="4"/>
      <c r="O208" t="s">
        <v>201</v>
      </c>
      <c r="P208" s="98" t="s">
        <v>202</v>
      </c>
      <c r="Q208" t="str">
        <f>IF(SUM('User Engagement'!G209:H209)&gt;=0,"YES", "NO")</f>
        <v>YES</v>
      </c>
      <c r="R208" s="98" t="s">
        <v>204</v>
      </c>
      <c r="S208" s="2" t="str">
        <f t="shared" si="21"/>
        <v>👨🏼‍🤝‍👨🏽 0 new friends
🖼️ 0 exhibitions
🕑 0 hours of art experiences</v>
      </c>
    </row>
    <row r="209" spans="1:19" ht="51">
      <c r="A209">
        <f>Users!A207</f>
        <v>0</v>
      </c>
      <c r="C209" s="23" t="e">
        <f>VLOOKUP(A209,Users!A:D,2,FALSE)</f>
        <v>#N/A</v>
      </c>
      <c r="D209" s="23" t="e">
        <f>VLOOKUP(A209,Users!A:D,3,FALSE)</f>
        <v>#N/A</v>
      </c>
      <c r="E209" s="99">
        <f>COUNTIF(Visits!AJ:AJ,'Summer Challenge'!A317)</f>
        <v>0</v>
      </c>
      <c r="G209" t="e" cm="1">
        <f t="array" ref="G209">SUM(--(FREQUENCY(IF(Visits!E:E='Summer Challenge'!A209,Visits!AK:AK),Visits!AK:AK)&gt;0))</f>
        <v>#N/A</v>
      </c>
      <c r="H209">
        <f>SUMIF(Visits!E:E,'Summer Challenge'!A209,Visits!AK:AK)</f>
        <v>0</v>
      </c>
      <c r="J209" s="106"/>
      <c r="K209" s="106">
        <f t="shared" si="19"/>
        <v>0</v>
      </c>
      <c r="L209" s="4">
        <f>SUMIF(Visits!E:E,'Summer Challenge'!A209,Visits!AL:AL)</f>
        <v>0</v>
      </c>
      <c r="M209" s="4">
        <f t="shared" si="20"/>
        <v>0</v>
      </c>
      <c r="N209" s="4"/>
      <c r="O209" t="s">
        <v>201</v>
      </c>
      <c r="P209" t="s">
        <v>202</v>
      </c>
      <c r="Q209" t="str">
        <f>IF(SUM('User Engagement'!G210:H210)&gt;=0,"YES", "NO")</f>
        <v>YES</v>
      </c>
      <c r="S209" s="2" t="str">
        <f t="shared" si="21"/>
        <v>👨🏼‍🤝‍👨🏽 0 new friends
🖼️ 0 exhibitions
🕑 0 hours of art experiences</v>
      </c>
    </row>
    <row r="210" spans="1:19" ht="51">
      <c r="A210">
        <f>Users!A208</f>
        <v>0</v>
      </c>
      <c r="C210" s="23" t="e">
        <f>VLOOKUP(A210,Users!A:D,2,FALSE)</f>
        <v>#N/A</v>
      </c>
      <c r="D210" s="23" t="e">
        <f>VLOOKUP(A210,Users!A:D,3,FALSE)</f>
        <v>#N/A</v>
      </c>
      <c r="E210" s="99">
        <f>COUNTIF(Visits!AJ:AJ,'Summer Challenge'!A318)</f>
        <v>0</v>
      </c>
      <c r="G210" t="e" cm="1">
        <f t="array" ref="G210">SUM(--(FREQUENCY(IF(Visits!E:E='Summer Challenge'!A210,Visits!AK:AK),Visits!AK:AK)&gt;0))</f>
        <v>#N/A</v>
      </c>
      <c r="H210">
        <f>SUMIF(Visits!E:E,'Summer Challenge'!A210,Visits!AK:AK)</f>
        <v>0</v>
      </c>
      <c r="J210" s="106"/>
      <c r="K210" s="106">
        <f t="shared" si="19"/>
        <v>0</v>
      </c>
      <c r="L210" s="4">
        <f>SUMIF(Visits!E:E,'Summer Challenge'!A210,Visits!AL:AL)</f>
        <v>0</v>
      </c>
      <c r="M210" s="4">
        <f t="shared" si="20"/>
        <v>0</v>
      </c>
      <c r="N210" s="4"/>
      <c r="O210" t="s">
        <v>201</v>
      </c>
      <c r="P210" t="s">
        <v>202</v>
      </c>
      <c r="Q210" t="str">
        <f>IF(SUM('User Engagement'!G211:H211)&gt;=0,"YES", "NO")</f>
        <v>YES</v>
      </c>
      <c r="S210" s="2" t="str">
        <f t="shared" si="21"/>
        <v>👨🏼‍🤝‍👨🏽 0 new friends
🖼️ 0 exhibitions
🕑 0 hours of art experiences</v>
      </c>
    </row>
    <row r="211" spans="1:19" ht="51">
      <c r="A211">
        <f>Users!A209</f>
        <v>0</v>
      </c>
      <c r="C211" s="23" t="e">
        <f>VLOOKUP(A211,Users!A:D,2,FALSE)</f>
        <v>#N/A</v>
      </c>
      <c r="D211" s="23" t="e">
        <f>VLOOKUP(A211,Users!A:D,3,FALSE)</f>
        <v>#N/A</v>
      </c>
      <c r="E211" s="99">
        <f>COUNTIF(Visits!AJ:AJ,'Summer Challenge'!A319)</f>
        <v>0</v>
      </c>
      <c r="G211" t="e" cm="1">
        <f t="array" ref="G211">SUM(--(FREQUENCY(IF(Visits!E:E='Summer Challenge'!A211,Visits!AK:AK),Visits!AK:AK)&gt;0))</f>
        <v>#N/A</v>
      </c>
      <c r="H211">
        <f>SUMIF(Visits!E:E,'Summer Challenge'!A211,Visits!AK:AK)</f>
        <v>0</v>
      </c>
      <c r="J211" s="106"/>
      <c r="K211" s="106">
        <f t="shared" si="19"/>
        <v>0</v>
      </c>
      <c r="L211" s="4">
        <f>SUMIF(Visits!E:E,'Summer Challenge'!A211,Visits!AL:AL)</f>
        <v>0</v>
      </c>
      <c r="M211" s="4">
        <f t="shared" si="20"/>
        <v>0</v>
      </c>
      <c r="N211" s="4"/>
      <c r="O211" t="s">
        <v>201</v>
      </c>
      <c r="P211" t="s">
        <v>202</v>
      </c>
      <c r="Q211" t="str">
        <f>IF(SUM('User Engagement'!G212:H212)&gt;=0,"YES", "NO")</f>
        <v>YES</v>
      </c>
      <c r="S211" s="2" t="str">
        <f t="shared" si="21"/>
        <v>👨🏼‍🤝‍👨🏽 0 new friends
🖼️ 0 exhibitions
🕑 0 hours of art experiences</v>
      </c>
    </row>
    <row r="212" spans="1:19" ht="51">
      <c r="A212">
        <f>Users!A210</f>
        <v>0</v>
      </c>
      <c r="C212" s="23" t="e">
        <f>VLOOKUP(A212,Users!A:D,2,FALSE)</f>
        <v>#N/A</v>
      </c>
      <c r="D212" s="23" t="e">
        <f>VLOOKUP(A212,Users!A:D,3,FALSE)</f>
        <v>#N/A</v>
      </c>
      <c r="E212" s="99">
        <f>COUNTIF(Visits!AJ:AJ,'Summer Challenge'!A320)</f>
        <v>0</v>
      </c>
      <c r="G212" t="e" cm="1">
        <f t="array" ref="G212">SUM(--(FREQUENCY(IF(Visits!E:E='Summer Challenge'!A212,Visits!AK:AK),Visits!AK:AK)&gt;0))</f>
        <v>#N/A</v>
      </c>
      <c r="H212">
        <f>SUMIF(Visits!E:E,'Summer Challenge'!A212,Visits!AK:AK)</f>
        <v>0</v>
      </c>
      <c r="J212" s="106"/>
      <c r="K212" s="106">
        <f t="shared" si="19"/>
        <v>0</v>
      </c>
      <c r="L212" s="4">
        <f>SUMIF(Visits!E:E,'Summer Challenge'!A212,Visits!AL:AL)</f>
        <v>0</v>
      </c>
      <c r="M212" s="4">
        <f t="shared" si="20"/>
        <v>0</v>
      </c>
      <c r="N212" s="4"/>
      <c r="O212" t="s">
        <v>201</v>
      </c>
      <c r="P212" t="s">
        <v>202</v>
      </c>
      <c r="Q212" t="str">
        <f>IF(SUM('User Engagement'!G213:H213)&gt;=0,"YES", "NO")</f>
        <v>YES</v>
      </c>
      <c r="S212" s="2" t="str">
        <f t="shared" si="21"/>
        <v>👨🏼‍🤝‍👨🏽 0 new friends
🖼️ 0 exhibitions
🕑 0 hours of art experiences</v>
      </c>
    </row>
    <row r="213" spans="1:19" ht="51">
      <c r="A213">
        <f>Users!A211</f>
        <v>0</v>
      </c>
      <c r="C213" s="23" t="e">
        <f>VLOOKUP(A213,Users!A:D,2,FALSE)</f>
        <v>#N/A</v>
      </c>
      <c r="D213" s="23" t="e">
        <f>VLOOKUP(A213,Users!A:D,3,FALSE)</f>
        <v>#N/A</v>
      </c>
      <c r="E213" s="99">
        <f>COUNTIF(Visits!AJ:AJ,'Summer Challenge'!A321)</f>
        <v>0</v>
      </c>
      <c r="G213" t="e" cm="1">
        <f t="array" ref="G213">SUM(--(FREQUENCY(IF(Visits!E:E='Summer Challenge'!A213,Visits!AK:AK),Visits!AK:AK)&gt;0))</f>
        <v>#N/A</v>
      </c>
      <c r="H213">
        <f>SUMIF(Visits!E:E,'Summer Challenge'!A213,Visits!AK:AK)</f>
        <v>0</v>
      </c>
      <c r="J213" s="106"/>
      <c r="K213" s="106">
        <f t="shared" si="19"/>
        <v>0</v>
      </c>
      <c r="L213" s="4">
        <f>SUMIF(Visits!E:E,'Summer Challenge'!A213,Visits!AL:AL)</f>
        <v>0</v>
      </c>
      <c r="M213" s="4">
        <f t="shared" si="20"/>
        <v>0</v>
      </c>
      <c r="N213" s="4"/>
      <c r="O213" t="s">
        <v>201</v>
      </c>
      <c r="P213" t="s">
        <v>202</v>
      </c>
      <c r="Q213" t="str">
        <f>IF(SUM('User Engagement'!G214:H214)&gt;=0,"YES", "NO")</f>
        <v>YES</v>
      </c>
      <c r="S213" s="2" t="str">
        <f t="shared" si="21"/>
        <v>👨🏼‍🤝‍👨🏽 0 new friends
🖼️ 0 exhibitions
🕑 0 hours of art experiences</v>
      </c>
    </row>
    <row r="214" spans="1:19" ht="51">
      <c r="B214" s="66"/>
      <c r="C214" s="23"/>
      <c r="D214" s="23"/>
      <c r="E214" s="99">
        <f>COUNTIF(Visits!AJ:AJ,'Summer Challenge'!A322)</f>
        <v>0</v>
      </c>
      <c r="G214" t="e" cm="1">
        <f t="array" ref="G214">SUM(--(FREQUENCY(IF(Visits!E:E='Summer Challenge'!A214,Visits!AK:AK),Visits!AK:AK)&gt;0))</f>
        <v>#N/A</v>
      </c>
      <c r="H214">
        <f>SUMIF(Visits!E:E,'Summer Challenge'!A214,Visits!AK:AK)</f>
        <v>0</v>
      </c>
      <c r="J214" s="106"/>
      <c r="K214" s="106">
        <f t="shared" si="19"/>
        <v>0</v>
      </c>
      <c r="L214" s="4">
        <f>SUMIF(Visits!E:E,'Summer Challenge'!A214,Visits!AL:AL)</f>
        <v>0</v>
      </c>
      <c r="M214" s="4">
        <f t="shared" si="20"/>
        <v>0</v>
      </c>
      <c r="N214" s="4"/>
      <c r="S214" s="2" t="str">
        <f t="shared" si="21"/>
        <v>👨🏼‍🤝‍👨🏽 0 new friends
🖼️ 0 exhibitions
🕑 0 hours of art experiences</v>
      </c>
    </row>
    <row r="215" spans="1:19" ht="15.95">
      <c r="C215" s="23"/>
      <c r="D215" s="23"/>
      <c r="E215" s="99">
        <f>COUNTIF(Visits!AJ:AJ,'Summer Challenge'!A323)</f>
        <v>0</v>
      </c>
      <c r="G215" t="e" cm="1">
        <f t="array" ref="G215">SUM(--(FREQUENCY(IF(Visits!E:E='Summer Challenge'!A215,Visits!AK:AK),Visits!AK:AK)&gt;0))</f>
        <v>#N/A</v>
      </c>
      <c r="H215">
        <f>SUMIF(Visits!E:E,'Summer Challenge'!A215,Visits!AK:AK)</f>
        <v>0</v>
      </c>
      <c r="J215" s="106"/>
      <c r="K215" s="106">
        <f t="shared" si="19"/>
        <v>0</v>
      </c>
      <c r="L215" s="4">
        <f>SUMIF(Visits!E:E,'Summer Challenge'!A215,Visits!AL:AL)</f>
        <v>0</v>
      </c>
      <c r="M215" s="4">
        <f t="shared" si="20"/>
        <v>0</v>
      </c>
      <c r="N215" s="4"/>
    </row>
    <row r="216" spans="1:19" ht="15.95">
      <c r="C216" s="23"/>
      <c r="D216" s="23"/>
      <c r="E216" s="99">
        <f>COUNTIF(Visits!AJ:AJ,'Summer Challenge'!A324)</f>
        <v>0</v>
      </c>
      <c r="G216" t="e" cm="1">
        <f t="array" ref="G216">SUM(--(FREQUENCY(IF(Visits!E:E='Summer Challenge'!A216,Visits!AK:AK),Visits!AK:AK)&gt;0))</f>
        <v>#N/A</v>
      </c>
      <c r="H216">
        <f>SUMIF(Visits!E:E,'Summer Challenge'!A216,Visits!AK:AK)</f>
        <v>0</v>
      </c>
      <c r="J216" s="106"/>
      <c r="K216" s="106">
        <f t="shared" si="19"/>
        <v>0</v>
      </c>
      <c r="L216" s="4">
        <f>SUMIF(Visits!E:E,'Summer Challenge'!A216,Visits!AL:AL)</f>
        <v>0</v>
      </c>
      <c r="M216" s="4">
        <f t="shared" si="20"/>
        <v>0</v>
      </c>
      <c r="N216" s="4"/>
    </row>
    <row r="217" spans="1:19" ht="15.95">
      <c r="C217" s="23"/>
      <c r="D217" s="23"/>
      <c r="E217" s="99">
        <f>COUNTIF(Visits!AJ:AJ,'Summer Challenge'!A325)</f>
        <v>0</v>
      </c>
      <c r="G217" t="e" cm="1">
        <f t="array" ref="G217">SUM(--(FREQUENCY(IF(Visits!E:E='Summer Challenge'!A217,Visits!AK:AK),Visits!AK:AK)&gt;0))</f>
        <v>#N/A</v>
      </c>
      <c r="H217">
        <f>SUMIF(Visits!E:E,'Summer Challenge'!A217,Visits!AK:AK)</f>
        <v>0</v>
      </c>
      <c r="J217" s="106"/>
      <c r="K217" s="106">
        <f t="shared" si="19"/>
        <v>0</v>
      </c>
      <c r="L217" s="4">
        <f>SUMIF(Visits!E:E,'Summer Challenge'!A217,Visits!AL:AL)</f>
        <v>0</v>
      </c>
      <c r="M217" s="4">
        <f t="shared" si="20"/>
        <v>0</v>
      </c>
      <c r="N217" s="4"/>
    </row>
    <row r="218" spans="1:19" ht="15.95">
      <c r="C218" s="23"/>
      <c r="D218" s="23"/>
      <c r="E218" s="99">
        <f>COUNTIF(Visits!AJ:AJ,'Summer Challenge'!A326)</f>
        <v>0</v>
      </c>
      <c r="G218" t="e" cm="1">
        <f t="array" ref="G218">SUM(--(FREQUENCY(IF(Visits!E:E='Summer Challenge'!A218,Visits!AK:AK),Visits!AK:AK)&gt;0))</f>
        <v>#N/A</v>
      </c>
      <c r="H218">
        <f>SUMIF(Visits!E:E,'Summer Challenge'!A218,Visits!AK:AK)</f>
        <v>0</v>
      </c>
      <c r="J218" s="106"/>
      <c r="K218" s="106">
        <f t="shared" si="19"/>
        <v>0</v>
      </c>
      <c r="L218" s="4">
        <f>SUMIF(Visits!E:E,'Summer Challenge'!A218,Visits!AL:AL)</f>
        <v>0</v>
      </c>
      <c r="M218" s="4">
        <f t="shared" si="20"/>
        <v>0</v>
      </c>
      <c r="N218" s="4"/>
    </row>
    <row r="219" spans="1:19" ht="15.95">
      <c r="C219" s="23"/>
      <c r="D219" s="23"/>
      <c r="E219" s="99">
        <f>COUNTIF(Visits!AJ:AJ,'Summer Challenge'!A327)</f>
        <v>0</v>
      </c>
      <c r="G219" t="e" cm="1">
        <f t="array" ref="G219">SUM(--(FREQUENCY(IF(Visits!E:E='Summer Challenge'!A219,Visits!AK:AK),Visits!AK:AK)&gt;0))</f>
        <v>#N/A</v>
      </c>
      <c r="H219">
        <f>SUMIF(Visits!E:E,'Summer Challenge'!A219,Visits!AK:AK)</f>
        <v>0</v>
      </c>
      <c r="J219" s="106"/>
      <c r="K219" s="106">
        <f t="shared" si="19"/>
        <v>0</v>
      </c>
      <c r="L219" s="4">
        <f>SUMIF(Visits!E:E,'Summer Challenge'!A219,Visits!AL:AL)</f>
        <v>0</v>
      </c>
      <c r="M219" s="4">
        <f t="shared" si="20"/>
        <v>0</v>
      </c>
      <c r="N219" s="4"/>
    </row>
    <row r="220" spans="1:19" ht="15.95">
      <c r="C220" s="23"/>
      <c r="D220" s="23"/>
      <c r="E220" s="99">
        <f>COUNTIF(Visits!AJ:AJ,'Summer Challenge'!A328)</f>
        <v>0</v>
      </c>
      <c r="G220" t="e" cm="1">
        <f t="array" ref="G220">SUM(--(FREQUENCY(IF(Visits!E:E='Summer Challenge'!A220,Visits!AK:AK),Visits!AK:AK)&gt;0))</f>
        <v>#N/A</v>
      </c>
      <c r="H220">
        <f>SUMIF(Visits!E:E,'Summer Challenge'!A220,Visits!AK:AK)</f>
        <v>0</v>
      </c>
      <c r="J220" s="106"/>
      <c r="K220" s="106">
        <f t="shared" si="19"/>
        <v>0</v>
      </c>
      <c r="L220" s="4">
        <f>SUMIF(Visits!E:E,'Summer Challenge'!A220,Visits!AL:AL)</f>
        <v>0</v>
      </c>
      <c r="M220" s="4">
        <f t="shared" si="20"/>
        <v>0</v>
      </c>
      <c r="N220" s="4"/>
    </row>
    <row r="221" spans="1:19" ht="15.95">
      <c r="C221" s="23"/>
      <c r="D221" s="23"/>
      <c r="E221" s="99">
        <f>COUNTIF(Visits!AJ:AJ,'Summer Challenge'!A329)</f>
        <v>0</v>
      </c>
      <c r="G221" t="e" cm="1">
        <f t="array" ref="G221">SUM(--(FREQUENCY(IF(Visits!E:E='Summer Challenge'!A221,Visits!AK:AK),Visits!AK:AK)&gt;0))</f>
        <v>#N/A</v>
      </c>
      <c r="H221">
        <f>SUMIF(Visits!E:E,'Summer Challenge'!A221,Visits!AK:AK)</f>
        <v>0</v>
      </c>
      <c r="J221" s="106"/>
      <c r="K221" s="106">
        <f t="shared" si="19"/>
        <v>0</v>
      </c>
      <c r="L221" s="4">
        <f>SUMIF(Visits!E:E,'Summer Challenge'!A221,Visits!AL:AL)</f>
        <v>0</v>
      </c>
      <c r="M221" s="4">
        <f t="shared" si="20"/>
        <v>0</v>
      </c>
      <c r="N221" s="4"/>
    </row>
    <row r="222" spans="1:19" ht="15.95">
      <c r="C222" s="23"/>
      <c r="D222" s="23"/>
      <c r="E222" s="99">
        <f>COUNTIF(Visits!AJ:AJ,'Summer Challenge'!A330)</f>
        <v>0</v>
      </c>
      <c r="G222" t="e" cm="1">
        <f t="array" ref="G222">SUM(--(FREQUENCY(IF(Visits!E:E='Summer Challenge'!A222,Visits!AK:AK),Visits!AK:AK)&gt;0))</f>
        <v>#N/A</v>
      </c>
      <c r="H222">
        <f>SUMIF(Visits!E:E,'Summer Challenge'!A222,Visits!AK:AK)</f>
        <v>0</v>
      </c>
      <c r="J222" s="106"/>
      <c r="K222" s="106">
        <f t="shared" si="19"/>
        <v>0</v>
      </c>
      <c r="L222" s="4">
        <f>SUMIF(Visits!E:E,'Summer Challenge'!A222,Visits!AL:AL)</f>
        <v>0</v>
      </c>
      <c r="M222" s="4">
        <f t="shared" si="20"/>
        <v>0</v>
      </c>
      <c r="N222" s="4"/>
    </row>
    <row r="223" spans="1:19" ht="15.95">
      <c r="C223" s="23"/>
      <c r="D223" s="23"/>
      <c r="E223" s="99">
        <f>COUNTIF(Visits!AJ:AJ,'Summer Challenge'!A331)</f>
        <v>0</v>
      </c>
      <c r="G223" t="e" cm="1">
        <f t="array" ref="G223">SUM(--(FREQUENCY(IF(Visits!E:E='Summer Challenge'!A223,Visits!AK:AK),Visits!AK:AK)&gt;0))</f>
        <v>#N/A</v>
      </c>
      <c r="H223">
        <f>SUMIF(Visits!E:E,'Summer Challenge'!A223,Visits!AK:AK)</f>
        <v>0</v>
      </c>
      <c r="J223" s="106"/>
      <c r="K223" s="106">
        <f t="shared" si="19"/>
        <v>0</v>
      </c>
      <c r="L223" s="4">
        <f>SUMIF(Visits!E:E,'Summer Challenge'!A223,Visits!AL:AL)</f>
        <v>0</v>
      </c>
      <c r="M223" s="4">
        <f t="shared" si="20"/>
        <v>0</v>
      </c>
      <c r="N223" s="4"/>
    </row>
    <row r="224" spans="1:19" ht="15.95">
      <c r="C224" s="23"/>
      <c r="D224" s="23"/>
      <c r="E224" s="99">
        <f>COUNTIF(Visits!AJ:AJ,'Summer Challenge'!A332)</f>
        <v>0</v>
      </c>
      <c r="G224" t="e" cm="1">
        <f t="array" ref="G224">SUM(--(FREQUENCY(IF(Visits!E:E='Summer Challenge'!A224,Visits!AK:AK),Visits!AK:AK)&gt;0))</f>
        <v>#N/A</v>
      </c>
      <c r="H224">
        <f>SUMIF(Visits!E:E,'Summer Challenge'!A224,Visits!AK:AK)</f>
        <v>0</v>
      </c>
      <c r="J224" s="106"/>
      <c r="K224" s="106">
        <f t="shared" si="19"/>
        <v>0</v>
      </c>
      <c r="L224" s="4">
        <f>SUMIF(Visits!E:E,'Summer Challenge'!A224,Visits!AL:AL)</f>
        <v>0</v>
      </c>
      <c r="M224" s="4">
        <f t="shared" si="20"/>
        <v>0</v>
      </c>
      <c r="N224" s="4"/>
    </row>
    <row r="225" spans="3:14" ht="15.95">
      <c r="C225" s="23"/>
      <c r="D225" s="23"/>
      <c r="E225" s="99">
        <f>COUNTIF(Visits!AJ:AJ,'Summer Challenge'!A333)</f>
        <v>0</v>
      </c>
      <c r="G225" t="e" cm="1">
        <f t="array" ref="G225">SUM(--(FREQUENCY(IF(Visits!E:E='Summer Challenge'!A225,Visits!AK:AK),Visits!AK:AK)&gt;0))</f>
        <v>#N/A</v>
      </c>
      <c r="H225">
        <f>SUMIF(Visits!E:E,'Summer Challenge'!A225,Visits!AK:AK)</f>
        <v>0</v>
      </c>
      <c r="J225" s="106"/>
      <c r="K225" s="106">
        <f t="shared" si="19"/>
        <v>0</v>
      </c>
      <c r="L225" s="4">
        <f>SUMIF(Visits!E:E,'Summer Challenge'!A225,Visits!AL:AL)</f>
        <v>0</v>
      </c>
      <c r="M225" s="4">
        <f t="shared" si="20"/>
        <v>0</v>
      </c>
      <c r="N225" s="4"/>
    </row>
    <row r="226" spans="3:14" ht="15.95">
      <c r="C226" s="23"/>
      <c r="D226" s="23"/>
      <c r="E226" s="99">
        <f>COUNTIF(Visits!AJ:AJ,'Summer Challenge'!A334)</f>
        <v>0</v>
      </c>
      <c r="G226" t="e" cm="1">
        <f t="array" ref="G226">SUM(--(FREQUENCY(IF(Visits!E:E='Summer Challenge'!A226,Visits!AK:AK),Visits!AK:AK)&gt;0))</f>
        <v>#N/A</v>
      </c>
      <c r="H226">
        <f>SUMIF(Visits!E:E,'Summer Challenge'!A226,Visits!AK:AK)</f>
        <v>0</v>
      </c>
      <c r="J226" s="106"/>
      <c r="K226" s="106">
        <f t="shared" si="19"/>
        <v>0</v>
      </c>
      <c r="L226" s="4">
        <f>SUMIF(Visits!E:E,'Summer Challenge'!A226,Visits!AL:AL)</f>
        <v>0</v>
      </c>
      <c r="M226" s="4">
        <f t="shared" si="20"/>
        <v>0</v>
      </c>
      <c r="N226" s="4"/>
    </row>
    <row r="227" spans="3:14" ht="15.95">
      <c r="C227" s="23"/>
      <c r="D227" s="23"/>
      <c r="E227" s="99">
        <f>COUNTIF(Visits!AJ:AJ,'Summer Challenge'!A335)</f>
        <v>0</v>
      </c>
      <c r="G227" t="e" cm="1">
        <f t="array" ref="G227">SUM(--(FREQUENCY(IF(Visits!E:E='Summer Challenge'!A227,Visits!AK:AK),Visits!AK:AK)&gt;0))</f>
        <v>#N/A</v>
      </c>
      <c r="H227">
        <f>SUMIF(Visits!E:E,'Summer Challenge'!A227,Visits!AK:AK)</f>
        <v>0</v>
      </c>
      <c r="J227" s="106"/>
      <c r="K227" s="106">
        <f t="shared" si="19"/>
        <v>0</v>
      </c>
      <c r="L227" s="4">
        <f>SUMIF(Visits!E:E,'Summer Challenge'!A227,Visits!AL:AL)</f>
        <v>0</v>
      </c>
      <c r="M227" s="4">
        <f t="shared" si="20"/>
        <v>0</v>
      </c>
      <c r="N227" s="4"/>
    </row>
    <row r="228" spans="3:14" ht="15.95">
      <c r="C228" s="23"/>
      <c r="D228" s="23"/>
    </row>
    <row r="229" spans="3:14" ht="15.95">
      <c r="C229" s="23"/>
      <c r="D229" s="23"/>
    </row>
    <row r="230" spans="3:14" ht="15.95">
      <c r="C230" s="23"/>
      <c r="D230" s="23"/>
    </row>
    <row r="231" spans="3:14" ht="15.95">
      <c r="C231" s="23"/>
      <c r="D231" s="23"/>
    </row>
    <row r="232" spans="3:14" ht="15.95">
      <c r="C232" s="23"/>
      <c r="D232" s="23"/>
    </row>
    <row r="233" spans="3:14" ht="15.95">
      <c r="C233" s="23"/>
      <c r="D233" s="23"/>
    </row>
    <row r="234" spans="3:14" ht="15.95">
      <c r="C234" s="23"/>
      <c r="D234" s="23"/>
    </row>
    <row r="235" spans="3:14" ht="15.95">
      <c r="C235" s="23"/>
      <c r="D235" s="23"/>
    </row>
    <row r="236" spans="3:14" ht="15.95">
      <c r="C236" s="23"/>
      <c r="D236" s="23"/>
    </row>
    <row r="237" spans="3:14" ht="15.95">
      <c r="C237" s="23"/>
      <c r="D237" s="23"/>
    </row>
    <row r="238" spans="3:14" ht="15.95">
      <c r="C238" s="23"/>
      <c r="D238" s="23"/>
    </row>
    <row r="239" spans="3:14" ht="15.95">
      <c r="C239" s="23"/>
      <c r="D239" s="23"/>
    </row>
    <row r="240" spans="3:14" ht="15.95">
      <c r="C240" s="23"/>
      <c r="D240" s="23"/>
    </row>
    <row r="241" spans="3:4" ht="15.95">
      <c r="C241" s="23"/>
      <c r="D241" s="23"/>
    </row>
    <row r="242" spans="3:4" ht="15.95">
      <c r="C242" s="23"/>
      <c r="D242" s="23"/>
    </row>
    <row r="243" spans="3:4" ht="15.95">
      <c r="C243" s="23"/>
      <c r="D243" s="23"/>
    </row>
    <row r="244" spans="3:4" ht="15.95">
      <c r="C244" s="23"/>
      <c r="D244" s="23"/>
    </row>
    <row r="245" spans="3:4" ht="15.95">
      <c r="C245" s="23"/>
      <c r="D245" s="23"/>
    </row>
    <row r="246" spans="3:4" ht="15.95">
      <c r="C246" s="23"/>
      <c r="D246" s="23"/>
    </row>
    <row r="247" spans="3:4" ht="15.95">
      <c r="C247" s="23"/>
      <c r="D247" s="23"/>
    </row>
    <row r="248" spans="3:4" ht="15.95">
      <c r="C248" s="23"/>
      <c r="D248" s="23"/>
    </row>
    <row r="249" spans="3:4" ht="15.95">
      <c r="C249" s="23"/>
      <c r="D249" s="23"/>
    </row>
    <row r="250" spans="3:4" ht="15.95">
      <c r="C250" s="23"/>
      <c r="D250" s="23"/>
    </row>
    <row r="251" spans="3:4" ht="15.95">
      <c r="C251" s="23"/>
      <c r="D251" s="23"/>
    </row>
    <row r="252" spans="3:4" ht="15.95">
      <c r="C252" s="23"/>
      <c r="D252" s="23"/>
    </row>
    <row r="253" spans="3:4" ht="15.95">
      <c r="C253" s="23"/>
      <c r="D253" s="23"/>
    </row>
    <row r="254" spans="3:4" ht="15.95">
      <c r="C254" s="23"/>
      <c r="D254" s="23"/>
    </row>
    <row r="255" spans="3:4" ht="15.95">
      <c r="C255" s="23"/>
      <c r="D255" s="23"/>
    </row>
    <row r="256" spans="3:4" ht="15.95">
      <c r="C256" s="23"/>
      <c r="D256" s="23"/>
    </row>
    <row r="257" spans="3:4" ht="15.95">
      <c r="C257" s="23"/>
      <c r="D257" s="23"/>
    </row>
    <row r="258" spans="3:4" ht="15.95">
      <c r="C258" s="23"/>
      <c r="D258" s="23"/>
    </row>
    <row r="259" spans="3:4" ht="15.95">
      <c r="C259" s="23"/>
      <c r="D259" s="23"/>
    </row>
    <row r="260" spans="3:4" ht="15.95">
      <c r="C260" s="23"/>
      <c r="D260" s="23"/>
    </row>
    <row r="261" spans="3:4" ht="15.95">
      <c r="C261" s="23"/>
      <c r="D261" s="23"/>
    </row>
    <row r="262" spans="3:4" ht="15.95">
      <c r="C262" s="23"/>
      <c r="D262" s="23"/>
    </row>
    <row r="263" spans="3:4" ht="15.95">
      <c r="C263" s="23"/>
      <c r="D263" s="23"/>
    </row>
    <row r="264" spans="3:4" ht="15.95">
      <c r="C264" s="23"/>
      <c r="D264" s="23"/>
    </row>
    <row r="265" spans="3:4" ht="15.95">
      <c r="C265" s="23"/>
      <c r="D265" s="23"/>
    </row>
    <row r="266" spans="3:4" ht="15.95">
      <c r="C266" s="23"/>
      <c r="D266" s="23"/>
    </row>
    <row r="267" spans="3:4" ht="15.95">
      <c r="C267" s="23"/>
      <c r="D267" s="23"/>
    </row>
    <row r="268" spans="3:4" ht="15.95">
      <c r="C268" s="23"/>
      <c r="D268" s="23"/>
    </row>
    <row r="269" spans="3:4" ht="15.95">
      <c r="C269" s="23"/>
      <c r="D269" s="23"/>
    </row>
    <row r="270" spans="3:4" ht="15.95">
      <c r="C270" s="23"/>
      <c r="D270" s="23"/>
    </row>
    <row r="271" spans="3:4" ht="15.95">
      <c r="C271" s="23"/>
      <c r="D271" s="23"/>
    </row>
    <row r="272" spans="3:4" ht="15.95">
      <c r="C272" s="23"/>
      <c r="D272" s="23"/>
    </row>
    <row r="273" spans="3:4" ht="15.95">
      <c r="C273" s="23"/>
      <c r="D273" s="23"/>
    </row>
    <row r="274" spans="3:4" ht="15.95">
      <c r="C274" s="23"/>
      <c r="D274" s="23"/>
    </row>
    <row r="275" spans="3:4" ht="15.95">
      <c r="C275" s="23"/>
      <c r="D275" s="23"/>
    </row>
    <row r="276" spans="3:4" ht="15.95">
      <c r="C276" s="23"/>
      <c r="D276" s="23"/>
    </row>
    <row r="277" spans="3:4" ht="15.95">
      <c r="C277" s="23"/>
      <c r="D277" s="23"/>
    </row>
    <row r="278" spans="3:4" ht="15.95">
      <c r="C278" s="23"/>
      <c r="D278" s="23"/>
    </row>
    <row r="279" spans="3:4" ht="15.95">
      <c r="C279" s="23"/>
      <c r="D279" s="23"/>
    </row>
    <row r="280" spans="3:4" ht="15.95">
      <c r="C280" s="23"/>
      <c r="D280" s="23"/>
    </row>
    <row r="281" spans="3:4" ht="15.95">
      <c r="C281" s="23"/>
      <c r="D281" s="23"/>
    </row>
    <row r="282" spans="3:4" ht="15.95">
      <c r="C282" s="23"/>
      <c r="D282" s="23"/>
    </row>
    <row r="283" spans="3:4" ht="15.95">
      <c r="C283" s="23"/>
      <c r="D283" s="23"/>
    </row>
    <row r="284" spans="3:4" ht="15.95">
      <c r="C284" s="23"/>
      <c r="D284" s="23"/>
    </row>
    <row r="285" spans="3:4" ht="15.95">
      <c r="C285" s="23"/>
      <c r="D285" s="23"/>
    </row>
    <row r="286" spans="3:4" ht="15.95">
      <c r="C286" s="23"/>
      <c r="D286" s="23"/>
    </row>
    <row r="287" spans="3:4" ht="15.95">
      <c r="C287" s="23"/>
      <c r="D287" s="23"/>
    </row>
    <row r="288" spans="3:4" ht="15.95">
      <c r="C288" s="23"/>
      <c r="D288" s="23"/>
    </row>
    <row r="289" spans="3:4" ht="15.95">
      <c r="C289" s="23"/>
      <c r="D289" s="23"/>
    </row>
    <row r="290" spans="3:4" ht="15.95">
      <c r="C290" s="23"/>
      <c r="D290" s="23"/>
    </row>
    <row r="291" spans="3:4" ht="15.95">
      <c r="C291" s="23"/>
      <c r="D291" s="23"/>
    </row>
    <row r="292" spans="3:4" ht="15.95">
      <c r="C292" s="23"/>
      <c r="D292" s="23"/>
    </row>
    <row r="293" spans="3:4" ht="15.95">
      <c r="C293" s="23"/>
      <c r="D293" s="23"/>
    </row>
    <row r="294" spans="3:4" ht="15.95">
      <c r="C294" s="23"/>
      <c r="D294" s="23"/>
    </row>
    <row r="295" spans="3:4" ht="15.95">
      <c r="C295" s="23"/>
      <c r="D295" s="23"/>
    </row>
    <row r="296" spans="3:4" ht="15.95">
      <c r="C296" s="23"/>
      <c r="D296" s="23"/>
    </row>
    <row r="297" spans="3:4" ht="15.95">
      <c r="C297" s="23"/>
      <c r="D297" s="23"/>
    </row>
    <row r="298" spans="3:4" ht="15.95">
      <c r="C298" s="23"/>
      <c r="D298" s="23"/>
    </row>
    <row r="299" spans="3:4" ht="15.95">
      <c r="C299" s="23"/>
      <c r="D299" s="23"/>
    </row>
    <row r="300" spans="3:4" ht="15.95">
      <c r="C300" s="23"/>
      <c r="D300" s="23"/>
    </row>
    <row r="301" spans="3:4" ht="15.95">
      <c r="C301" s="23"/>
      <c r="D301" s="23"/>
    </row>
    <row r="302" spans="3:4" ht="15.95">
      <c r="C302" s="23"/>
      <c r="D302" s="23"/>
    </row>
    <row r="303" spans="3:4" ht="15.95">
      <c r="C303" s="23"/>
      <c r="D303" s="23"/>
    </row>
    <row r="304" spans="3:4" ht="15.95">
      <c r="C304" s="23"/>
      <c r="D304" s="23"/>
    </row>
    <row r="305" spans="3:19" ht="15.95">
      <c r="C305" s="23"/>
      <c r="D305" s="23"/>
    </row>
    <row r="306" spans="3:19" ht="15.95">
      <c r="C306" s="23"/>
      <c r="D306" s="23"/>
    </row>
    <row r="307" spans="3:19" ht="15.95">
      <c r="C307" s="23"/>
      <c r="D307" s="23"/>
    </row>
    <row r="308" spans="3:19" ht="15.95">
      <c r="C308" s="23"/>
      <c r="D308" s="23"/>
    </row>
    <row r="309" spans="3:19" ht="15.95">
      <c r="C309" s="23"/>
      <c r="D309" s="23"/>
    </row>
    <row r="310" spans="3:19" ht="15.95">
      <c r="C310" s="23"/>
      <c r="D310" s="23"/>
    </row>
    <row r="311" spans="3:19" ht="15.95">
      <c r="C311" s="23"/>
      <c r="D311" s="23"/>
    </row>
    <row r="312" spans="3:19" ht="15.95">
      <c r="C312" s="23"/>
      <c r="D312" s="23"/>
    </row>
    <row r="313" spans="3:19" ht="15.95">
      <c r="C313" s="23"/>
      <c r="D313" s="23"/>
    </row>
    <row r="314" spans="3:19" ht="15.95">
      <c r="C314" s="23"/>
      <c r="D314" s="23"/>
    </row>
    <row r="315" spans="3:19" ht="15.95">
      <c r="C315" s="23"/>
      <c r="D315" s="23"/>
    </row>
    <row r="316" spans="3:19" ht="15.95">
      <c r="C316" s="23"/>
      <c r="D316" s="23"/>
    </row>
    <row r="317" spans="3:19" ht="15.75" customHeight="1">
      <c r="S317" s="2" t="str">
        <f t="shared" ref="S317:S327" si="22">"Hello "&amp;C317&amp;"! Here is your progress in the *Summer Quest* so far.
👨🏼‍🤝‍👨🏽 *"&amp;K317&amp;"* new friends
🖼️ *"&amp;L317&amp;"* exhibitions
🕑 *"&amp;M317&amp;"* hours of art experiences
Dive deeper into the Guilds and Journeys. Find your next experience bit.ly/3MfEXat
We’re excited to see your adventures unfold over the next 4 weeks! 🚀
Share your journey with pride and don't forget to tag @nimi_collective."</f>
        <v>Hello ! Here is your progress in the *Summer Quest* so far.
👨🏼‍🤝‍👨🏽 ** new friends
🖼️ ** exhibitions
🕑 ** hours of art experiences
Dive deeper into the Guilds and Journeys. Find your next experience bit.ly/3MfEXat
We’re excited to see your adventures unfold over the next 4 weeks! 🚀
Share your journey with pride and don't forget to tag @nimi_collective.</v>
      </c>
    </row>
    <row r="318" spans="3:19" ht="15.75" customHeight="1">
      <c r="S318" s="2" t="str">
        <f t="shared" si="22"/>
        <v>Hello ! Here is your progress in the *Summer Quest* so far.
👨🏼‍🤝‍👨🏽 ** new friends
🖼️ ** exhibitions
🕑 ** hours of art experiences
Dive deeper into the Guilds and Journeys. Find your next experience bit.ly/3MfEXat
We’re excited to see your adventures unfold over the next 4 weeks! 🚀
Share your journey with pride and don't forget to tag @nimi_collective.</v>
      </c>
    </row>
    <row r="319" spans="3:19" ht="15.75" customHeight="1">
      <c r="S319" s="2" t="str">
        <f t="shared" si="22"/>
        <v>Hello ! Here is your progress in the *Summer Quest* so far.
👨🏼‍🤝‍👨🏽 ** new friends
🖼️ ** exhibitions
🕑 ** hours of art experiences
Dive deeper into the Guilds and Journeys. Find your next experience bit.ly/3MfEXat
We’re excited to see your adventures unfold over the next 4 weeks! 🚀
Share your journey with pride and don't forget to tag @nimi_collective.</v>
      </c>
    </row>
    <row r="320" spans="3:19" ht="15.75" customHeight="1">
      <c r="S320" s="2" t="str">
        <f t="shared" si="22"/>
        <v>Hello ! Here is your progress in the *Summer Quest* so far.
👨🏼‍🤝‍👨🏽 ** new friends
🖼️ ** exhibitions
🕑 ** hours of art experiences
Dive deeper into the Guilds and Journeys. Find your next experience bit.ly/3MfEXat
We’re excited to see your adventures unfold over the next 4 weeks! 🚀
Share your journey with pride and don't forget to tag @nimi_collective.</v>
      </c>
    </row>
    <row r="321" spans="19:19" ht="15.75" customHeight="1">
      <c r="S321" s="2" t="str">
        <f t="shared" si="22"/>
        <v>Hello ! Here is your progress in the *Summer Quest* so far.
👨🏼‍🤝‍👨🏽 ** new friends
🖼️ ** exhibitions
🕑 ** hours of art experiences
Dive deeper into the Guilds and Journeys. Find your next experience bit.ly/3MfEXat
We’re excited to see your adventures unfold over the next 4 weeks! 🚀
Share your journey with pride and don't forget to tag @nimi_collective.</v>
      </c>
    </row>
    <row r="322" spans="19:19" ht="15.75" customHeight="1">
      <c r="S322" s="2" t="str">
        <f t="shared" si="22"/>
        <v>Hello ! Here is your progress in the *Summer Quest* so far.
👨🏼‍🤝‍👨🏽 ** new friends
🖼️ ** exhibitions
🕑 ** hours of art experiences
Dive deeper into the Guilds and Journeys. Find your next experience bit.ly/3MfEXat
We’re excited to see your adventures unfold over the next 4 weeks! 🚀
Share your journey with pride and don't forget to tag @nimi_collective.</v>
      </c>
    </row>
    <row r="323" spans="19:19" ht="15.75" customHeight="1">
      <c r="S323" s="2" t="str">
        <f t="shared" si="22"/>
        <v>Hello ! Here is your progress in the *Summer Quest* so far.
👨🏼‍🤝‍👨🏽 ** new friends
🖼️ ** exhibitions
🕑 ** hours of art experiences
Dive deeper into the Guilds and Journeys. Find your next experience bit.ly/3MfEXat
We’re excited to see your adventures unfold over the next 4 weeks! 🚀
Share your journey with pride and don't forget to tag @nimi_collective.</v>
      </c>
    </row>
    <row r="324" spans="19:19" ht="15.75" customHeight="1">
      <c r="S324" s="2" t="str">
        <f t="shared" si="22"/>
        <v>Hello ! Here is your progress in the *Summer Quest* so far.
👨🏼‍🤝‍👨🏽 ** new friends
🖼️ ** exhibitions
🕑 ** hours of art experiences
Dive deeper into the Guilds and Journeys. Find your next experience bit.ly/3MfEXat
We’re excited to see your adventures unfold over the next 4 weeks! 🚀
Share your journey with pride and don't forget to tag @nimi_collective.</v>
      </c>
    </row>
    <row r="325" spans="19:19" ht="15.75" customHeight="1">
      <c r="S325" s="2" t="str">
        <f t="shared" si="22"/>
        <v>Hello ! Here is your progress in the *Summer Quest* so far.
👨🏼‍🤝‍👨🏽 ** new friends
🖼️ ** exhibitions
🕑 ** hours of art experiences
Dive deeper into the Guilds and Journeys. Find your next experience bit.ly/3MfEXat
We’re excited to see your adventures unfold over the next 4 weeks! 🚀
Share your journey with pride and don't forget to tag @nimi_collective.</v>
      </c>
    </row>
    <row r="326" spans="19:19" ht="15.75" customHeight="1">
      <c r="S326" s="2" t="str">
        <f t="shared" si="22"/>
        <v>Hello ! Here is your progress in the *Summer Quest* so far.
👨🏼‍🤝‍👨🏽 ** new friends
🖼️ ** exhibitions
🕑 ** hours of art experiences
Dive deeper into the Guilds and Journeys. Find your next experience bit.ly/3MfEXat
We’re excited to see your adventures unfold over the next 4 weeks! 🚀
Share your journey with pride and don't forget to tag @nimi_collective.</v>
      </c>
    </row>
    <row r="327" spans="19:19" ht="15.75" customHeight="1">
      <c r="S327" s="2" t="str">
        <f t="shared" si="22"/>
        <v>Hello ! Here is your progress in the *Summer Quest* so far.
👨🏼‍🤝‍👨🏽 ** new friends
🖼️ ** exhibitions
🕑 ** hours of art experiences
Dive deeper into the Guilds and Journeys. Find your next experience bit.ly/3MfEXat
We’re excited to see your adventures unfold over the next 4 weeks! 🚀
Share your journey with pride and don't forget to tag @nimi_collective.</v>
      </c>
    </row>
  </sheetData>
  <autoFilter ref="A3:T316" xr:uid="{F9B83825-5EE1-44A0-97CF-4C7336F8D91D}"/>
  <mergeCells count="3">
    <mergeCell ref="E2:F2"/>
    <mergeCell ref="G2:H2"/>
    <mergeCell ref="E1:I1"/>
  </mergeCells>
  <conditionalFormatting sqref="E1:E104857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{FAE29D97-89E4-41EA-8A69-36533F839D59}</x14:id>
        </ext>
      </extLst>
    </cfRule>
  </conditionalFormatting>
  <conditionalFormatting sqref="F1:F104857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{9FB90E02-056B-4DC5-B07D-C11BCF789A09}</x14:id>
        </ext>
      </extLst>
    </cfRule>
  </conditionalFormatting>
  <conditionalFormatting sqref="G1:G1048576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{96C0EF49-2A2E-47A1-AD08-9743899FFCCA}</x14:id>
        </ext>
      </extLst>
    </cfRule>
  </conditionalFormatting>
  <conditionalFormatting sqref="H1:H104857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{4FF588F2-643E-48BD-BE95-A9821F766434}</x14:id>
        </ext>
      </extLst>
    </cfRule>
  </conditionalFormatting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AE29D97-89E4-41EA-8A69-36533F839D5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E1:E1048576</xm:sqref>
        </x14:conditionalFormatting>
        <x14:conditionalFormatting xmlns:xm="http://schemas.microsoft.com/office/excel/2006/main">
          <x14:cfRule type="dataBar" id="{9FB90E02-056B-4DC5-B07D-C11BCF789A0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F1:F1048576</xm:sqref>
        </x14:conditionalFormatting>
        <x14:conditionalFormatting xmlns:xm="http://schemas.microsoft.com/office/excel/2006/main">
          <x14:cfRule type="dataBar" id="{96C0EF49-2A2E-47A1-AD08-9743899FFCCA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G1:G1048576</xm:sqref>
        </x14:conditionalFormatting>
        <x14:conditionalFormatting xmlns:xm="http://schemas.microsoft.com/office/excel/2006/main">
          <x14:cfRule type="dataBar" id="{4FF588F2-643E-48BD-BE95-A9821F76643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H1:H1048576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3ACFC-4ABF-744F-B768-F3DAD832B8CE}">
  <sheetPr>
    <tabColor rgb="FFFF0000"/>
  </sheetPr>
  <dimension ref="A1:T316"/>
  <sheetViews>
    <sheetView zoomScale="130" zoomScaleNormal="130" workbookViewId="0">
      <selection activeCell="H9" sqref="H9"/>
    </sheetView>
  </sheetViews>
  <sheetFormatPr defaultColWidth="11" defaultRowHeight="15.75" customHeight="1"/>
  <cols>
    <col min="1" max="1" width="33.375" bestFit="1" customWidth="1"/>
    <col min="2" max="2" width="12.5" bestFit="1" customWidth="1"/>
    <col min="3" max="3" width="20.375" bestFit="1" customWidth="1"/>
    <col min="4" max="4" width="12.875" customWidth="1"/>
    <col min="5" max="5" width="11" style="4"/>
    <col min="6" max="6" width="11" style="4" customWidth="1"/>
    <col min="7" max="7" width="11" style="4"/>
    <col min="8" max="16" width="11" style="4" customWidth="1"/>
    <col min="17" max="17" width="11.125" style="4" customWidth="1"/>
    <col min="18" max="18" width="11" style="4"/>
    <col min="19" max="19" width="15.5" style="4" bestFit="1" customWidth="1"/>
  </cols>
  <sheetData>
    <row r="1" spans="1:20" ht="15.95">
      <c r="A1" t="s">
        <v>184</v>
      </c>
      <c r="B1" s="1">
        <v>45330</v>
      </c>
    </row>
    <row r="2" spans="1:20" ht="15.95" customHeight="1">
      <c r="Q2" s="170" t="s">
        <v>205</v>
      </c>
      <c r="R2" s="170"/>
      <c r="S2" s="170"/>
      <c r="T2" s="170"/>
    </row>
    <row r="3" spans="1:20" s="2" customFormat="1" ht="65.25" customHeight="1">
      <c r="A3" s="2" t="s">
        <v>97</v>
      </c>
      <c r="D3" s="2" t="s">
        <v>103</v>
      </c>
      <c r="E3" s="3" t="s">
        <v>206</v>
      </c>
      <c r="F3" s="3" t="s">
        <v>105</v>
      </c>
      <c r="G3" s="3" t="s">
        <v>106</v>
      </c>
      <c r="H3" s="3" t="s">
        <v>107</v>
      </c>
      <c r="I3" s="3" t="s">
        <v>207</v>
      </c>
      <c r="J3" s="3" t="s">
        <v>208</v>
      </c>
      <c r="K3" s="3" t="s">
        <v>209</v>
      </c>
      <c r="L3" s="3" t="s">
        <v>210</v>
      </c>
      <c r="M3" s="3" t="s">
        <v>108</v>
      </c>
      <c r="N3" s="3" t="s">
        <v>109</v>
      </c>
      <c r="O3" s="3" t="s">
        <v>211</v>
      </c>
      <c r="P3" s="3" t="s">
        <v>110</v>
      </c>
      <c r="Q3" s="3" t="s">
        <v>111</v>
      </c>
      <c r="R3" s="3" t="s">
        <v>112</v>
      </c>
      <c r="S3" s="3" t="s">
        <v>113</v>
      </c>
      <c r="T3" s="3" t="s">
        <v>114</v>
      </c>
    </row>
    <row r="4" spans="1:20" ht="15.95">
      <c r="A4" t="str">
        <f>Users!A2</f>
        <v>aidanakassymova@gmail.com</v>
      </c>
      <c r="B4" s="23"/>
      <c r="C4" s="23"/>
      <c r="D4" s="1" cm="1">
        <f t="array" ref="D4">MAX(_xlfn._xlws.FILTER(Visits!AF:AF,Visits!E:E='User Engagement'!A4))</f>
        <v>45480.583333333336</v>
      </c>
      <c r="E4">
        <f>COUNTIF(Visits!$E$2:$E$993,'User Engagement'!$A4)</f>
        <v>7</v>
      </c>
      <c r="F4">
        <f>COUNTIFS(Visits!$E$2:$E$993,'User Engagement'!$A5,Visits!$AF$2:$AF$993,"&gt;"&amp;($B$1-7))</f>
        <v>1</v>
      </c>
      <c r="G4">
        <f>COUNTIFS(Visits!$E$2:$E$993,'User Engagement'!$A4,Visits!$AF$2:$AF$993,"&gt;"&amp;($B$1-30))</f>
        <v>7</v>
      </c>
      <c r="H4">
        <f>COUNTIFS(Visits!$E$2:$E$993,$A4,Visits!$AF$2:$AF$993,"&gt;"&amp;($B$1-60))-G4</f>
        <v>0</v>
      </c>
      <c r="I4">
        <f>COUNTIFS(Visits!$AG:$AG,'New Dashboard'!$A$22,Visits!$E:$E,'User Engagement'!$A4)</f>
        <v>1</v>
      </c>
      <c r="J4">
        <f>COUNTIFS(Visits!$AG:$AG,'New Dashboard'!$A$23,Visits!$E:$E,'User Engagement'!$A4)</f>
        <v>2</v>
      </c>
      <c r="K4">
        <f>COUNTIFS(Visits!$AG:$AG,'New Dashboard'!$A$24,Visits!$E:$E,'User Engagement'!$A4)</f>
        <v>2</v>
      </c>
      <c r="L4">
        <f>COUNTIFS(Visits!$AG:$AG,'New Dashboard'!$A$25,Visits!$E:$E,'User Engagement'!$A4)</f>
        <v>1</v>
      </c>
      <c r="M4">
        <f t="shared" ref="M4:M35" si="0">IF(E4-F4=0,1,0)</f>
        <v>0</v>
      </c>
      <c r="N4"/>
      <c r="O4"/>
      <c r="P4">
        <f t="shared" ref="P4:P67" si="1">IF(G4&gt;2,N4,0)</f>
        <v>0</v>
      </c>
      <c r="Q4" s="4">
        <f>SUMIF(Visits!$E$2:$E$90,'User Engagement'!$A4,Visits!$T$2:$T$90)</f>
        <v>47.5</v>
      </c>
      <c r="R4" s="4">
        <f>SUMIFS(Visits!$T$2:$T$90,Visits!$E$2:$E$90,'User Engagement'!$A4,Visits!$AF$2:$AF$90,"&gt;3/28/24")</f>
        <v>7.5</v>
      </c>
      <c r="S4" s="13">
        <f t="shared" ref="S4:S67" si="2">Q4/E4</f>
        <v>6.7857142857142856</v>
      </c>
      <c r="T4" s="13">
        <f t="shared" ref="T4:T67" si="3">IFERROR(R4/G4,"n/a")</f>
        <v>1.0714285714285714</v>
      </c>
    </row>
    <row r="5" spans="1:20" ht="15.95">
      <c r="A5" t="str">
        <f>Users!A3</f>
        <v>alekseypleshkov17@gmail.com</v>
      </c>
      <c r="B5" s="23"/>
      <c r="C5" s="23"/>
      <c r="D5" s="1" cm="1">
        <f t="array" ref="D5">MAX(_xlfn._xlws.FILTER(Visits!AF:AF,Visits!E:E='User Engagement'!A5))</f>
        <v>45374</v>
      </c>
      <c r="E5">
        <f>COUNTIF(Visits!$E$2:$E$993,'User Engagement'!$A5)</f>
        <v>1</v>
      </c>
      <c r="F5">
        <f>COUNTIFS(Visits!$E$2:$E$993,'User Engagement'!$A6,Visits!$AF$2:$AF$993,"&gt;"&amp;($B$1-7))</f>
        <v>0</v>
      </c>
      <c r="G5">
        <f>COUNTIFS(Visits!$E$2:$E$993,'User Engagement'!$A5,Visits!$AF$2:$AF$993,"&gt;"&amp;($B$1-30))</f>
        <v>1</v>
      </c>
      <c r="H5">
        <f>COUNTIFS(Visits!$E$2:$E$993,$A5,Visits!$AF$2:$AF$993,"&gt;"&amp;($B$1-60))-G5</f>
        <v>0</v>
      </c>
      <c r="I5">
        <f>COUNTIFS(Visits!$AG:$AG,'New Dashboard'!$A$22,Visits!$E:$E,'User Engagement'!$A5)</f>
        <v>0</v>
      </c>
      <c r="J5">
        <f>COUNTIFS(Visits!$AG:$AG,'New Dashboard'!$A$23,Visits!$E:$E,'User Engagement'!$A5)</f>
        <v>0</v>
      </c>
      <c r="K5">
        <f>COUNTIFS(Visits!$AG:$AG,'New Dashboard'!$A$24,Visits!$E:$E,'User Engagement'!$A5)</f>
        <v>0</v>
      </c>
      <c r="L5">
        <f>COUNTIFS(Visits!$AG:$AG,'New Dashboard'!$A$25,Visits!$E:$E,'User Engagement'!$A5)</f>
        <v>0</v>
      </c>
      <c r="M5">
        <f t="shared" si="0"/>
        <v>0</v>
      </c>
      <c r="N5">
        <f>IF(G5&gt;0,1,0)</f>
        <v>1</v>
      </c>
      <c r="O5">
        <f>IF(H5&gt;0,1,0)</f>
        <v>0</v>
      </c>
      <c r="P5">
        <f t="shared" si="1"/>
        <v>0</v>
      </c>
      <c r="Q5" s="4">
        <f>SUMIF(Visits!$E$2:$E$90,'User Engagement'!$A5,Visits!$T$2:$T$90)</f>
        <v>40</v>
      </c>
      <c r="R5" s="4">
        <f>SUMIFS(Visits!$T$2:$T$90,Visits!$E$2:$E$90,'User Engagement'!$A5,Visits!$AF$2:$AF$90,"&gt;3/28/24")</f>
        <v>0</v>
      </c>
      <c r="S5" s="13">
        <f t="shared" si="2"/>
        <v>40</v>
      </c>
      <c r="T5" s="13">
        <f t="shared" si="3"/>
        <v>0</v>
      </c>
    </row>
    <row r="6" spans="1:20" ht="15.95">
      <c r="A6">
        <f>Users!A4</f>
        <v>0</v>
      </c>
      <c r="B6" s="23"/>
      <c r="C6" s="23"/>
      <c r="D6" s="1" cm="1">
        <f t="array" ref="D6">MAX(_xlfn._xlws.FILTER(Visits!AF:AF,Visits!E:E='User Engagement'!A6))</f>
        <v>45434</v>
      </c>
      <c r="E6">
        <f>COUNTIF(Visits!$E$2:$E$993,'User Engagement'!$A6)</f>
        <v>0</v>
      </c>
      <c r="F6">
        <f>COUNTIFS(Visits!$E$2:$E$993,'User Engagement'!$A7,Visits!$AF$2:$AF$993,"&gt;"&amp;($B$1-7))</f>
        <v>1</v>
      </c>
      <c r="G6">
        <f>COUNTIFS(Visits!$E$2:$E$993,'User Engagement'!$A6,Visits!$AF$2:$AF$993,"&gt;"&amp;($B$1-30))</f>
        <v>0</v>
      </c>
      <c r="H6">
        <f>COUNTIFS(Visits!$E$2:$E$993,$A6,Visits!$AF$2:$AF$993,"&gt;"&amp;($B$1-60))-G6</f>
        <v>0</v>
      </c>
      <c r="I6">
        <f>COUNTIFS(Visits!$AG:$AG,'New Dashboard'!$A$22,Visits!$E:$E,'User Engagement'!$A6)</f>
        <v>0</v>
      </c>
      <c r="J6">
        <f>COUNTIFS(Visits!$AG:$AG,'New Dashboard'!$A$23,Visits!$E:$E,'User Engagement'!$A6)</f>
        <v>0</v>
      </c>
      <c r="K6">
        <f>COUNTIFS(Visits!$AG:$AG,'New Dashboard'!$A$24,Visits!$E:$E,'User Engagement'!$A6)</f>
        <v>0</v>
      </c>
      <c r="L6">
        <f>COUNTIFS(Visits!$AG:$AG,'New Dashboard'!$A$25,Visits!$E:$E,'User Engagement'!$A6)</f>
        <v>0</v>
      </c>
      <c r="M6">
        <f t="shared" si="0"/>
        <v>0</v>
      </c>
      <c r="N6">
        <f t="shared" ref="N6:N35" si="4">IF(G6&gt;0,1,0)</f>
        <v>0</v>
      </c>
      <c r="O6">
        <f t="shared" ref="O6:O69" si="5">IF(H6&gt;0,1,0)</f>
        <v>0</v>
      </c>
      <c r="P6">
        <f t="shared" si="1"/>
        <v>0</v>
      </c>
      <c r="Q6" s="4">
        <f>SUMIF(Visits!$E$2:$E$90,'User Engagement'!$A6,Visits!$T$2:$T$90)</f>
        <v>0</v>
      </c>
      <c r="R6" s="4">
        <f>SUMIFS(Visits!$T$2:$T$90,Visits!$E$2:$E$90,'User Engagement'!$A6,Visits!$AF$2:$AF$90,"&gt;3/28/24")</f>
        <v>0</v>
      </c>
      <c r="S6" s="13" t="e">
        <f t="shared" si="2"/>
        <v>#DIV/0!</v>
      </c>
      <c r="T6" s="13" t="str">
        <f t="shared" si="3"/>
        <v>n/a</v>
      </c>
    </row>
    <row r="7" spans="1:20" ht="15.95">
      <c r="A7" t="str">
        <f>Users!A5</f>
        <v>galimova.al.al@gmail.com</v>
      </c>
      <c r="B7" s="23"/>
      <c r="C7" s="23"/>
      <c r="D7" s="1" cm="1">
        <f t="array" ref="D7">MAX(_xlfn._xlws.FILTER(Visits!AF:AF,Visits!E:E='User Engagement'!A7))</f>
        <v>45393</v>
      </c>
      <c r="E7">
        <f>COUNTIF(Visits!$E$2:$E$993,'User Engagement'!$A7)</f>
        <v>1</v>
      </c>
      <c r="F7">
        <f>COUNTIFS(Visits!$E$2:$E$993,'User Engagement'!$A8,Visits!$AF$2:$AF$993,"&gt;"&amp;($B$1-7))</f>
        <v>1</v>
      </c>
      <c r="G7">
        <f>COUNTIFS(Visits!$E$2:$E$993,'User Engagement'!$A7,Visits!$AF$2:$AF$993,"&gt;"&amp;($B$1-30))</f>
        <v>1</v>
      </c>
      <c r="H7">
        <f>COUNTIFS(Visits!$E$2:$E$993,$A7,Visits!$AF$2:$AF$993,"&gt;"&amp;($B$1-60))-G7</f>
        <v>0</v>
      </c>
      <c r="I7">
        <f>COUNTIFS(Visits!$AG:$AG,'New Dashboard'!$A$22,Visits!$E:$E,'User Engagement'!$A7)</f>
        <v>0</v>
      </c>
      <c r="J7">
        <f>COUNTIFS(Visits!$AG:$AG,'New Dashboard'!$A$23,Visits!$E:$E,'User Engagement'!$A7)</f>
        <v>0</v>
      </c>
      <c r="K7">
        <f>COUNTIFS(Visits!$AG:$AG,'New Dashboard'!$A$24,Visits!$E:$E,'User Engagement'!$A7)</f>
        <v>0</v>
      </c>
      <c r="L7">
        <f>COUNTIFS(Visits!$AG:$AG,'New Dashboard'!$A$25,Visits!$E:$E,'User Engagement'!$A7)</f>
        <v>1</v>
      </c>
      <c r="M7">
        <f t="shared" si="0"/>
        <v>1</v>
      </c>
      <c r="N7">
        <f t="shared" si="4"/>
        <v>1</v>
      </c>
      <c r="O7">
        <f t="shared" si="5"/>
        <v>0</v>
      </c>
      <c r="P7">
        <f t="shared" si="1"/>
        <v>0</v>
      </c>
      <c r="Q7" s="4">
        <f>SUMIF(Visits!$E$2:$E$90,'User Engagement'!$A7,Visits!$T$2:$T$90)</f>
        <v>10</v>
      </c>
      <c r="R7" s="4">
        <f>SUMIFS(Visits!$T$2:$T$90,Visits!$E$2:$E$90,'User Engagement'!$A7,Visits!$AF$2:$AF$90,"&gt;3/28/24")</f>
        <v>10</v>
      </c>
      <c r="S7" s="13">
        <f t="shared" si="2"/>
        <v>10</v>
      </c>
      <c r="T7" s="13">
        <f t="shared" si="3"/>
        <v>10</v>
      </c>
    </row>
    <row r="8" spans="1:20" ht="15.95">
      <c r="A8" t="str">
        <f>Users!A6</f>
        <v>alina.flatscher@gmail.com</v>
      </c>
      <c r="B8" s="23"/>
      <c r="C8" s="23"/>
      <c r="D8" s="1" cm="1">
        <f t="array" ref="D8">MAX(_xlfn._xlws.FILTER(Visits!AF:AF,Visits!E:E='User Engagement'!A8))</f>
        <v>45442.770833333336</v>
      </c>
      <c r="E8">
        <f>COUNTIF(Visits!$E$2:$E$993,'User Engagement'!$A8)</f>
        <v>1</v>
      </c>
      <c r="F8">
        <f>COUNTIFS(Visits!$E$2:$E$993,'User Engagement'!$A9,Visits!$AF$2:$AF$993,"&gt;"&amp;($B$1-7))</f>
        <v>2</v>
      </c>
      <c r="G8">
        <f>COUNTIFS(Visits!$E$2:$E$993,'User Engagement'!$A8,Visits!$AF$2:$AF$993,"&gt;"&amp;($B$1-30))</f>
        <v>1</v>
      </c>
      <c r="H8">
        <f>COUNTIFS(Visits!$E$2:$E$993,$A8,Visits!$AF$2:$AF$993,"&gt;"&amp;($B$1-60))-G8</f>
        <v>0</v>
      </c>
      <c r="I8">
        <f>COUNTIFS(Visits!$AG:$AG,'New Dashboard'!$A$22,Visits!$E:$E,'User Engagement'!$A8)</f>
        <v>0</v>
      </c>
      <c r="J8">
        <f>COUNTIFS(Visits!$AG:$AG,'New Dashboard'!$A$23,Visits!$E:$E,'User Engagement'!$A8)</f>
        <v>0</v>
      </c>
      <c r="K8">
        <f>COUNTIFS(Visits!$AG:$AG,'New Dashboard'!$A$24,Visits!$E:$E,'User Engagement'!$A8)</f>
        <v>1</v>
      </c>
      <c r="L8">
        <f>COUNTIFS(Visits!$AG:$AG,'New Dashboard'!$A$25,Visits!$E:$E,'User Engagement'!$A8)</f>
        <v>0</v>
      </c>
      <c r="M8">
        <f t="shared" si="0"/>
        <v>0</v>
      </c>
      <c r="N8">
        <f t="shared" si="4"/>
        <v>1</v>
      </c>
      <c r="O8">
        <f t="shared" si="5"/>
        <v>0</v>
      </c>
      <c r="P8">
        <f t="shared" si="1"/>
        <v>0</v>
      </c>
      <c r="Q8" s="4">
        <f>SUMIF(Visits!$E$2:$E$90,'User Engagement'!$A8,Visits!$T$2:$T$90)</f>
        <v>0</v>
      </c>
      <c r="R8" s="4">
        <f>SUMIFS(Visits!$T$2:$T$90,Visits!$E$2:$E$90,'User Engagement'!$A8,Visits!$AF$2:$AF$90,"&gt;3/28/24")</f>
        <v>0</v>
      </c>
      <c r="S8" s="13">
        <f t="shared" si="2"/>
        <v>0</v>
      </c>
      <c r="T8" s="13">
        <f t="shared" si="3"/>
        <v>0</v>
      </c>
    </row>
    <row r="9" spans="1:20" ht="15.95">
      <c r="A9" t="str">
        <f>Users!A7</f>
        <v>vasques.anacarolina@gmail.com</v>
      </c>
      <c r="B9" s="23"/>
      <c r="C9" s="23"/>
      <c r="D9" s="1" cm="1">
        <f t="array" ref="D9">MAX(_xlfn._xlws.FILTER(Visits!AF:AF,Visits!E:E='User Engagement'!A9))</f>
        <v>45457.791666666664</v>
      </c>
      <c r="E9">
        <f>COUNTIF(Visits!$E$2:$E$993,'User Engagement'!$A9)</f>
        <v>2</v>
      </c>
      <c r="F9">
        <f>COUNTIFS(Visits!$E$2:$E$993,'User Engagement'!$A10,Visits!$AF$2:$AF$993,"&gt;"&amp;($B$1-7))</f>
        <v>1</v>
      </c>
      <c r="G9">
        <f>COUNTIFS(Visits!$E$2:$E$993,'User Engagement'!$A9,Visits!$AF$2:$AF$993,"&gt;"&amp;($B$1-30))</f>
        <v>2</v>
      </c>
      <c r="H9">
        <f>COUNTIFS(Visits!$E$2:$E$993,$A9,Visits!$AF$2:$AF$993,"&gt;"&amp;($B$1-60))-G9</f>
        <v>0</v>
      </c>
      <c r="I9">
        <f>COUNTIFS(Visits!$AG:$AG,'New Dashboard'!$A$22,Visits!$E:$E,'User Engagement'!$A9)</f>
        <v>0</v>
      </c>
      <c r="J9">
        <f>COUNTIFS(Visits!$AG:$AG,'New Dashboard'!$A$23,Visits!$E:$E,'User Engagement'!$A9)</f>
        <v>2</v>
      </c>
      <c r="K9">
        <f>COUNTIFS(Visits!$AG:$AG,'New Dashboard'!$A$24,Visits!$E:$E,'User Engagement'!$A9)</f>
        <v>0</v>
      </c>
      <c r="L9">
        <f>COUNTIFS(Visits!$AG:$AG,'New Dashboard'!$A$25,Visits!$E:$E,'User Engagement'!$A9)</f>
        <v>0</v>
      </c>
      <c r="M9">
        <f t="shared" si="0"/>
        <v>0</v>
      </c>
      <c r="N9">
        <f t="shared" si="4"/>
        <v>1</v>
      </c>
      <c r="O9">
        <f t="shared" si="5"/>
        <v>0</v>
      </c>
      <c r="P9">
        <f t="shared" si="1"/>
        <v>0</v>
      </c>
      <c r="Q9" s="4">
        <f>SUMIF(Visits!$E$2:$E$90,'User Engagement'!$A9,Visits!$T$2:$T$90)</f>
        <v>0</v>
      </c>
      <c r="R9" s="4">
        <f>SUMIFS(Visits!$T$2:$T$90,Visits!$E$2:$E$90,'User Engagement'!$A9,Visits!$AF$2:$AF$90,"&gt;3/28/24")</f>
        <v>0</v>
      </c>
      <c r="S9" s="13">
        <f t="shared" si="2"/>
        <v>0</v>
      </c>
      <c r="T9" s="13">
        <f t="shared" si="3"/>
        <v>0</v>
      </c>
    </row>
    <row r="10" spans="1:20" ht="15.95">
      <c r="A10" t="str">
        <f>Users!A8</f>
        <v>anayosefi@gmail.com</v>
      </c>
      <c r="B10" s="23"/>
      <c r="C10" s="23"/>
      <c r="D10" s="1" cm="1">
        <f t="array" ref="D10">MAX(_xlfn._xlws.FILTER(Visits!AF:AF,Visits!E:E='User Engagement'!A10))</f>
        <v>45388</v>
      </c>
      <c r="E10">
        <f>COUNTIF(Visits!$E$2:$E$993,'User Engagement'!$A10)</f>
        <v>1</v>
      </c>
      <c r="F10">
        <f>COUNTIFS(Visits!$E$2:$E$993,'User Engagement'!$A11,Visits!$AF$2:$AF$993,"&gt;"&amp;($B$1-7))</f>
        <v>1</v>
      </c>
      <c r="G10">
        <f>COUNTIFS(Visits!$E$2:$E$993,'User Engagement'!$A10,Visits!$AF$2:$AF$993,"&gt;"&amp;($B$1-30))</f>
        <v>1</v>
      </c>
      <c r="H10">
        <f>COUNTIFS(Visits!$E$2:$E$993,$A10,Visits!$AF$2:$AF$993,"&gt;"&amp;($B$1-60))-G10</f>
        <v>0</v>
      </c>
      <c r="I10">
        <f>COUNTIFS(Visits!$AG:$AG,'New Dashboard'!$A$22,Visits!$E:$E,'User Engagement'!$A10)</f>
        <v>0</v>
      </c>
      <c r="J10">
        <f>COUNTIFS(Visits!$AG:$AG,'New Dashboard'!$A$23,Visits!$E:$E,'User Engagement'!$A10)</f>
        <v>0</v>
      </c>
      <c r="K10">
        <f>COUNTIFS(Visits!$AG:$AG,'New Dashboard'!$A$24,Visits!$E:$E,'User Engagement'!$A10)</f>
        <v>0</v>
      </c>
      <c r="L10">
        <f>COUNTIFS(Visits!$AG:$AG,'New Dashboard'!$A$25,Visits!$E:$E,'User Engagement'!$A10)</f>
        <v>1</v>
      </c>
      <c r="M10">
        <f t="shared" si="0"/>
        <v>1</v>
      </c>
      <c r="N10">
        <f t="shared" si="4"/>
        <v>1</v>
      </c>
      <c r="O10">
        <f t="shared" si="5"/>
        <v>0</v>
      </c>
      <c r="P10">
        <f t="shared" si="1"/>
        <v>0</v>
      </c>
      <c r="Q10" s="4">
        <f>SUMIF(Visits!$E$2:$E$90,'User Engagement'!$A10,Visits!$T$2:$T$90)</f>
        <v>15</v>
      </c>
      <c r="R10" s="4">
        <f>SUMIFS(Visits!$T$2:$T$90,Visits!$E$2:$E$90,'User Engagement'!$A10,Visits!$AF$2:$AF$90,"&gt;3/28/24")</f>
        <v>15</v>
      </c>
      <c r="S10" s="13">
        <f t="shared" si="2"/>
        <v>15</v>
      </c>
      <c r="T10" s="13">
        <f t="shared" si="3"/>
        <v>15</v>
      </c>
    </row>
    <row r="11" spans="1:20" ht="15.95">
      <c r="A11" t="str">
        <f>Users!A9</f>
        <v>rtranaita@gmail.com</v>
      </c>
      <c r="B11" s="23"/>
      <c r="C11" s="23"/>
      <c r="D11" s="1" cm="1">
        <f t="array" ref="D11">MAX(_xlfn._xlws.FILTER(Visits!AF:AF,Visits!E:E='User Engagement'!A11))</f>
        <v>45376</v>
      </c>
      <c r="E11">
        <f>COUNTIF(Visits!$E$2:$E$993,'User Engagement'!$A11)</f>
        <v>1</v>
      </c>
      <c r="F11">
        <f>COUNTIFS(Visits!$E$2:$E$993,'User Engagement'!$A12,Visits!$AF$2:$AF$993,"&gt;"&amp;($B$1-7))</f>
        <v>1</v>
      </c>
      <c r="G11">
        <f>COUNTIFS(Visits!$E$2:$E$993,'User Engagement'!$A11,Visits!$AF$2:$AF$993,"&gt;"&amp;($B$1-30))</f>
        <v>1</v>
      </c>
      <c r="H11">
        <f>COUNTIFS(Visits!$E$2:$E$993,$A11,Visits!$AF$2:$AF$993,"&gt;"&amp;($B$1-60))-G11</f>
        <v>0</v>
      </c>
      <c r="I11">
        <f>COUNTIFS(Visits!$AG:$AG,'New Dashboard'!$A$22,Visits!$E:$E,'User Engagement'!$A11)</f>
        <v>0</v>
      </c>
      <c r="J11">
        <f>COUNTIFS(Visits!$AG:$AG,'New Dashboard'!$A$23,Visits!$E:$E,'User Engagement'!$A11)</f>
        <v>0</v>
      </c>
      <c r="K11">
        <f>COUNTIFS(Visits!$AG:$AG,'New Dashboard'!$A$24,Visits!$E:$E,'User Engagement'!$A11)</f>
        <v>0</v>
      </c>
      <c r="L11">
        <f>COUNTIFS(Visits!$AG:$AG,'New Dashboard'!$A$25,Visits!$E:$E,'User Engagement'!$A11)</f>
        <v>0</v>
      </c>
      <c r="M11">
        <f t="shared" si="0"/>
        <v>1</v>
      </c>
      <c r="N11">
        <f t="shared" si="4"/>
        <v>1</v>
      </c>
      <c r="O11">
        <f t="shared" si="5"/>
        <v>0</v>
      </c>
      <c r="P11">
        <f t="shared" si="1"/>
        <v>0</v>
      </c>
      <c r="Q11" s="4">
        <f>SUMIF(Visits!$E$2:$E$90,'User Engagement'!$A11,Visits!$T$2:$T$90)</f>
        <v>14</v>
      </c>
      <c r="R11" s="4">
        <f>SUMIFS(Visits!$T$2:$T$90,Visits!$E$2:$E$90,'User Engagement'!$A11,Visits!$AF$2:$AF$90,"&gt;3/28/24")</f>
        <v>0</v>
      </c>
      <c r="S11" s="13">
        <f t="shared" si="2"/>
        <v>14</v>
      </c>
      <c r="T11" s="13">
        <f t="shared" si="3"/>
        <v>0</v>
      </c>
    </row>
    <row r="12" spans="1:20" ht="15.95">
      <c r="A12" t="str">
        <f>Users!A10</f>
        <v>anamariaperu@hotmail.co.uk</v>
      </c>
      <c r="B12" s="23"/>
      <c r="C12" s="23"/>
      <c r="D12" s="1" cm="1">
        <f t="array" ref="D12">MAX(_xlfn._xlws.FILTER(Visits!AF:AF,Visits!E:E='User Engagement'!A12))</f>
        <v>45388</v>
      </c>
      <c r="E12">
        <f>COUNTIF(Visits!$E$2:$E$993,'User Engagement'!$A12)</f>
        <v>1</v>
      </c>
      <c r="F12">
        <f>COUNTIFS(Visits!$E$2:$E$993,'User Engagement'!$A13,Visits!$AF$2:$AF$993,"&gt;"&amp;($B$1-7))</f>
        <v>1</v>
      </c>
      <c r="G12">
        <f>COUNTIFS(Visits!$E$2:$E$993,'User Engagement'!$A12,Visits!$AF$2:$AF$993,"&gt;"&amp;($B$1-30))</f>
        <v>1</v>
      </c>
      <c r="H12">
        <f>COUNTIFS(Visits!$E$2:$E$993,$A12,Visits!$AF$2:$AF$993,"&gt;"&amp;($B$1-60))-G12</f>
        <v>0</v>
      </c>
      <c r="I12">
        <f>COUNTIFS(Visits!$AG:$AG,'New Dashboard'!$A$22,Visits!$E:$E,'User Engagement'!$A12)</f>
        <v>0</v>
      </c>
      <c r="J12">
        <f>COUNTIFS(Visits!$AG:$AG,'New Dashboard'!$A$23,Visits!$E:$E,'User Engagement'!$A12)</f>
        <v>0</v>
      </c>
      <c r="K12">
        <f>COUNTIFS(Visits!$AG:$AG,'New Dashboard'!$A$24,Visits!$E:$E,'User Engagement'!$A12)</f>
        <v>0</v>
      </c>
      <c r="L12">
        <f>COUNTIFS(Visits!$AG:$AG,'New Dashboard'!$A$25,Visits!$E:$E,'User Engagement'!$A12)</f>
        <v>1</v>
      </c>
      <c r="M12">
        <f t="shared" si="0"/>
        <v>1</v>
      </c>
      <c r="N12">
        <f t="shared" si="4"/>
        <v>1</v>
      </c>
      <c r="O12">
        <f t="shared" si="5"/>
        <v>0</v>
      </c>
      <c r="P12">
        <f t="shared" si="1"/>
        <v>0</v>
      </c>
      <c r="Q12" s="4">
        <f>SUMIF(Visits!$E$2:$E$90,'User Engagement'!$A12,Visits!$T$2:$T$90)</f>
        <v>15</v>
      </c>
      <c r="R12" s="4">
        <f>SUMIFS(Visits!$T$2:$T$90,Visits!$E$2:$E$90,'User Engagement'!$A12,Visits!$AF$2:$AF$90,"&gt;3/28/24")</f>
        <v>15</v>
      </c>
      <c r="S12" s="13">
        <f t="shared" si="2"/>
        <v>15</v>
      </c>
      <c r="T12" s="13">
        <f t="shared" si="3"/>
        <v>15</v>
      </c>
    </row>
    <row r="13" spans="1:20" ht="15.95">
      <c r="A13" t="str">
        <f>Users!A11</f>
        <v>apbhetherington@gmail.com</v>
      </c>
      <c r="B13" s="23"/>
      <c r="C13" s="23"/>
      <c r="D13" s="1" cm="1">
        <f t="array" ref="D13">MAX(_xlfn._xlws.FILTER(Visits!AF:AF,Visits!E:E='User Engagement'!A13))</f>
        <v>45403</v>
      </c>
      <c r="E13">
        <f>COUNTIF(Visits!$E$2:$E$993,'User Engagement'!$A13)</f>
        <v>1</v>
      </c>
      <c r="F13">
        <f>COUNTIFS(Visits!$E$2:$E$993,'User Engagement'!$A14,Visits!$AF$2:$AF$993,"&gt;"&amp;($B$1-7))</f>
        <v>1</v>
      </c>
      <c r="G13">
        <f>COUNTIFS(Visits!$E$2:$E$993,'User Engagement'!$A13,Visits!$AF$2:$AF$993,"&gt;"&amp;($B$1-30))</f>
        <v>1</v>
      </c>
      <c r="H13">
        <f>COUNTIFS(Visits!$E$2:$E$993,$A13,Visits!$AF$2:$AF$993,"&gt;"&amp;($B$1-60))-G13</f>
        <v>0</v>
      </c>
      <c r="I13">
        <f>COUNTIFS(Visits!$AG:$AG,'New Dashboard'!$A$22,Visits!$E:$E,'User Engagement'!$A13)</f>
        <v>0</v>
      </c>
      <c r="J13">
        <f>COUNTIFS(Visits!$AG:$AG,'New Dashboard'!$A$23,Visits!$E:$E,'User Engagement'!$A13)</f>
        <v>0</v>
      </c>
      <c r="K13">
        <f>COUNTIFS(Visits!$AG:$AG,'New Dashboard'!$A$24,Visits!$E:$E,'User Engagement'!$A13)</f>
        <v>0</v>
      </c>
      <c r="L13">
        <f>COUNTIFS(Visits!$AG:$AG,'New Dashboard'!$A$25,Visits!$E:$E,'User Engagement'!$A13)</f>
        <v>1</v>
      </c>
      <c r="M13">
        <f t="shared" si="0"/>
        <v>1</v>
      </c>
      <c r="N13">
        <f t="shared" si="4"/>
        <v>1</v>
      </c>
      <c r="O13">
        <f t="shared" si="5"/>
        <v>0</v>
      </c>
      <c r="P13">
        <f t="shared" si="1"/>
        <v>0</v>
      </c>
      <c r="Q13" s="4">
        <f>SUMIF(Visits!$E$2:$E$90,'User Engagement'!$A13,Visits!$T$2:$T$90)</f>
        <v>0</v>
      </c>
      <c r="R13" s="4">
        <f>SUMIFS(Visits!$T$2:$T$90,Visits!$E$2:$E$90,'User Engagement'!$A13,Visits!$AF$2:$AF$90,"&gt;3/28/24")</f>
        <v>0</v>
      </c>
      <c r="S13" s="13">
        <f t="shared" si="2"/>
        <v>0</v>
      </c>
      <c r="T13" s="13">
        <f t="shared" si="3"/>
        <v>0</v>
      </c>
    </row>
    <row r="14" spans="1:20" ht="15.95">
      <c r="A14" t="str">
        <f>Users!A12</f>
        <v>andrew.restlesspanda@gmail.com</v>
      </c>
      <c r="B14" s="23"/>
      <c r="C14" s="23"/>
      <c r="D14" s="1" cm="1">
        <f t="array" ref="D14">MAX(_xlfn._xlws.FILTER(Visits!AF:AF,Visits!E:E='User Engagement'!A14))</f>
        <v>45445.5</v>
      </c>
      <c r="E14">
        <f>COUNTIF(Visits!$E$2:$E$993,'User Engagement'!$A14)</f>
        <v>1</v>
      </c>
      <c r="F14">
        <f>COUNTIFS(Visits!$E$2:$E$993,'User Engagement'!$A15,Visits!$AF$2:$AF$993,"&gt;"&amp;($B$1-7))</f>
        <v>1</v>
      </c>
      <c r="G14">
        <f>COUNTIFS(Visits!$E$2:$E$993,'User Engagement'!$A14,Visits!$AF$2:$AF$993,"&gt;"&amp;($B$1-30))</f>
        <v>1</v>
      </c>
      <c r="H14">
        <f>COUNTIFS(Visits!$E$2:$E$993,$A14,Visits!$AF$2:$AF$993,"&gt;"&amp;($B$1-60))-G14</f>
        <v>0</v>
      </c>
      <c r="I14">
        <f>COUNTIFS(Visits!$AG:$AG,'New Dashboard'!$A$22,Visits!$E:$E,'User Engagement'!$A14)</f>
        <v>0</v>
      </c>
      <c r="J14">
        <f>COUNTIFS(Visits!$AG:$AG,'New Dashboard'!$A$23,Visits!$E:$E,'User Engagement'!$A14)</f>
        <v>1</v>
      </c>
      <c r="K14">
        <f>COUNTIFS(Visits!$AG:$AG,'New Dashboard'!$A$24,Visits!$E:$E,'User Engagement'!$A14)</f>
        <v>0</v>
      </c>
      <c r="L14">
        <f>COUNTIFS(Visits!$AG:$AG,'New Dashboard'!$A$25,Visits!$E:$E,'User Engagement'!$A14)</f>
        <v>0</v>
      </c>
      <c r="M14">
        <f t="shared" si="0"/>
        <v>1</v>
      </c>
      <c r="N14">
        <f t="shared" si="4"/>
        <v>1</v>
      </c>
      <c r="O14">
        <f t="shared" si="5"/>
        <v>0</v>
      </c>
      <c r="P14">
        <f t="shared" si="1"/>
        <v>0</v>
      </c>
      <c r="Q14" s="4">
        <f>SUMIF(Visits!$E$2:$E$90,'User Engagement'!$A14,Visits!$T$2:$T$90)</f>
        <v>0</v>
      </c>
      <c r="R14" s="4">
        <f>SUMIFS(Visits!$T$2:$T$90,Visits!$E$2:$E$90,'User Engagement'!$A14,Visits!$AF$2:$AF$90,"&gt;3/28/24")</f>
        <v>0</v>
      </c>
      <c r="S14" s="13">
        <f t="shared" si="2"/>
        <v>0</v>
      </c>
      <c r="T14" s="13">
        <f t="shared" si="3"/>
        <v>0</v>
      </c>
    </row>
    <row r="15" spans="1:20" ht="15.95">
      <c r="A15" t="str">
        <f>Users!A13</f>
        <v>angelakiva10@gmail.com</v>
      </c>
      <c r="B15" s="23"/>
      <c r="C15" s="23"/>
      <c r="D15" s="1" cm="1">
        <f t="array" ref="D15">MAX(_xlfn._xlws.FILTER(Visits!AF:AF,Visits!E:E='User Engagement'!A15))</f>
        <v>45437</v>
      </c>
      <c r="E15">
        <f>COUNTIF(Visits!$E$2:$E$993,'User Engagement'!$A15)</f>
        <v>1</v>
      </c>
      <c r="F15">
        <f>COUNTIFS(Visits!$E$2:$E$993,'User Engagement'!$A16,Visits!$AF$2:$AF$993,"&gt;"&amp;($B$1-7))</f>
        <v>3</v>
      </c>
      <c r="G15">
        <f>COUNTIFS(Visits!$E$2:$E$993,'User Engagement'!$A15,Visits!$AF$2:$AF$993,"&gt;"&amp;($B$1-30))</f>
        <v>1</v>
      </c>
      <c r="H15">
        <f>COUNTIFS(Visits!$E$2:$E$993,$A15,Visits!$AF$2:$AF$993,"&gt;"&amp;($B$1-60))-G15</f>
        <v>0</v>
      </c>
      <c r="I15">
        <f>COUNTIFS(Visits!$AG:$AG,'New Dashboard'!$A$22,Visits!$E:$E,'User Engagement'!$A15)</f>
        <v>0</v>
      </c>
      <c r="J15">
        <f>COUNTIFS(Visits!$AG:$AG,'New Dashboard'!$A$23,Visits!$E:$E,'User Engagement'!$A15)</f>
        <v>0</v>
      </c>
      <c r="K15">
        <f>COUNTIFS(Visits!$AG:$AG,'New Dashboard'!$A$24,Visits!$E:$E,'User Engagement'!$A15)</f>
        <v>1</v>
      </c>
      <c r="L15">
        <f>COUNTIFS(Visits!$AG:$AG,'New Dashboard'!$A$25,Visits!$E:$E,'User Engagement'!$A15)</f>
        <v>0</v>
      </c>
      <c r="M15">
        <f t="shared" si="0"/>
        <v>0</v>
      </c>
      <c r="N15">
        <f t="shared" si="4"/>
        <v>1</v>
      </c>
      <c r="O15">
        <f t="shared" si="5"/>
        <v>0</v>
      </c>
      <c r="P15">
        <f t="shared" si="1"/>
        <v>0</v>
      </c>
      <c r="Q15" s="4">
        <f>SUMIF(Visits!$E$2:$E$90,'User Engagement'!$A15,Visits!$T$2:$T$90)</f>
        <v>0</v>
      </c>
      <c r="R15" s="4">
        <f>SUMIFS(Visits!$T$2:$T$90,Visits!$E$2:$E$90,'User Engagement'!$A15,Visits!$AF$2:$AF$90,"&gt;3/28/24")</f>
        <v>0</v>
      </c>
      <c r="S15" s="13">
        <f t="shared" si="2"/>
        <v>0</v>
      </c>
      <c r="T15" s="13">
        <f t="shared" si="3"/>
        <v>0</v>
      </c>
    </row>
    <row r="16" spans="1:20" ht="15.95">
      <c r="A16" t="str">
        <f>Users!A14</f>
        <v>Anishasood26@gmail.com</v>
      </c>
      <c r="B16" s="23"/>
      <c r="C16" s="23"/>
      <c r="D16" s="1" cm="1">
        <f t="array" ref="D16">MAX(_xlfn._xlws.FILTER(Visits!AF:AF,Visits!E:E='User Engagement'!A16))</f>
        <v>45492</v>
      </c>
      <c r="E16">
        <f>COUNTIF(Visits!$E$2:$E$993,'User Engagement'!$A16)</f>
        <v>3</v>
      </c>
      <c r="F16">
        <f>COUNTIFS(Visits!$E$2:$E$993,'User Engagement'!$A17,Visits!$AF$2:$AF$993,"&gt;"&amp;($B$1-7))</f>
        <v>2</v>
      </c>
      <c r="G16">
        <f>COUNTIFS(Visits!$E$2:$E$993,'User Engagement'!$A16,Visits!$AF$2:$AF$993,"&gt;"&amp;($B$1-30))</f>
        <v>3</v>
      </c>
      <c r="H16">
        <f>COUNTIFS(Visits!$E$2:$E$993,$A16,Visits!$AF$2:$AF$993,"&gt;"&amp;($B$1-60))-G16</f>
        <v>0</v>
      </c>
      <c r="I16">
        <f>COUNTIFS(Visits!$AG:$AG,'New Dashboard'!$A$22,Visits!$E:$E,'User Engagement'!$A16)</f>
        <v>2</v>
      </c>
      <c r="J16">
        <f>COUNTIFS(Visits!$AG:$AG,'New Dashboard'!$A$23,Visits!$E:$E,'User Engagement'!$A16)</f>
        <v>1</v>
      </c>
      <c r="K16">
        <f>COUNTIFS(Visits!$AG:$AG,'New Dashboard'!$A$24,Visits!$E:$E,'User Engagement'!$A16)</f>
        <v>0</v>
      </c>
      <c r="L16">
        <f>COUNTIFS(Visits!$AG:$AG,'New Dashboard'!$A$25,Visits!$E:$E,'User Engagement'!$A16)</f>
        <v>0</v>
      </c>
      <c r="M16">
        <f t="shared" si="0"/>
        <v>0</v>
      </c>
      <c r="N16">
        <f t="shared" si="4"/>
        <v>1</v>
      </c>
      <c r="O16">
        <f t="shared" si="5"/>
        <v>0</v>
      </c>
      <c r="P16">
        <f t="shared" si="1"/>
        <v>1</v>
      </c>
      <c r="Q16" s="4">
        <f>SUMIF(Visits!$E$2:$E$90,'User Engagement'!$A16,Visits!$T$2:$T$90)</f>
        <v>0</v>
      </c>
      <c r="R16" s="4">
        <f>SUMIFS(Visits!$T$2:$T$90,Visits!$E$2:$E$90,'User Engagement'!$A16,Visits!$AF$2:$AF$90,"&gt;3/28/24")</f>
        <v>0</v>
      </c>
      <c r="S16" s="13">
        <f t="shared" si="2"/>
        <v>0</v>
      </c>
      <c r="T16" s="13">
        <f t="shared" si="3"/>
        <v>0</v>
      </c>
    </row>
    <row r="17" spans="1:20" ht="15.95">
      <c r="A17" t="str">
        <f>Users!A15</f>
        <v>audreyrebeccahutabarat@gmail.com</v>
      </c>
      <c r="B17" s="23"/>
      <c r="C17" s="23"/>
      <c r="D17" s="1" cm="1">
        <f t="array" ref="D17">MAX(_xlfn._xlws.FILTER(Visits!AF:AF,Visits!E:E='User Engagement'!A17))</f>
        <v>45388</v>
      </c>
      <c r="E17">
        <f>COUNTIF(Visits!$E$2:$E$993,'User Engagement'!$A17)</f>
        <v>2</v>
      </c>
      <c r="F17">
        <f>COUNTIFS(Visits!$E$2:$E$993,'User Engagement'!$A18,Visits!$AF$2:$AF$993,"&gt;"&amp;($B$1-7))</f>
        <v>4</v>
      </c>
      <c r="G17">
        <f>COUNTIFS(Visits!$E$2:$E$993,'User Engagement'!$A17,Visits!$AF$2:$AF$993,"&gt;"&amp;($B$1-30))</f>
        <v>2</v>
      </c>
      <c r="H17">
        <f>COUNTIFS(Visits!$E$2:$E$993,$A17,Visits!$AF$2:$AF$993,"&gt;"&amp;($B$1-60))-G17</f>
        <v>0</v>
      </c>
      <c r="I17">
        <f>COUNTIFS(Visits!$AG:$AG,'New Dashboard'!$A$22,Visits!$E:$E,'User Engagement'!$A17)</f>
        <v>0</v>
      </c>
      <c r="J17">
        <f>COUNTIFS(Visits!$AG:$AG,'New Dashboard'!$A$23,Visits!$E:$E,'User Engagement'!$A17)</f>
        <v>0</v>
      </c>
      <c r="K17">
        <f>COUNTIFS(Visits!$AG:$AG,'New Dashboard'!$A$24,Visits!$E:$E,'User Engagement'!$A17)</f>
        <v>0</v>
      </c>
      <c r="L17">
        <f>COUNTIFS(Visits!$AG:$AG,'New Dashboard'!$A$25,Visits!$E:$E,'User Engagement'!$A17)</f>
        <v>1</v>
      </c>
      <c r="M17">
        <f t="shared" si="0"/>
        <v>0</v>
      </c>
      <c r="N17">
        <f t="shared" si="4"/>
        <v>1</v>
      </c>
      <c r="O17">
        <f t="shared" si="5"/>
        <v>0</v>
      </c>
      <c r="P17">
        <f t="shared" si="1"/>
        <v>0</v>
      </c>
      <c r="Q17" s="4">
        <f>SUMIF(Visits!$E$2:$E$90,'User Engagement'!$A17,Visits!$T$2:$T$90)</f>
        <v>15</v>
      </c>
      <c r="R17" s="4">
        <f>SUMIFS(Visits!$T$2:$T$90,Visits!$E$2:$E$90,'User Engagement'!$A17,Visits!$AF$2:$AF$90,"&gt;3/28/24")</f>
        <v>15</v>
      </c>
      <c r="S17" s="13">
        <f t="shared" si="2"/>
        <v>7.5</v>
      </c>
      <c r="T17" s="13">
        <f t="shared" si="3"/>
        <v>7.5</v>
      </c>
    </row>
    <row r="18" spans="1:20" ht="15.95">
      <c r="A18" t="str">
        <f>Users!A16</f>
        <v>beverly.mccrory@gmail.com</v>
      </c>
      <c r="B18" s="23"/>
      <c r="C18" s="23"/>
      <c r="D18" s="1" cm="1">
        <f t="array" ref="D18">MAX(_xlfn._xlws.FILTER(Visits!AF:AF,Visits!E:E='User Engagement'!A18))</f>
        <v>45499</v>
      </c>
      <c r="E18">
        <f>COUNTIF(Visits!$E$2:$E$993,'User Engagement'!$A18)</f>
        <v>4</v>
      </c>
      <c r="F18">
        <f>COUNTIFS(Visits!$E$2:$E$993,'User Engagement'!$A19,Visits!$AF$2:$AF$993,"&gt;"&amp;($B$1-7))</f>
        <v>0</v>
      </c>
      <c r="G18">
        <f>COUNTIFS(Visits!$E$2:$E$993,'User Engagement'!$A18,Visits!$AF$2:$AF$993,"&gt;"&amp;($B$1-30))</f>
        <v>4</v>
      </c>
      <c r="H18">
        <f>COUNTIFS(Visits!$E$2:$E$993,$A18,Visits!$AF$2:$AF$993,"&gt;"&amp;($B$1-60))-G18</f>
        <v>0</v>
      </c>
      <c r="I18">
        <f>COUNTIFS(Visits!$AG:$AG,'New Dashboard'!$A$22,Visits!$E:$E,'User Engagement'!$A18)</f>
        <v>1</v>
      </c>
      <c r="J18">
        <f>COUNTIFS(Visits!$AG:$AG,'New Dashboard'!$A$23,Visits!$E:$E,'User Engagement'!$A18)</f>
        <v>3</v>
      </c>
      <c r="K18">
        <f>COUNTIFS(Visits!$AG:$AG,'New Dashboard'!$A$24,Visits!$E:$E,'User Engagement'!$A18)</f>
        <v>0</v>
      </c>
      <c r="L18">
        <f>COUNTIFS(Visits!$AG:$AG,'New Dashboard'!$A$25,Visits!$E:$E,'User Engagement'!$A18)</f>
        <v>0</v>
      </c>
      <c r="M18">
        <f t="shared" si="0"/>
        <v>0</v>
      </c>
      <c r="N18">
        <f t="shared" si="4"/>
        <v>1</v>
      </c>
      <c r="O18">
        <f t="shared" si="5"/>
        <v>0</v>
      </c>
      <c r="P18">
        <f t="shared" si="1"/>
        <v>1</v>
      </c>
      <c r="Q18" s="4">
        <f>SUMIF(Visits!$E$2:$E$90,'User Engagement'!$A18,Visits!$T$2:$T$90)</f>
        <v>0</v>
      </c>
      <c r="R18" s="4">
        <f>SUMIFS(Visits!$T$2:$T$90,Visits!$E$2:$E$90,'User Engagement'!$A18,Visits!$AF$2:$AF$90,"&gt;3/28/24")</f>
        <v>0</v>
      </c>
      <c r="S18" s="13">
        <f t="shared" si="2"/>
        <v>0</v>
      </c>
      <c r="T18" s="13">
        <f t="shared" si="3"/>
        <v>0</v>
      </c>
    </row>
    <row r="19" spans="1:20" ht="15.95">
      <c r="A19" t="str">
        <f>Users!A17</f>
        <v>camilla@sphero.network</v>
      </c>
      <c r="B19" s="23"/>
      <c r="C19" s="23"/>
      <c r="D19" s="1" t="e" cm="1" vm="1">
        <f t="array" ref="D19">MAX(_xlfn._xlws.FILTER(Visits!AF:AF,Visits!E:E='User Engagement'!A19))</f>
        <v>#VALUE!</v>
      </c>
      <c r="E19">
        <f>COUNTIF(Visits!$E$2:$E$993,'User Engagement'!$A19)</f>
        <v>0</v>
      </c>
      <c r="F19">
        <f>COUNTIFS(Visits!$E$2:$E$993,'User Engagement'!$A20,Visits!$AF$2:$AF$993,"&gt;"&amp;($B$1-7))</f>
        <v>2</v>
      </c>
      <c r="G19">
        <f>COUNTIFS(Visits!$E$2:$E$993,'User Engagement'!$A19,Visits!$AF$2:$AF$993,"&gt;"&amp;($B$1-30))</f>
        <v>0</v>
      </c>
      <c r="H19">
        <f>COUNTIFS(Visits!$E$2:$E$993,$A19,Visits!$AF$2:$AF$993,"&gt;"&amp;($B$1-60))-G19</f>
        <v>0</v>
      </c>
      <c r="I19">
        <f>COUNTIFS(Visits!$AG:$AG,'New Dashboard'!$A$22,Visits!$E:$E,'User Engagement'!$A19)</f>
        <v>0</v>
      </c>
      <c r="J19">
        <f>COUNTIFS(Visits!$AG:$AG,'New Dashboard'!$A$23,Visits!$E:$E,'User Engagement'!$A19)</f>
        <v>0</v>
      </c>
      <c r="K19">
        <f>COUNTIFS(Visits!$AG:$AG,'New Dashboard'!$A$24,Visits!$E:$E,'User Engagement'!$A19)</f>
        <v>0</v>
      </c>
      <c r="L19">
        <f>COUNTIFS(Visits!$AG:$AG,'New Dashboard'!$A$25,Visits!$E:$E,'User Engagement'!$A19)</f>
        <v>0</v>
      </c>
      <c r="M19">
        <f t="shared" si="0"/>
        <v>0</v>
      </c>
      <c r="N19">
        <f t="shared" si="4"/>
        <v>0</v>
      </c>
      <c r="O19">
        <f t="shared" si="5"/>
        <v>0</v>
      </c>
      <c r="P19">
        <f t="shared" si="1"/>
        <v>0</v>
      </c>
      <c r="Q19" s="4">
        <f>SUMIF(Visits!$E$2:$E$90,'User Engagement'!$A19,Visits!$T$2:$T$90)</f>
        <v>0</v>
      </c>
      <c r="R19" s="4">
        <f>SUMIFS(Visits!$T$2:$T$90,Visits!$E$2:$E$90,'User Engagement'!$A19,Visits!$AF$2:$AF$90,"&gt;3/28/24")</f>
        <v>0</v>
      </c>
      <c r="S19" s="13" t="e">
        <f t="shared" si="2"/>
        <v>#DIV/0!</v>
      </c>
      <c r="T19" s="13" t="str">
        <f t="shared" si="3"/>
        <v>n/a</v>
      </c>
    </row>
    <row r="20" spans="1:20" ht="15.95">
      <c r="A20" t="str">
        <f>Users!A18</f>
        <v>sweetkowi@gmail.com</v>
      </c>
      <c r="B20" s="23"/>
      <c r="C20" s="23"/>
      <c r="D20" s="1" cm="1">
        <f t="array" ref="D20">MAX(_xlfn._xlws.FILTER(Visits!AF:AF,Visits!E:E='User Engagement'!A20))</f>
        <v>45471.770833333336</v>
      </c>
      <c r="E20">
        <f>COUNTIF(Visits!$E$2:$E$993,'User Engagement'!$A20)</f>
        <v>2</v>
      </c>
      <c r="F20">
        <f>COUNTIFS(Visits!$E$2:$E$993,'User Engagement'!$A21,Visits!$AF$2:$AF$993,"&gt;"&amp;($B$1-7))</f>
        <v>2</v>
      </c>
      <c r="G20">
        <f>COUNTIFS(Visits!$E$2:$E$993,'User Engagement'!$A20,Visits!$AF$2:$AF$993,"&gt;"&amp;($B$1-30))</f>
        <v>2</v>
      </c>
      <c r="H20">
        <f>COUNTIFS(Visits!$E$2:$E$993,$A20,Visits!$AF$2:$AF$993,"&gt;"&amp;($B$1-60))-G20</f>
        <v>0</v>
      </c>
      <c r="I20">
        <f>COUNTIFS(Visits!$AG:$AG,'New Dashboard'!$A$22,Visits!$E:$E,'User Engagement'!$A20)</f>
        <v>0</v>
      </c>
      <c r="J20">
        <f>COUNTIFS(Visits!$AG:$AG,'New Dashboard'!$A$23,Visits!$E:$E,'User Engagement'!$A20)</f>
        <v>1</v>
      </c>
      <c r="K20">
        <f>COUNTIFS(Visits!$AG:$AG,'New Dashboard'!$A$24,Visits!$E:$E,'User Engagement'!$A20)</f>
        <v>0</v>
      </c>
      <c r="L20">
        <f>COUNTIFS(Visits!$AG:$AG,'New Dashboard'!$A$25,Visits!$E:$E,'User Engagement'!$A20)</f>
        <v>1</v>
      </c>
      <c r="M20">
        <f t="shared" si="0"/>
        <v>1</v>
      </c>
      <c r="N20">
        <f t="shared" si="4"/>
        <v>1</v>
      </c>
      <c r="O20">
        <f t="shared" si="5"/>
        <v>0</v>
      </c>
      <c r="P20">
        <f t="shared" si="1"/>
        <v>0</v>
      </c>
      <c r="Q20" s="4">
        <f>SUMIF(Visits!$E$2:$E$90,'User Engagement'!$A20,Visits!$T$2:$T$90)</f>
        <v>10</v>
      </c>
      <c r="R20" s="4">
        <f>SUMIFS(Visits!$T$2:$T$90,Visits!$E$2:$E$90,'User Engagement'!$A20,Visits!$AF$2:$AF$90,"&gt;3/28/24")</f>
        <v>10</v>
      </c>
      <c r="S20" s="13">
        <f t="shared" si="2"/>
        <v>5</v>
      </c>
      <c r="T20" s="13">
        <f t="shared" si="3"/>
        <v>5</v>
      </c>
    </row>
    <row r="21" spans="1:20" ht="15.95">
      <c r="A21" t="str">
        <f>Users!A19</f>
        <v>celia.sattamino@gmail.com</v>
      </c>
      <c r="B21" s="23"/>
      <c r="C21" s="23"/>
      <c r="D21" s="1" cm="1">
        <f t="array" ref="D21">MAX(_xlfn._xlws.FILTER(Visits!AF:AF,Visits!E:E='User Engagement'!A21))</f>
        <v>45445.5</v>
      </c>
      <c r="E21">
        <f>COUNTIF(Visits!$E$2:$E$993,'User Engagement'!$A21)</f>
        <v>2</v>
      </c>
      <c r="F21">
        <f>COUNTIFS(Visits!$E$2:$E$993,'User Engagement'!$A22,Visits!$AF$2:$AF$993,"&gt;"&amp;($B$1-7))</f>
        <v>13</v>
      </c>
      <c r="G21">
        <f>COUNTIFS(Visits!$E$2:$E$993,'User Engagement'!$A21,Visits!$AF$2:$AF$993,"&gt;"&amp;($B$1-30))</f>
        <v>2</v>
      </c>
      <c r="H21">
        <f>COUNTIFS(Visits!$E$2:$E$993,$A21,Visits!$AF$2:$AF$993,"&gt;"&amp;($B$1-60))-G21</f>
        <v>0</v>
      </c>
      <c r="I21">
        <f>COUNTIFS(Visits!$AG:$AG,'New Dashboard'!$A$22,Visits!$E:$E,'User Engagement'!$A21)</f>
        <v>0</v>
      </c>
      <c r="J21">
        <f>COUNTIFS(Visits!$AG:$AG,'New Dashboard'!$A$23,Visits!$E:$E,'User Engagement'!$A21)</f>
        <v>1</v>
      </c>
      <c r="K21">
        <f>COUNTIFS(Visits!$AG:$AG,'New Dashboard'!$A$24,Visits!$E:$E,'User Engagement'!$A21)</f>
        <v>1</v>
      </c>
      <c r="L21">
        <f>COUNTIFS(Visits!$AG:$AG,'New Dashboard'!$A$25,Visits!$E:$E,'User Engagement'!$A21)</f>
        <v>0</v>
      </c>
      <c r="M21">
        <f t="shared" si="0"/>
        <v>0</v>
      </c>
      <c r="N21">
        <f t="shared" si="4"/>
        <v>1</v>
      </c>
      <c r="O21">
        <f t="shared" si="5"/>
        <v>0</v>
      </c>
      <c r="P21">
        <f t="shared" si="1"/>
        <v>0</v>
      </c>
      <c r="Q21" s="4">
        <f>SUMIF(Visits!$E$2:$E$90,'User Engagement'!$A21,Visits!$T$2:$T$90)</f>
        <v>0</v>
      </c>
      <c r="R21" s="4">
        <f>SUMIFS(Visits!$T$2:$T$90,Visits!$E$2:$E$90,'User Engagement'!$A21,Visits!$AF$2:$AF$90,"&gt;3/28/24")</f>
        <v>0</v>
      </c>
      <c r="S21" s="13">
        <f t="shared" si="2"/>
        <v>0</v>
      </c>
      <c r="T21" s="13">
        <f t="shared" si="3"/>
        <v>0</v>
      </c>
    </row>
    <row r="22" spans="1:20" ht="15.95">
      <c r="A22" t="str">
        <f>Users!A20</f>
        <v>Clairelouisecouchman@hotmail.com</v>
      </c>
      <c r="B22" s="23"/>
      <c r="C22" s="23"/>
      <c r="D22" s="1" cm="1">
        <f t="array" ref="D22">MAX(_xlfn._xlws.FILTER(Visits!AF:AF,Visits!E:E='User Engagement'!A22))</f>
        <v>45492</v>
      </c>
      <c r="E22">
        <f>COUNTIF(Visits!$E$2:$E$993,'User Engagement'!$A22)</f>
        <v>13</v>
      </c>
      <c r="F22">
        <f>COUNTIFS(Visits!$E$2:$E$993,'User Engagement'!$A23,Visits!$AF$2:$AF$993,"&gt;"&amp;($B$1-7))</f>
        <v>3</v>
      </c>
      <c r="G22">
        <f>COUNTIFS(Visits!$E$2:$E$993,'User Engagement'!$A22,Visits!$AF$2:$AF$993,"&gt;"&amp;($B$1-30))</f>
        <v>13</v>
      </c>
      <c r="H22">
        <f>COUNTIFS(Visits!$E$2:$E$993,$A22,Visits!$AF$2:$AF$993,"&gt;"&amp;($B$1-60))-G22</f>
        <v>0</v>
      </c>
      <c r="I22">
        <f>COUNTIFS(Visits!$AG:$AG,'New Dashboard'!$A$22,Visits!$E:$E,'User Engagement'!$A22)</f>
        <v>2</v>
      </c>
      <c r="J22">
        <f>COUNTIFS(Visits!$AG:$AG,'New Dashboard'!$A$23,Visits!$E:$E,'User Engagement'!$A22)</f>
        <v>4</v>
      </c>
      <c r="K22">
        <f>COUNTIFS(Visits!$AG:$AG,'New Dashboard'!$A$24,Visits!$E:$E,'User Engagement'!$A22)</f>
        <v>3</v>
      </c>
      <c r="L22">
        <f>COUNTIFS(Visits!$AG:$AG,'New Dashboard'!$A$25,Visits!$E:$E,'User Engagement'!$A22)</f>
        <v>2</v>
      </c>
      <c r="M22">
        <f t="shared" si="0"/>
        <v>0</v>
      </c>
      <c r="N22">
        <f t="shared" si="4"/>
        <v>1</v>
      </c>
      <c r="O22">
        <f t="shared" si="5"/>
        <v>0</v>
      </c>
      <c r="P22">
        <f t="shared" si="1"/>
        <v>1</v>
      </c>
      <c r="Q22" s="4">
        <f>SUMIF(Visits!$E$2:$E$90,'User Engagement'!$A22,Visits!$T$2:$T$90)</f>
        <v>34</v>
      </c>
      <c r="R22" s="4">
        <f>SUMIFS(Visits!$T$2:$T$90,Visits!$E$2:$E$90,'User Engagement'!$A22,Visits!$AF$2:$AF$90,"&gt;3/28/24")</f>
        <v>20</v>
      </c>
      <c r="S22" s="13">
        <f t="shared" si="2"/>
        <v>2.6153846153846154</v>
      </c>
      <c r="T22" s="13">
        <f t="shared" si="3"/>
        <v>1.5384615384615385</v>
      </c>
    </row>
    <row r="23" spans="1:20" ht="15.95">
      <c r="A23" t="str">
        <f>Users!A21</f>
        <v>claudiapaicu@yahoo.com</v>
      </c>
      <c r="B23" s="23"/>
      <c r="C23" s="23"/>
      <c r="D23" s="1" cm="1">
        <f t="array" ref="D23">MAX(_xlfn._xlws.FILTER(Visits!AF:AF,Visits!E:E='User Engagement'!A23))</f>
        <v>45445.5</v>
      </c>
      <c r="E23">
        <f>COUNTIF(Visits!$E$2:$E$993,'User Engagement'!$A23)</f>
        <v>3</v>
      </c>
      <c r="F23">
        <f>COUNTIFS(Visits!$E$2:$E$993,'User Engagement'!$A24,Visits!$AF$2:$AF$993,"&gt;"&amp;($B$1-7))</f>
        <v>2</v>
      </c>
      <c r="G23">
        <f>COUNTIFS(Visits!$E$2:$E$993,'User Engagement'!$A23,Visits!$AF$2:$AF$993,"&gt;"&amp;($B$1-30))</f>
        <v>3</v>
      </c>
      <c r="H23">
        <f>COUNTIFS(Visits!$E$2:$E$993,$A23,Visits!$AF$2:$AF$993,"&gt;"&amp;($B$1-60))-G23</f>
        <v>0</v>
      </c>
      <c r="I23">
        <f>COUNTIFS(Visits!$AG:$AG,'New Dashboard'!$A$22,Visits!$E:$E,'User Engagement'!$A23)</f>
        <v>0</v>
      </c>
      <c r="J23">
        <f>COUNTIFS(Visits!$AG:$AG,'New Dashboard'!$A$23,Visits!$E:$E,'User Engagement'!$A23)</f>
        <v>1</v>
      </c>
      <c r="K23">
        <f>COUNTIFS(Visits!$AG:$AG,'New Dashboard'!$A$24,Visits!$E:$E,'User Engagement'!$A23)</f>
        <v>0</v>
      </c>
      <c r="L23">
        <f>COUNTIFS(Visits!$AG:$AG,'New Dashboard'!$A$25,Visits!$E:$E,'User Engagement'!$A23)</f>
        <v>2</v>
      </c>
      <c r="M23">
        <f t="shared" si="0"/>
        <v>0</v>
      </c>
      <c r="N23">
        <f t="shared" si="4"/>
        <v>1</v>
      </c>
      <c r="O23">
        <f t="shared" si="5"/>
        <v>0</v>
      </c>
      <c r="P23">
        <f t="shared" si="1"/>
        <v>1</v>
      </c>
      <c r="Q23" s="4">
        <f>SUMIF(Visits!$E$2:$E$90,'User Engagement'!$A23,Visits!$T$2:$T$90)</f>
        <v>15</v>
      </c>
      <c r="R23" s="4">
        <f>SUMIFS(Visits!$T$2:$T$90,Visits!$E$2:$E$90,'User Engagement'!$A23,Visits!$AF$2:$AF$90,"&gt;3/28/24")</f>
        <v>15</v>
      </c>
      <c r="S23" s="13">
        <f t="shared" si="2"/>
        <v>5</v>
      </c>
      <c r="T23" s="13">
        <f t="shared" si="3"/>
        <v>5</v>
      </c>
    </row>
    <row r="24" spans="1:20" ht="15.95">
      <c r="A24" t="str">
        <f>Users!A22</f>
        <v>Corneliu.civig@gmail.com</v>
      </c>
      <c r="B24" s="23"/>
      <c r="C24" s="23"/>
      <c r="D24" s="1" cm="1">
        <f t="array" ref="D24">MAX(_xlfn._xlws.FILTER(Visits!AF:AF,Visits!E:E='User Engagement'!A24))</f>
        <v>45501</v>
      </c>
      <c r="E24">
        <f>COUNTIF(Visits!$E$2:$E$993,'User Engagement'!$A24)</f>
        <v>2</v>
      </c>
      <c r="F24">
        <f>COUNTIFS(Visits!$E$2:$E$993,'User Engagement'!$A25,Visits!$AF$2:$AF$993,"&gt;"&amp;($B$1-7))</f>
        <v>12</v>
      </c>
      <c r="G24">
        <f>COUNTIFS(Visits!$E$2:$E$993,'User Engagement'!$A24,Visits!$AF$2:$AF$993,"&gt;"&amp;($B$1-30))</f>
        <v>2</v>
      </c>
      <c r="H24">
        <f>COUNTIFS(Visits!$E$2:$E$993,$A24,Visits!$AF$2:$AF$993,"&gt;"&amp;($B$1-60))-G24</f>
        <v>0</v>
      </c>
      <c r="I24">
        <f>COUNTIFS(Visits!$AG:$AG,'New Dashboard'!$A$22,Visits!$E:$E,'User Engagement'!$A24)</f>
        <v>1</v>
      </c>
      <c r="J24">
        <f>COUNTIFS(Visits!$AG:$AG,'New Dashboard'!$A$23,Visits!$E:$E,'User Engagement'!$A24)</f>
        <v>1</v>
      </c>
      <c r="K24">
        <f>COUNTIFS(Visits!$AG:$AG,'New Dashboard'!$A$24,Visits!$E:$E,'User Engagement'!$A24)</f>
        <v>0</v>
      </c>
      <c r="L24">
        <f>COUNTIFS(Visits!$AG:$AG,'New Dashboard'!$A$25,Visits!$E:$E,'User Engagement'!$A24)</f>
        <v>0</v>
      </c>
      <c r="M24">
        <f t="shared" si="0"/>
        <v>0</v>
      </c>
      <c r="N24">
        <f t="shared" si="4"/>
        <v>1</v>
      </c>
      <c r="O24">
        <f t="shared" si="5"/>
        <v>0</v>
      </c>
      <c r="P24">
        <f t="shared" si="1"/>
        <v>0</v>
      </c>
      <c r="Q24" s="4">
        <f>SUMIF(Visits!$E$2:$E$90,'User Engagement'!$A24,Visits!$T$2:$T$90)</f>
        <v>0</v>
      </c>
      <c r="R24" s="4">
        <f>SUMIFS(Visits!$T$2:$T$90,Visits!$E$2:$E$90,'User Engagement'!$A24,Visits!$AF$2:$AF$90,"&gt;3/28/24")</f>
        <v>0</v>
      </c>
      <c r="S24" s="13">
        <f t="shared" si="2"/>
        <v>0</v>
      </c>
      <c r="T24" s="13">
        <f t="shared" si="3"/>
        <v>0</v>
      </c>
    </row>
    <row r="25" spans="1:20" ht="15.95">
      <c r="A25" t="str">
        <f>Users!A23</f>
        <v>daniel.lugg@yahoo.com</v>
      </c>
      <c r="B25" s="23"/>
      <c r="C25" s="23"/>
      <c r="D25" s="1" cm="1">
        <f t="array" ref="D25">MAX(_xlfn._xlws.FILTER(Visits!AF:AF,Visits!E:E='User Engagement'!A25))</f>
        <v>45480.583333333336</v>
      </c>
      <c r="E25">
        <f>COUNTIF(Visits!$E$2:$E$993,'User Engagement'!$A25)</f>
        <v>12</v>
      </c>
      <c r="F25">
        <f>COUNTIFS(Visits!$E$2:$E$993,'User Engagement'!$A26,Visits!$AF$2:$AF$993,"&gt;"&amp;($B$1-7))</f>
        <v>1</v>
      </c>
      <c r="G25">
        <f>COUNTIFS(Visits!$E$2:$E$993,'User Engagement'!$A25,Visits!$AF$2:$AF$993,"&gt;"&amp;($B$1-30))</f>
        <v>12</v>
      </c>
      <c r="H25">
        <f>COUNTIFS(Visits!$E$2:$E$993,$A25,Visits!$AF$2:$AF$993,"&gt;"&amp;($B$1-60))-G25</f>
        <v>0</v>
      </c>
      <c r="I25">
        <f>COUNTIFS(Visits!$AG:$AG,'New Dashboard'!$A$22,Visits!$E:$E,'User Engagement'!$A25)</f>
        <v>1</v>
      </c>
      <c r="J25">
        <f>COUNTIFS(Visits!$AG:$AG,'New Dashboard'!$A$23,Visits!$E:$E,'User Engagement'!$A25)</f>
        <v>3</v>
      </c>
      <c r="K25">
        <f>COUNTIFS(Visits!$AG:$AG,'New Dashboard'!$A$24,Visits!$E:$E,'User Engagement'!$A25)</f>
        <v>3</v>
      </c>
      <c r="L25">
        <f>COUNTIFS(Visits!$AG:$AG,'New Dashboard'!$A$25,Visits!$E:$E,'User Engagement'!$A25)</f>
        <v>4</v>
      </c>
      <c r="M25">
        <f t="shared" si="0"/>
        <v>0</v>
      </c>
      <c r="N25">
        <f t="shared" si="4"/>
        <v>1</v>
      </c>
      <c r="O25">
        <f t="shared" si="5"/>
        <v>0</v>
      </c>
      <c r="P25">
        <f t="shared" si="1"/>
        <v>1</v>
      </c>
      <c r="Q25" s="4">
        <f>SUMIF(Visits!$E$2:$E$90,'User Engagement'!$A25,Visits!$T$2:$T$90)</f>
        <v>55</v>
      </c>
      <c r="R25" s="4">
        <f>SUMIFS(Visits!$T$2:$T$90,Visits!$E$2:$E$90,'User Engagement'!$A25,Visits!$AF$2:$AF$90,"&gt;3/28/24")</f>
        <v>30</v>
      </c>
      <c r="S25" s="13">
        <f t="shared" si="2"/>
        <v>4.583333333333333</v>
      </c>
      <c r="T25" s="13">
        <f t="shared" si="3"/>
        <v>2.5</v>
      </c>
    </row>
    <row r="26" spans="1:20" ht="15.95">
      <c r="A26" t="str">
        <f>Users!A24</f>
        <v>dmello.daniel@gmail.com</v>
      </c>
      <c r="B26" s="23"/>
      <c r="C26" s="23"/>
      <c r="D26" s="1" cm="1">
        <f t="array" ref="D26">MAX(_xlfn._xlws.FILTER(Visits!AF:AF,Visits!E:E='User Engagement'!A26))</f>
        <v>45445.5</v>
      </c>
      <c r="E26">
        <f>COUNTIF(Visits!$E$2:$E$993,'User Engagement'!$A26)</f>
        <v>1</v>
      </c>
      <c r="F26">
        <f>COUNTIFS(Visits!$E$2:$E$993,'User Engagement'!$A27,Visits!$AF$2:$AF$993,"&gt;"&amp;($B$1-7))</f>
        <v>5</v>
      </c>
      <c r="G26">
        <f>COUNTIFS(Visits!$E$2:$E$993,'User Engagement'!$A26,Visits!$AF$2:$AF$993,"&gt;"&amp;($B$1-30))</f>
        <v>1</v>
      </c>
      <c r="H26">
        <f>COUNTIFS(Visits!$E$2:$E$993,$A26,Visits!$AF$2:$AF$993,"&gt;"&amp;($B$1-60))-G26</f>
        <v>0</v>
      </c>
      <c r="I26">
        <f>COUNTIFS(Visits!$AG:$AG,'New Dashboard'!$A$22,Visits!$E:$E,'User Engagement'!$A26)</f>
        <v>0</v>
      </c>
      <c r="J26">
        <f>COUNTIFS(Visits!$AG:$AG,'New Dashboard'!$A$23,Visits!$E:$E,'User Engagement'!$A26)</f>
        <v>1</v>
      </c>
      <c r="K26">
        <f>COUNTIFS(Visits!$AG:$AG,'New Dashboard'!$A$24,Visits!$E:$E,'User Engagement'!$A26)</f>
        <v>0</v>
      </c>
      <c r="L26">
        <f>COUNTIFS(Visits!$AG:$AG,'New Dashboard'!$A$25,Visits!$E:$E,'User Engagement'!$A26)</f>
        <v>0</v>
      </c>
      <c r="M26">
        <f t="shared" si="0"/>
        <v>0</v>
      </c>
      <c r="N26">
        <f t="shared" si="4"/>
        <v>1</v>
      </c>
      <c r="O26">
        <f t="shared" si="5"/>
        <v>0</v>
      </c>
      <c r="P26">
        <f t="shared" si="1"/>
        <v>0</v>
      </c>
      <c r="Q26" s="4">
        <f>SUMIF(Visits!$E$2:$E$90,'User Engagement'!$A26,Visits!$T$2:$T$90)</f>
        <v>0</v>
      </c>
      <c r="R26" s="4">
        <f>SUMIFS(Visits!$T$2:$T$90,Visits!$E$2:$E$90,'User Engagement'!$A26,Visits!$AF$2:$AF$90,"&gt;3/28/24")</f>
        <v>0</v>
      </c>
      <c r="S26" s="13">
        <f t="shared" si="2"/>
        <v>0</v>
      </c>
      <c r="T26" s="13">
        <f t="shared" si="3"/>
        <v>0</v>
      </c>
    </row>
    <row r="27" spans="1:20" ht="15.95">
      <c r="A27" t="str">
        <f>Users!A25</f>
        <v>jones_daniela@yahoo.co.uk</v>
      </c>
      <c r="B27" s="23"/>
      <c r="C27" s="23"/>
      <c r="D27" s="1" cm="1">
        <f t="array" ref="D27">MAX(_xlfn._xlws.FILTER(Visits!AF:AF,Visits!E:E='User Engagement'!A27))</f>
        <v>45499</v>
      </c>
      <c r="E27">
        <f>COUNTIF(Visits!$E$2:$E$993,'User Engagement'!$A27)</f>
        <v>5</v>
      </c>
      <c r="F27">
        <f>COUNTIFS(Visits!$E$2:$E$993,'User Engagement'!$A28,Visits!$AF$2:$AF$993,"&gt;"&amp;($B$1-7))</f>
        <v>1</v>
      </c>
      <c r="G27">
        <f>COUNTIFS(Visits!$E$2:$E$993,'User Engagement'!$A27,Visits!$AF$2:$AF$993,"&gt;"&amp;($B$1-30))</f>
        <v>5</v>
      </c>
      <c r="H27">
        <f>COUNTIFS(Visits!$E$2:$E$993,$A27,Visits!$AF$2:$AF$993,"&gt;"&amp;($B$1-60))-G27</f>
        <v>0</v>
      </c>
      <c r="I27">
        <f>COUNTIFS(Visits!$AG:$AG,'New Dashboard'!$A$22,Visits!$E:$E,'User Engagement'!$A27)</f>
        <v>1</v>
      </c>
      <c r="J27">
        <f>COUNTIFS(Visits!$AG:$AG,'New Dashboard'!$A$23,Visits!$E:$E,'User Engagement'!$A27)</f>
        <v>0</v>
      </c>
      <c r="K27">
        <f>COUNTIFS(Visits!$AG:$AG,'New Dashboard'!$A$24,Visits!$E:$E,'User Engagement'!$A27)</f>
        <v>2</v>
      </c>
      <c r="L27">
        <f>COUNTIFS(Visits!$AG:$AG,'New Dashboard'!$A$25,Visits!$E:$E,'User Engagement'!$A27)</f>
        <v>2</v>
      </c>
      <c r="M27">
        <f t="shared" si="0"/>
        <v>0</v>
      </c>
      <c r="N27">
        <f t="shared" si="4"/>
        <v>1</v>
      </c>
      <c r="O27">
        <f t="shared" si="5"/>
        <v>0</v>
      </c>
      <c r="P27">
        <f t="shared" si="1"/>
        <v>1</v>
      </c>
      <c r="Q27" s="4">
        <f>SUMIF(Visits!$E$2:$E$90,'User Engagement'!$A27,Visits!$T$2:$T$90)</f>
        <v>30</v>
      </c>
      <c r="R27" s="4">
        <f>SUMIFS(Visits!$T$2:$T$90,Visits!$E$2:$E$90,'User Engagement'!$A27,Visits!$AF$2:$AF$90,"&gt;3/28/24")</f>
        <v>30</v>
      </c>
      <c r="S27" s="13">
        <f t="shared" si="2"/>
        <v>6</v>
      </c>
      <c r="T27" s="13">
        <f t="shared" si="3"/>
        <v>6</v>
      </c>
    </row>
    <row r="28" spans="1:20" ht="15.95">
      <c r="A28" t="str">
        <f>Users!A26</f>
        <v>dmbarden@hotmail.co.uk</v>
      </c>
      <c r="B28" s="23"/>
      <c r="C28" s="23"/>
      <c r="D28" s="1" cm="1">
        <f t="array" ref="D28">MAX(_xlfn._xlws.FILTER(Visits!AF:AF,Visits!E:E='User Engagement'!A28))</f>
        <v>45381</v>
      </c>
      <c r="E28">
        <f>COUNTIF(Visits!$E$2:$E$993,'User Engagement'!$A28)</f>
        <v>1</v>
      </c>
      <c r="F28">
        <f>COUNTIFS(Visits!$E$2:$E$993,'User Engagement'!$A29,Visits!$AF$2:$AF$993,"&gt;"&amp;($B$1-7))</f>
        <v>1</v>
      </c>
      <c r="G28">
        <f>COUNTIFS(Visits!$E$2:$E$993,'User Engagement'!$A28,Visits!$AF$2:$AF$993,"&gt;"&amp;($B$1-30))</f>
        <v>1</v>
      </c>
      <c r="H28">
        <f>COUNTIFS(Visits!$E$2:$E$993,$A28,Visits!$AF$2:$AF$993,"&gt;"&amp;($B$1-60))-G28</f>
        <v>0</v>
      </c>
      <c r="I28">
        <f>COUNTIFS(Visits!$AG:$AG,'New Dashboard'!$A$22,Visits!$E:$E,'User Engagement'!$A28)</f>
        <v>0</v>
      </c>
      <c r="J28">
        <f>COUNTIFS(Visits!$AG:$AG,'New Dashboard'!$A$23,Visits!$E:$E,'User Engagement'!$A28)</f>
        <v>0</v>
      </c>
      <c r="K28">
        <f>COUNTIFS(Visits!$AG:$AG,'New Dashboard'!$A$24,Visits!$E:$E,'User Engagement'!$A28)</f>
        <v>0</v>
      </c>
      <c r="L28">
        <f>COUNTIFS(Visits!$AG:$AG,'New Dashboard'!$A$25,Visits!$E:$E,'User Engagement'!$A28)</f>
        <v>0</v>
      </c>
      <c r="M28">
        <f t="shared" si="0"/>
        <v>1</v>
      </c>
      <c r="N28">
        <f t="shared" si="4"/>
        <v>1</v>
      </c>
      <c r="O28">
        <f t="shared" si="5"/>
        <v>0</v>
      </c>
      <c r="P28">
        <f t="shared" si="1"/>
        <v>0</v>
      </c>
      <c r="Q28" s="4">
        <f>SUMIF(Visits!$E$2:$E$90,'User Engagement'!$A28,Visits!$T$2:$T$90)</f>
        <v>5</v>
      </c>
      <c r="R28" s="4">
        <f>SUMIFS(Visits!$T$2:$T$90,Visits!$E$2:$E$90,'User Engagement'!$A28,Visits!$AF$2:$AF$90,"&gt;3/28/24")</f>
        <v>5</v>
      </c>
      <c r="S28" s="13">
        <f t="shared" si="2"/>
        <v>5</v>
      </c>
      <c r="T28" s="13">
        <f t="shared" si="3"/>
        <v>5</v>
      </c>
    </row>
    <row r="29" spans="1:20" ht="15.95">
      <c r="A29" t="str">
        <f>Users!A27</f>
        <v>david.flatscher@gmail.com</v>
      </c>
      <c r="B29" s="23"/>
      <c r="C29" s="23"/>
      <c r="D29" s="1" cm="1">
        <f t="array" ref="D29">MAX(_xlfn._xlws.FILTER(Visits!AF:AF,Visits!E:E='User Engagement'!A29))</f>
        <v>45442.770833333336</v>
      </c>
      <c r="E29">
        <f>COUNTIF(Visits!$E$2:$E$993,'User Engagement'!$A29)</f>
        <v>1</v>
      </c>
      <c r="F29">
        <f>COUNTIFS(Visits!$E$2:$E$993,'User Engagement'!$A30,Visits!$AF$2:$AF$993,"&gt;"&amp;($B$1-7))</f>
        <v>2</v>
      </c>
      <c r="G29">
        <f>COUNTIFS(Visits!$E$2:$E$993,'User Engagement'!$A29,Visits!$AF$2:$AF$993,"&gt;"&amp;($B$1-30))</f>
        <v>1</v>
      </c>
      <c r="H29">
        <f>COUNTIFS(Visits!$E$2:$E$993,$A29,Visits!$AF$2:$AF$993,"&gt;"&amp;($B$1-60))-G29</f>
        <v>0</v>
      </c>
      <c r="I29">
        <f>COUNTIFS(Visits!$AG:$AG,'New Dashboard'!$A$22,Visits!$E:$E,'User Engagement'!$A29)</f>
        <v>0</v>
      </c>
      <c r="J29">
        <f>COUNTIFS(Visits!$AG:$AG,'New Dashboard'!$A$23,Visits!$E:$E,'User Engagement'!$A29)</f>
        <v>0</v>
      </c>
      <c r="K29">
        <f>COUNTIFS(Visits!$AG:$AG,'New Dashboard'!$A$24,Visits!$E:$E,'User Engagement'!$A29)</f>
        <v>1</v>
      </c>
      <c r="L29">
        <f>COUNTIFS(Visits!$AG:$AG,'New Dashboard'!$A$25,Visits!$E:$E,'User Engagement'!$A29)</f>
        <v>0</v>
      </c>
      <c r="M29">
        <f t="shared" si="0"/>
        <v>0</v>
      </c>
      <c r="N29">
        <f t="shared" si="4"/>
        <v>1</v>
      </c>
      <c r="O29">
        <f t="shared" si="5"/>
        <v>0</v>
      </c>
      <c r="P29">
        <f t="shared" si="1"/>
        <v>0</v>
      </c>
      <c r="Q29" s="4">
        <f>SUMIF(Visits!$E$2:$E$90,'User Engagement'!$A29,Visits!$T$2:$T$90)</f>
        <v>0</v>
      </c>
      <c r="R29" s="4">
        <f>SUMIFS(Visits!$T$2:$T$90,Visits!$E$2:$E$90,'User Engagement'!$A29,Visits!$AF$2:$AF$90,"&gt;3/28/24")</f>
        <v>0</v>
      </c>
      <c r="S29" s="13">
        <f t="shared" si="2"/>
        <v>0</v>
      </c>
      <c r="T29" s="13">
        <f t="shared" si="3"/>
        <v>0</v>
      </c>
    </row>
    <row r="30" spans="1:20" ht="15.95">
      <c r="A30" t="str">
        <f>Users!A28</f>
        <v>d.v.davideveronese@gmail.com</v>
      </c>
      <c r="B30" s="23"/>
      <c r="C30" s="23"/>
      <c r="D30" s="1" cm="1">
        <f t="array" ref="D30">MAX(_xlfn._xlws.FILTER(Visits!AF:AF,Visits!E:E='User Engagement'!A30))</f>
        <v>45437</v>
      </c>
      <c r="E30">
        <f>COUNTIF(Visits!$E$2:$E$993,'User Engagement'!$A30)</f>
        <v>2</v>
      </c>
      <c r="F30">
        <f>COUNTIFS(Visits!$E$2:$E$993,'User Engagement'!$A31,Visits!$AF$2:$AF$993,"&gt;"&amp;($B$1-7))</f>
        <v>2</v>
      </c>
      <c r="G30">
        <f>COUNTIFS(Visits!$E$2:$E$993,'User Engagement'!$A30,Visits!$AF$2:$AF$993,"&gt;"&amp;($B$1-30))</f>
        <v>2</v>
      </c>
      <c r="H30">
        <f>COUNTIFS(Visits!$E$2:$E$993,$A30,Visits!$AF$2:$AF$993,"&gt;"&amp;($B$1-60))-G30</f>
        <v>0</v>
      </c>
      <c r="I30">
        <f>COUNTIFS(Visits!$AG:$AG,'New Dashboard'!$A$22,Visits!$E:$E,'User Engagement'!$A30)</f>
        <v>0</v>
      </c>
      <c r="J30">
        <f>COUNTIFS(Visits!$AG:$AG,'New Dashboard'!$A$23,Visits!$E:$E,'User Engagement'!$A30)</f>
        <v>0</v>
      </c>
      <c r="K30">
        <f>COUNTIFS(Visits!$AG:$AG,'New Dashboard'!$A$24,Visits!$E:$E,'User Engagement'!$A30)</f>
        <v>1</v>
      </c>
      <c r="L30">
        <f>COUNTIFS(Visits!$AG:$AG,'New Dashboard'!$A$25,Visits!$E:$E,'User Engagement'!$A30)</f>
        <v>1</v>
      </c>
      <c r="M30">
        <f t="shared" si="0"/>
        <v>1</v>
      </c>
      <c r="N30">
        <f t="shared" si="4"/>
        <v>1</v>
      </c>
      <c r="O30">
        <f t="shared" si="5"/>
        <v>0</v>
      </c>
      <c r="P30">
        <f t="shared" si="1"/>
        <v>0</v>
      </c>
      <c r="Q30" s="4">
        <f>SUMIF(Visits!$E$2:$E$90,'User Engagement'!$A30,Visits!$T$2:$T$90)</f>
        <v>15</v>
      </c>
      <c r="R30" s="4">
        <f>SUMIFS(Visits!$T$2:$T$90,Visits!$E$2:$E$90,'User Engagement'!$A30,Visits!$AF$2:$AF$90,"&gt;3/28/24")</f>
        <v>15</v>
      </c>
      <c r="S30" s="13">
        <f t="shared" si="2"/>
        <v>7.5</v>
      </c>
      <c r="T30" s="13">
        <f t="shared" si="3"/>
        <v>7.5</v>
      </c>
    </row>
    <row r="31" spans="1:20" ht="15.95">
      <c r="A31" t="str">
        <f>Users!A29</f>
        <v>dildeep96@gmail.com</v>
      </c>
      <c r="B31" s="23"/>
      <c r="C31" s="23"/>
      <c r="D31" s="1" cm="1">
        <f t="array" ref="D31">MAX(_xlfn._xlws.FILTER(Visits!AF:AF,Visits!E:E='User Engagement'!A31))</f>
        <v>45430</v>
      </c>
      <c r="E31">
        <f>COUNTIF(Visits!$E$2:$E$993,'User Engagement'!$A31)</f>
        <v>2</v>
      </c>
      <c r="F31">
        <f>COUNTIFS(Visits!$E$2:$E$993,'User Engagement'!$A32,Visits!$AF$2:$AF$993,"&gt;"&amp;($B$1-7))</f>
        <v>1</v>
      </c>
      <c r="G31">
        <f>COUNTIFS(Visits!$E$2:$E$993,'User Engagement'!$A31,Visits!$AF$2:$AF$993,"&gt;"&amp;($B$1-30))</f>
        <v>2</v>
      </c>
      <c r="H31">
        <f>COUNTIFS(Visits!$E$2:$E$993,$A31,Visits!$AF$2:$AF$993,"&gt;"&amp;($B$1-60))-G31</f>
        <v>0</v>
      </c>
      <c r="I31">
        <f>COUNTIFS(Visits!$AG:$AG,'New Dashboard'!$A$22,Visits!$E:$E,'User Engagement'!$A31)</f>
        <v>0</v>
      </c>
      <c r="J31">
        <f>COUNTIFS(Visits!$AG:$AG,'New Dashboard'!$A$23,Visits!$E:$E,'User Engagement'!$A31)</f>
        <v>0</v>
      </c>
      <c r="K31">
        <f>COUNTIFS(Visits!$AG:$AG,'New Dashboard'!$A$24,Visits!$E:$E,'User Engagement'!$A31)</f>
        <v>2</v>
      </c>
      <c r="L31">
        <f>COUNTIFS(Visits!$AG:$AG,'New Dashboard'!$A$25,Visits!$E:$E,'User Engagement'!$A31)</f>
        <v>0</v>
      </c>
      <c r="M31">
        <f t="shared" si="0"/>
        <v>0</v>
      </c>
      <c r="N31">
        <f t="shared" si="4"/>
        <v>1</v>
      </c>
      <c r="O31">
        <f t="shared" si="5"/>
        <v>0</v>
      </c>
      <c r="P31">
        <f t="shared" si="1"/>
        <v>0</v>
      </c>
      <c r="Q31" s="4">
        <f>SUMIF(Visits!$E$2:$E$90,'User Engagement'!$A31,Visits!$T$2:$T$90)</f>
        <v>0</v>
      </c>
      <c r="R31" s="4">
        <f>SUMIFS(Visits!$T$2:$T$90,Visits!$E$2:$E$90,'User Engagement'!$A31,Visits!$AF$2:$AF$90,"&gt;3/28/24")</f>
        <v>0</v>
      </c>
      <c r="S31" s="13">
        <f t="shared" si="2"/>
        <v>0</v>
      </c>
      <c r="T31" s="13">
        <f t="shared" si="3"/>
        <v>0</v>
      </c>
    </row>
    <row r="32" spans="1:20" ht="15.95">
      <c r="A32" t="str">
        <f>Users!A30</f>
        <v>imanbudget@yahoo.co.uk</v>
      </c>
      <c r="B32" s="23"/>
      <c r="C32" s="23"/>
      <c r="D32" s="1" cm="1">
        <f t="array" ref="D32">MAX(_xlfn._xlws.FILTER(Visits!AF:AF,Visits!E:E='User Engagement'!A32))</f>
        <v>45442.770833333336</v>
      </c>
      <c r="E32">
        <f>COUNTIF(Visits!$E$2:$E$993,'User Engagement'!$A32)</f>
        <v>1</v>
      </c>
      <c r="F32">
        <f>COUNTIFS(Visits!$E$2:$E$993,'User Engagement'!$A33,Visits!$AF$2:$AF$993,"&gt;"&amp;($B$1-7))</f>
        <v>1</v>
      </c>
      <c r="G32">
        <f>COUNTIFS(Visits!$E$2:$E$993,'User Engagement'!$A32,Visits!$AF$2:$AF$993,"&gt;"&amp;($B$1-30))</f>
        <v>1</v>
      </c>
      <c r="H32">
        <f>COUNTIFS(Visits!$E$2:$E$993,$A32,Visits!$AF$2:$AF$993,"&gt;"&amp;($B$1-60))-G32</f>
        <v>0</v>
      </c>
      <c r="I32">
        <f>COUNTIFS(Visits!$AG:$AG,'New Dashboard'!$A$22,Visits!$E:$E,'User Engagement'!$A32)</f>
        <v>0</v>
      </c>
      <c r="J32">
        <f>COUNTIFS(Visits!$AG:$AG,'New Dashboard'!$A$23,Visits!$E:$E,'User Engagement'!$A32)</f>
        <v>0</v>
      </c>
      <c r="K32">
        <f>COUNTIFS(Visits!$AG:$AG,'New Dashboard'!$A$24,Visits!$E:$E,'User Engagement'!$A32)</f>
        <v>1</v>
      </c>
      <c r="L32">
        <f>COUNTIFS(Visits!$AG:$AG,'New Dashboard'!$A$25,Visits!$E:$E,'User Engagement'!$A32)</f>
        <v>0</v>
      </c>
      <c r="M32">
        <f t="shared" si="0"/>
        <v>1</v>
      </c>
      <c r="N32">
        <f t="shared" si="4"/>
        <v>1</v>
      </c>
      <c r="O32">
        <f t="shared" si="5"/>
        <v>0</v>
      </c>
      <c r="P32">
        <f t="shared" si="1"/>
        <v>0</v>
      </c>
      <c r="Q32" s="4">
        <f>SUMIF(Visits!$E$2:$E$90,'User Engagement'!$A32,Visits!$T$2:$T$90)</f>
        <v>0</v>
      </c>
      <c r="R32" s="4">
        <f>SUMIFS(Visits!$T$2:$T$90,Visits!$E$2:$E$90,'User Engagement'!$A32,Visits!$AF$2:$AF$90,"&gt;3/28/24")</f>
        <v>0</v>
      </c>
      <c r="S32" s="13">
        <f t="shared" si="2"/>
        <v>0</v>
      </c>
      <c r="T32" s="13">
        <f t="shared" si="3"/>
        <v>0</v>
      </c>
    </row>
    <row r="33" spans="1:20" ht="15.95">
      <c r="A33" t="str">
        <f>Users!A31</f>
        <v>egemensiphone@gmail.com</v>
      </c>
      <c r="B33" s="23"/>
      <c r="C33" s="23"/>
      <c r="D33" s="1" cm="1">
        <f t="array" ref="D33">MAX(_xlfn._xlws.FILTER(Visits!AF:AF,Visits!E:E='User Engagement'!A33))</f>
        <v>45395</v>
      </c>
      <c r="E33">
        <f>COUNTIF(Visits!$E$2:$E$993,'User Engagement'!$A33)</f>
        <v>1</v>
      </c>
      <c r="F33">
        <f>COUNTIFS(Visits!$E$2:$E$993,'User Engagement'!$A34,Visits!$AF$2:$AF$993,"&gt;"&amp;($B$1-7))</f>
        <v>1</v>
      </c>
      <c r="G33">
        <f>COUNTIFS(Visits!$E$2:$E$993,'User Engagement'!$A33,Visits!$AF$2:$AF$993,"&gt;"&amp;($B$1-30))</f>
        <v>1</v>
      </c>
      <c r="H33">
        <f>COUNTIFS(Visits!$E$2:$E$993,$A33,Visits!$AF$2:$AF$993,"&gt;"&amp;($B$1-60))-G33</f>
        <v>0</v>
      </c>
      <c r="I33">
        <f>COUNTIFS(Visits!$AG:$AG,'New Dashboard'!$A$22,Visits!$E:$E,'User Engagement'!$A33)</f>
        <v>0</v>
      </c>
      <c r="J33">
        <f>COUNTIFS(Visits!$AG:$AG,'New Dashboard'!$A$23,Visits!$E:$E,'User Engagement'!$A33)</f>
        <v>0</v>
      </c>
      <c r="K33">
        <f>COUNTIFS(Visits!$AG:$AG,'New Dashboard'!$A$24,Visits!$E:$E,'User Engagement'!$A33)</f>
        <v>0</v>
      </c>
      <c r="L33">
        <f>COUNTIFS(Visits!$AG:$AG,'New Dashboard'!$A$25,Visits!$E:$E,'User Engagement'!$A33)</f>
        <v>1</v>
      </c>
      <c r="M33">
        <f t="shared" si="0"/>
        <v>1</v>
      </c>
      <c r="N33">
        <f t="shared" si="4"/>
        <v>1</v>
      </c>
      <c r="O33">
        <f t="shared" si="5"/>
        <v>0</v>
      </c>
      <c r="P33">
        <f t="shared" si="1"/>
        <v>0</v>
      </c>
      <c r="Q33" s="4">
        <f>SUMIF(Visits!$E$2:$E$90,'User Engagement'!$A33,Visits!$T$2:$T$90)</f>
        <v>10</v>
      </c>
      <c r="R33" s="4">
        <f>SUMIFS(Visits!$T$2:$T$90,Visits!$E$2:$E$90,'User Engagement'!$A33,Visits!$AF$2:$AF$90,"&gt;3/28/24")</f>
        <v>10</v>
      </c>
      <c r="S33" s="13">
        <f t="shared" si="2"/>
        <v>10</v>
      </c>
      <c r="T33" s="13">
        <f t="shared" si="3"/>
        <v>10</v>
      </c>
    </row>
    <row r="34" spans="1:20" ht="15.95">
      <c r="A34" t="str">
        <f>Users!A32</f>
        <v>ejike.onuchukwu@gmail.com</v>
      </c>
      <c r="B34" s="23"/>
      <c r="C34" s="23"/>
      <c r="D34" s="1" cm="1">
        <f t="array" ref="D34">MAX(_xlfn._xlws.FILTER(Visits!AF:AF,Visits!E:E='User Engagement'!A34))</f>
        <v>45442.770833333336</v>
      </c>
      <c r="E34">
        <f>COUNTIF(Visits!$E$2:$E$993,'User Engagement'!$A34)</f>
        <v>1</v>
      </c>
      <c r="F34">
        <f>COUNTIFS(Visits!$E$2:$E$993,'User Engagement'!$A35,Visits!$AF$2:$AF$993,"&gt;"&amp;($B$1-7))</f>
        <v>3</v>
      </c>
      <c r="G34">
        <f>COUNTIFS(Visits!$E$2:$E$993,'User Engagement'!$A34,Visits!$AF$2:$AF$993,"&gt;"&amp;($B$1-30))</f>
        <v>1</v>
      </c>
      <c r="H34">
        <f>COUNTIFS(Visits!$E$2:$E$993,$A34,Visits!$AF$2:$AF$993,"&gt;"&amp;($B$1-60))-G34</f>
        <v>0</v>
      </c>
      <c r="I34">
        <f>COUNTIFS(Visits!$AG:$AG,'New Dashboard'!$A$22,Visits!$E:$E,'User Engagement'!$A34)</f>
        <v>0</v>
      </c>
      <c r="J34">
        <f>COUNTIFS(Visits!$AG:$AG,'New Dashboard'!$A$23,Visits!$E:$E,'User Engagement'!$A34)</f>
        <v>0</v>
      </c>
      <c r="K34">
        <f>COUNTIFS(Visits!$AG:$AG,'New Dashboard'!$A$24,Visits!$E:$E,'User Engagement'!$A34)</f>
        <v>1</v>
      </c>
      <c r="L34">
        <f>COUNTIFS(Visits!$AG:$AG,'New Dashboard'!$A$25,Visits!$E:$E,'User Engagement'!$A34)</f>
        <v>0</v>
      </c>
      <c r="M34">
        <f t="shared" si="0"/>
        <v>0</v>
      </c>
      <c r="N34">
        <f t="shared" si="4"/>
        <v>1</v>
      </c>
      <c r="O34">
        <f t="shared" si="5"/>
        <v>0</v>
      </c>
      <c r="P34">
        <f t="shared" si="1"/>
        <v>0</v>
      </c>
      <c r="Q34" s="4">
        <f>SUMIF(Visits!$E$2:$E$90,'User Engagement'!$A34,Visits!$T$2:$T$90)</f>
        <v>0</v>
      </c>
      <c r="R34" s="4">
        <f>SUMIFS(Visits!$T$2:$T$90,Visits!$E$2:$E$90,'User Engagement'!$A34,Visits!$AF$2:$AF$90,"&gt;3/28/24")</f>
        <v>0</v>
      </c>
      <c r="S34" s="13">
        <f t="shared" si="2"/>
        <v>0</v>
      </c>
      <c r="T34" s="13">
        <f t="shared" si="3"/>
        <v>0</v>
      </c>
    </row>
    <row r="35" spans="1:20" ht="15.95">
      <c r="A35" t="str">
        <f>Users!A33</f>
        <v>edementyeva@yandex.ru</v>
      </c>
      <c r="B35" s="23"/>
      <c r="C35" s="23"/>
      <c r="D35" s="1" cm="1">
        <f t="array" ref="D35">MAX(_xlfn._xlws.FILTER(Visits!AF:AF,Visits!E:E='User Engagement'!A35))</f>
        <v>45484</v>
      </c>
      <c r="E35">
        <f>COUNTIF(Visits!$E$2:$E$993,'User Engagement'!$A35)</f>
        <v>3</v>
      </c>
      <c r="F35">
        <f>COUNTIFS(Visits!$E$2:$E$993,'User Engagement'!$A36,Visits!$AF$2:$AF$993,"&gt;"&amp;($B$1-7))</f>
        <v>1</v>
      </c>
      <c r="G35">
        <f>COUNTIFS(Visits!$E$2:$E$993,'User Engagement'!$A35,Visits!$AF$2:$AF$993,"&gt;"&amp;($B$1-30))</f>
        <v>3</v>
      </c>
      <c r="H35">
        <f>COUNTIFS(Visits!$E$2:$E$993,$A35,Visits!$AF$2:$AF$993,"&gt;"&amp;($B$1-60))-G35</f>
        <v>0</v>
      </c>
      <c r="I35">
        <f>COUNTIFS(Visits!$AG:$AG,'New Dashboard'!$A$22,Visits!$E:$E,'User Engagement'!$A35)</f>
        <v>1</v>
      </c>
      <c r="J35">
        <f>COUNTIFS(Visits!$AG:$AG,'New Dashboard'!$A$23,Visits!$E:$E,'User Engagement'!$A35)</f>
        <v>1</v>
      </c>
      <c r="K35">
        <f>COUNTIFS(Visits!$AG:$AG,'New Dashboard'!$A$24,Visits!$E:$E,'User Engagement'!$A35)</f>
        <v>1</v>
      </c>
      <c r="L35">
        <f>COUNTIFS(Visits!$AG:$AG,'New Dashboard'!$A$25,Visits!$E:$E,'User Engagement'!$A35)</f>
        <v>0</v>
      </c>
      <c r="M35">
        <f t="shared" si="0"/>
        <v>0</v>
      </c>
      <c r="N35">
        <f t="shared" si="4"/>
        <v>1</v>
      </c>
      <c r="O35">
        <f t="shared" si="5"/>
        <v>0</v>
      </c>
      <c r="P35">
        <f t="shared" si="1"/>
        <v>1</v>
      </c>
      <c r="Q35" s="4">
        <f>SUMIF(Visits!$E$2:$E$90,'User Engagement'!$A35,Visits!$T$2:$T$90)</f>
        <v>0</v>
      </c>
      <c r="R35" s="4">
        <f>SUMIFS(Visits!$T$2:$T$90,Visits!$E$2:$E$90,'User Engagement'!$A35,Visits!$AF$2:$AF$90,"&gt;3/28/24")</f>
        <v>0</v>
      </c>
      <c r="S35" s="13">
        <f t="shared" si="2"/>
        <v>0</v>
      </c>
      <c r="T35" s="13">
        <f t="shared" si="3"/>
        <v>0</v>
      </c>
    </row>
    <row r="36" spans="1:20" ht="15.95">
      <c r="A36" t="str">
        <f>Users!A34</f>
        <v>elena27kuv@gmail.com</v>
      </c>
      <c r="B36" s="23"/>
      <c r="C36" s="23"/>
      <c r="D36" s="1" cm="1">
        <f t="array" ref="D36">MAX(_xlfn._xlws.FILTER(Visits!AF:AF,Visits!E:E='User Engagement'!A36))</f>
        <v>45395</v>
      </c>
      <c r="E36">
        <f>COUNTIF(Visits!$E$2:$E$993,'User Engagement'!$A36)</f>
        <v>1</v>
      </c>
      <c r="F36">
        <f>COUNTIFS(Visits!$E$2:$E$993,'User Engagement'!$A37,Visits!$AF$2:$AF$993,"&gt;"&amp;($B$1-7))</f>
        <v>1</v>
      </c>
      <c r="G36">
        <f>COUNTIFS(Visits!$E$2:$E$993,'User Engagement'!$A36,Visits!$AF$2:$AF$993,"&gt;"&amp;($B$1-30))</f>
        <v>1</v>
      </c>
      <c r="H36">
        <f>COUNTIFS(Visits!$E$2:$E$993,$A36,Visits!$AF$2:$AF$993,"&gt;"&amp;($B$1-60))-G36</f>
        <v>0</v>
      </c>
      <c r="I36">
        <f>COUNTIFS(Visits!$AG:$AG,'New Dashboard'!$A$22,Visits!$E:$E,'User Engagement'!$A36)</f>
        <v>0</v>
      </c>
      <c r="J36">
        <f>COUNTIFS(Visits!$AG:$AG,'New Dashboard'!$A$23,Visits!$E:$E,'User Engagement'!$A36)</f>
        <v>0</v>
      </c>
      <c r="K36">
        <f>COUNTIFS(Visits!$AG:$AG,'New Dashboard'!$A$24,Visits!$E:$E,'User Engagement'!$A36)</f>
        <v>0</v>
      </c>
      <c r="L36">
        <f>COUNTIFS(Visits!$AG:$AG,'New Dashboard'!$A$25,Visits!$E:$E,'User Engagement'!$A36)</f>
        <v>1</v>
      </c>
      <c r="M36">
        <f t="shared" ref="M36:M60" si="6">IF(E36-F36=0,1,0)</f>
        <v>1</v>
      </c>
      <c r="N36">
        <f t="shared" ref="N36:N60" si="7">IF(G36&gt;0,1,0)</f>
        <v>1</v>
      </c>
      <c r="O36">
        <f t="shared" si="5"/>
        <v>0</v>
      </c>
      <c r="P36">
        <f t="shared" si="1"/>
        <v>0</v>
      </c>
      <c r="Q36" s="4">
        <f>SUMIF(Visits!$E$2:$E$90,'User Engagement'!$A36,Visits!$T$2:$T$90)</f>
        <v>15</v>
      </c>
      <c r="R36" s="4">
        <f>SUMIFS(Visits!$T$2:$T$90,Visits!$E$2:$E$90,'User Engagement'!$A36,Visits!$AF$2:$AF$90,"&gt;3/28/24")</f>
        <v>15</v>
      </c>
      <c r="S36" s="13">
        <f t="shared" si="2"/>
        <v>15</v>
      </c>
      <c r="T36" s="13">
        <f t="shared" si="3"/>
        <v>15</v>
      </c>
    </row>
    <row r="37" spans="1:20" ht="15.95">
      <c r="A37" t="str">
        <f>Users!A35</f>
        <v>C.Emily.white@gmail.com</v>
      </c>
      <c r="B37" s="23"/>
      <c r="C37" s="23"/>
      <c r="D37" s="1" cm="1">
        <f t="array" ref="D37">MAX(_xlfn._xlws.FILTER(Visits!AF:AF,Visits!E:E='User Engagement'!A37))</f>
        <v>45445.5</v>
      </c>
      <c r="E37">
        <f>COUNTIF(Visits!$E$2:$E$993,'User Engagement'!$A37)</f>
        <v>1</v>
      </c>
      <c r="F37">
        <f>COUNTIFS(Visits!$E$2:$E$993,'User Engagement'!$A38,Visits!$AF$2:$AF$993,"&gt;"&amp;($B$1-7))</f>
        <v>7</v>
      </c>
      <c r="G37">
        <f>COUNTIFS(Visits!$E$2:$E$993,'User Engagement'!$A37,Visits!$AF$2:$AF$993,"&gt;"&amp;($B$1-30))</f>
        <v>1</v>
      </c>
      <c r="H37">
        <f>COUNTIFS(Visits!$E$2:$E$993,$A37,Visits!$AF$2:$AF$993,"&gt;"&amp;($B$1-60))-G37</f>
        <v>0</v>
      </c>
      <c r="I37">
        <f>COUNTIFS(Visits!$AG:$AG,'New Dashboard'!$A$22,Visits!$E:$E,'User Engagement'!$A37)</f>
        <v>0</v>
      </c>
      <c r="J37">
        <f>COUNTIFS(Visits!$AG:$AG,'New Dashboard'!$A$23,Visits!$E:$E,'User Engagement'!$A37)</f>
        <v>1</v>
      </c>
      <c r="K37">
        <f>COUNTIFS(Visits!$AG:$AG,'New Dashboard'!$A$24,Visits!$E:$E,'User Engagement'!$A37)</f>
        <v>0</v>
      </c>
      <c r="L37">
        <f>COUNTIFS(Visits!$AG:$AG,'New Dashboard'!$A$25,Visits!$E:$E,'User Engagement'!$A37)</f>
        <v>0</v>
      </c>
      <c r="M37">
        <f t="shared" si="6"/>
        <v>0</v>
      </c>
      <c r="N37">
        <f t="shared" si="7"/>
        <v>1</v>
      </c>
      <c r="O37">
        <f t="shared" si="5"/>
        <v>0</v>
      </c>
      <c r="P37">
        <f t="shared" si="1"/>
        <v>0</v>
      </c>
      <c r="Q37" s="4">
        <f>SUMIF(Visits!$E$2:$E$90,'User Engagement'!$A37,Visits!$T$2:$T$90)</f>
        <v>0</v>
      </c>
      <c r="R37" s="4">
        <f>SUMIFS(Visits!$T$2:$T$90,Visits!$E$2:$E$90,'User Engagement'!$A37,Visits!$AF$2:$AF$90,"&gt;3/28/24")</f>
        <v>0</v>
      </c>
      <c r="S37" s="13">
        <f t="shared" si="2"/>
        <v>0</v>
      </c>
      <c r="T37" s="13">
        <f t="shared" si="3"/>
        <v>0</v>
      </c>
    </row>
    <row r="38" spans="1:20" ht="15.95">
      <c r="A38" t="str">
        <f>Users!A36</f>
        <v>eoghannaughton@hotmail.com</v>
      </c>
      <c r="B38" s="23"/>
      <c r="C38" s="23"/>
      <c r="D38" s="1" cm="1">
        <f t="array" ref="D38">MAX(_xlfn._xlws.FILTER(Visits!AF:AF,Visits!E:E='User Engagement'!A38))</f>
        <v>45480.583333333336</v>
      </c>
      <c r="E38">
        <f>COUNTIF(Visits!$E$2:$E$993,'User Engagement'!$A38)</f>
        <v>7</v>
      </c>
      <c r="F38">
        <f>COUNTIFS(Visits!$E$2:$E$993,'User Engagement'!$A39,Visits!$AF$2:$AF$993,"&gt;"&amp;($B$1-7))</f>
        <v>1</v>
      </c>
      <c r="G38">
        <f>COUNTIFS(Visits!$E$2:$E$993,'User Engagement'!$A38,Visits!$AF$2:$AF$993,"&gt;"&amp;($B$1-30))</f>
        <v>7</v>
      </c>
      <c r="H38">
        <f>COUNTIFS(Visits!$E$2:$E$993,$A38,Visits!$AF$2:$AF$993,"&gt;"&amp;($B$1-60))-G38</f>
        <v>0</v>
      </c>
      <c r="I38">
        <f>COUNTIFS(Visits!$AG:$AG,'New Dashboard'!$A$22,Visits!$E:$E,'User Engagement'!$A38)</f>
        <v>1</v>
      </c>
      <c r="J38">
        <f>COUNTIFS(Visits!$AG:$AG,'New Dashboard'!$A$23,Visits!$E:$E,'User Engagement'!$A38)</f>
        <v>1</v>
      </c>
      <c r="K38">
        <f>COUNTIFS(Visits!$AG:$AG,'New Dashboard'!$A$24,Visits!$E:$E,'User Engagement'!$A38)</f>
        <v>2</v>
      </c>
      <c r="L38">
        <f>COUNTIFS(Visits!$AG:$AG,'New Dashboard'!$A$25,Visits!$E:$E,'User Engagement'!$A38)</f>
        <v>3</v>
      </c>
      <c r="M38">
        <f t="shared" si="6"/>
        <v>0</v>
      </c>
      <c r="N38">
        <f t="shared" si="7"/>
        <v>1</v>
      </c>
      <c r="O38">
        <f t="shared" si="5"/>
        <v>0</v>
      </c>
      <c r="P38">
        <f t="shared" si="1"/>
        <v>1</v>
      </c>
      <c r="Q38" s="4">
        <f>SUMIF(Visits!$E$2:$E$90,'User Engagement'!$A38,Visits!$T$2:$T$90)</f>
        <v>30</v>
      </c>
      <c r="R38" s="4">
        <f>SUMIFS(Visits!$T$2:$T$90,Visits!$E$2:$E$90,'User Engagement'!$A38,Visits!$AF$2:$AF$90,"&gt;3/28/24")</f>
        <v>30</v>
      </c>
      <c r="S38" s="13">
        <f t="shared" si="2"/>
        <v>4.2857142857142856</v>
      </c>
      <c r="T38" s="13">
        <f t="shared" si="3"/>
        <v>4.2857142857142856</v>
      </c>
    </row>
    <row r="39" spans="1:20" ht="15.95">
      <c r="A39" t="str">
        <f>Users!A37</f>
        <v>estherchen314@gmail.com</v>
      </c>
      <c r="B39" s="23"/>
      <c r="C39" s="23"/>
      <c r="D39" s="1" cm="1">
        <f t="array" ref="D39">MAX(_xlfn._xlws.FILTER(Visits!AF:AF,Visits!E:E='User Engagement'!A39))</f>
        <v>45430</v>
      </c>
      <c r="E39">
        <f>COUNTIF(Visits!$E$2:$E$993,'User Engagement'!$A39)</f>
        <v>1</v>
      </c>
      <c r="F39">
        <f>COUNTIFS(Visits!$E$2:$E$993,'User Engagement'!$A40,Visits!$AF$2:$AF$993,"&gt;"&amp;($B$1-7))</f>
        <v>3</v>
      </c>
      <c r="G39">
        <f>COUNTIFS(Visits!$E$2:$E$993,'User Engagement'!$A39,Visits!$AF$2:$AF$993,"&gt;"&amp;($B$1-30))</f>
        <v>1</v>
      </c>
      <c r="H39">
        <f>COUNTIFS(Visits!$E$2:$E$993,$A39,Visits!$AF$2:$AF$993,"&gt;"&amp;($B$1-60))-G39</f>
        <v>0</v>
      </c>
      <c r="I39">
        <f>COUNTIFS(Visits!$AG:$AG,'New Dashboard'!$A$22,Visits!$E:$E,'User Engagement'!$A39)</f>
        <v>0</v>
      </c>
      <c r="J39">
        <f>COUNTIFS(Visits!$AG:$AG,'New Dashboard'!$A$23,Visits!$E:$E,'User Engagement'!$A39)</f>
        <v>0</v>
      </c>
      <c r="K39">
        <f>COUNTIFS(Visits!$AG:$AG,'New Dashboard'!$A$24,Visits!$E:$E,'User Engagement'!$A39)</f>
        <v>1</v>
      </c>
      <c r="L39">
        <f>COUNTIFS(Visits!$AG:$AG,'New Dashboard'!$A$25,Visits!$E:$E,'User Engagement'!$A39)</f>
        <v>0</v>
      </c>
      <c r="M39">
        <f t="shared" si="6"/>
        <v>0</v>
      </c>
      <c r="N39">
        <f t="shared" si="7"/>
        <v>1</v>
      </c>
      <c r="O39">
        <f t="shared" si="5"/>
        <v>0</v>
      </c>
      <c r="P39">
        <f t="shared" si="1"/>
        <v>0</v>
      </c>
      <c r="Q39" s="4">
        <f>SUMIF(Visits!$E$2:$E$90,'User Engagement'!$A39,Visits!$T$2:$T$90)</f>
        <v>0</v>
      </c>
      <c r="R39" s="4">
        <f>SUMIFS(Visits!$T$2:$T$90,Visits!$E$2:$E$90,'User Engagement'!$A39,Visits!$AF$2:$AF$90,"&gt;3/28/24")</f>
        <v>0</v>
      </c>
      <c r="S39" s="13">
        <f t="shared" si="2"/>
        <v>0</v>
      </c>
      <c r="T39" s="13">
        <f t="shared" si="3"/>
        <v>0</v>
      </c>
    </row>
    <row r="40" spans="1:20" ht="15.95">
      <c r="A40" t="str">
        <f>Users!A38</f>
        <v>alena.german.71@gmail.com</v>
      </c>
      <c r="B40" s="23"/>
      <c r="C40" s="23"/>
      <c r="D40" s="1" cm="1">
        <f t="array" ref="D40">MAX(_xlfn._xlws.FILTER(Visits!AF:AF,Visits!E:E='User Engagement'!A40))</f>
        <v>45487</v>
      </c>
      <c r="E40">
        <f>COUNTIF(Visits!$E$2:$E$993,'User Engagement'!$A40)</f>
        <v>3</v>
      </c>
      <c r="F40">
        <f>COUNTIFS(Visits!$E$2:$E$993,'User Engagement'!$A41,Visits!$AF$2:$AF$993,"&gt;"&amp;($B$1-7))</f>
        <v>1</v>
      </c>
      <c r="G40">
        <f>COUNTIFS(Visits!$E$2:$E$993,'User Engagement'!$A40,Visits!$AF$2:$AF$993,"&gt;"&amp;($B$1-30))</f>
        <v>3</v>
      </c>
      <c r="H40">
        <f>COUNTIFS(Visits!$E$2:$E$993,$A40,Visits!$AF$2:$AF$993,"&gt;"&amp;($B$1-60))-G40</f>
        <v>0</v>
      </c>
      <c r="I40">
        <f>COUNTIFS(Visits!$AG:$AG,'New Dashboard'!$A$22,Visits!$E:$E,'User Engagement'!$A40)</f>
        <v>1</v>
      </c>
      <c r="J40">
        <f>COUNTIFS(Visits!$AG:$AG,'New Dashboard'!$A$23,Visits!$E:$E,'User Engagement'!$A40)</f>
        <v>1</v>
      </c>
      <c r="K40">
        <f>COUNTIFS(Visits!$AG:$AG,'New Dashboard'!$A$24,Visits!$E:$E,'User Engagement'!$A40)</f>
        <v>1</v>
      </c>
      <c r="L40">
        <f>COUNTIFS(Visits!$AG:$AG,'New Dashboard'!$A$25,Visits!$E:$E,'User Engagement'!$A40)</f>
        <v>0</v>
      </c>
      <c r="M40">
        <f t="shared" si="6"/>
        <v>0</v>
      </c>
      <c r="N40">
        <f t="shared" si="7"/>
        <v>1</v>
      </c>
      <c r="O40">
        <f t="shared" si="5"/>
        <v>0</v>
      </c>
      <c r="P40">
        <f t="shared" si="1"/>
        <v>1</v>
      </c>
      <c r="Q40" s="4">
        <f>SUMIF(Visits!$E$2:$E$90,'User Engagement'!$A40,Visits!$T$2:$T$90)</f>
        <v>0</v>
      </c>
      <c r="R40" s="4">
        <f>SUMIFS(Visits!$T$2:$T$90,Visits!$E$2:$E$90,'User Engagement'!$A40,Visits!$AF$2:$AF$90,"&gt;3/28/24")</f>
        <v>0</v>
      </c>
      <c r="S40" s="13">
        <f t="shared" si="2"/>
        <v>0</v>
      </c>
      <c r="T40" s="13">
        <f t="shared" si="3"/>
        <v>0</v>
      </c>
    </row>
    <row r="41" spans="1:20" ht="15.95">
      <c r="A41" t="str">
        <f>Users!A39</f>
        <v>ezgicaakmak@gmail.com</v>
      </c>
      <c r="B41" s="23"/>
      <c r="C41" s="23"/>
      <c r="D41" s="1" cm="1">
        <f t="array" ref="D41">MAX(_xlfn._xlws.FILTER(Visits!AF:AF,Visits!E:E='User Engagement'!A41))</f>
        <v>45381</v>
      </c>
      <c r="E41">
        <f>COUNTIF(Visits!$E$2:$E$993,'User Engagement'!$A41)</f>
        <v>1</v>
      </c>
      <c r="F41">
        <f>COUNTIFS(Visits!$E$2:$E$993,'User Engagement'!$A42,Visits!$AF$2:$AF$993,"&gt;"&amp;($B$1-7))</f>
        <v>1</v>
      </c>
      <c r="G41">
        <f>COUNTIFS(Visits!$E$2:$E$993,'User Engagement'!$A41,Visits!$AF$2:$AF$993,"&gt;"&amp;($B$1-30))</f>
        <v>1</v>
      </c>
      <c r="H41">
        <f>COUNTIFS(Visits!$E$2:$E$993,$A41,Visits!$AF$2:$AF$993,"&gt;"&amp;($B$1-60))-G41</f>
        <v>0</v>
      </c>
      <c r="I41">
        <f>COUNTIFS(Visits!$AG:$AG,'New Dashboard'!$A$22,Visits!$E:$E,'User Engagement'!$A41)</f>
        <v>0</v>
      </c>
      <c r="J41">
        <f>COUNTIFS(Visits!$AG:$AG,'New Dashboard'!$A$23,Visits!$E:$E,'User Engagement'!$A41)</f>
        <v>0</v>
      </c>
      <c r="K41">
        <f>COUNTIFS(Visits!$AG:$AG,'New Dashboard'!$A$24,Visits!$E:$E,'User Engagement'!$A41)</f>
        <v>0</v>
      </c>
      <c r="L41">
        <f>COUNTIFS(Visits!$AG:$AG,'New Dashboard'!$A$25,Visits!$E:$E,'User Engagement'!$A41)</f>
        <v>0</v>
      </c>
      <c r="M41">
        <f t="shared" si="6"/>
        <v>1</v>
      </c>
      <c r="N41">
        <f t="shared" si="7"/>
        <v>1</v>
      </c>
      <c r="O41">
        <f t="shared" si="5"/>
        <v>0</v>
      </c>
      <c r="P41">
        <f t="shared" si="1"/>
        <v>0</v>
      </c>
      <c r="Q41" s="4">
        <f>SUMIF(Visits!$E$2:$E$90,'User Engagement'!$A41,Visits!$T$2:$T$90)</f>
        <v>5</v>
      </c>
      <c r="R41" s="4">
        <f>SUMIFS(Visits!$T$2:$T$90,Visits!$E$2:$E$90,'User Engagement'!$A41,Visits!$AF$2:$AF$90,"&gt;3/28/24")</f>
        <v>5</v>
      </c>
      <c r="S41" s="13">
        <f t="shared" si="2"/>
        <v>5</v>
      </c>
      <c r="T41" s="13">
        <f t="shared" si="3"/>
        <v>5</v>
      </c>
    </row>
    <row r="42" spans="1:20" ht="15.95">
      <c r="A42" t="str">
        <f>Users!A40</f>
        <v>federica.martini@live.it</v>
      </c>
      <c r="B42" s="23"/>
      <c r="C42" s="23"/>
      <c r="D42" s="1" cm="1">
        <f t="array" ref="D42">MAX(_xlfn._xlws.FILTER(Visits!AF:AF,Visits!E:E='User Engagement'!A42))</f>
        <v>45408</v>
      </c>
      <c r="E42">
        <f>COUNTIF(Visits!$E$2:$E$993,'User Engagement'!$A42)</f>
        <v>1</v>
      </c>
      <c r="F42">
        <f>COUNTIFS(Visits!$E$2:$E$993,'User Engagement'!$A43,Visits!$AF$2:$AF$993,"&gt;"&amp;($B$1-7))</f>
        <v>0</v>
      </c>
      <c r="G42">
        <f>COUNTIFS(Visits!$E$2:$E$993,'User Engagement'!$A42,Visits!$AF$2:$AF$993,"&gt;"&amp;($B$1-30))</f>
        <v>1</v>
      </c>
      <c r="H42">
        <f>COUNTIFS(Visits!$E$2:$E$993,$A42,Visits!$AF$2:$AF$993,"&gt;"&amp;($B$1-60))-G42</f>
        <v>0</v>
      </c>
      <c r="I42">
        <f>COUNTIFS(Visits!$AG:$AG,'New Dashboard'!$A$22,Visits!$E:$E,'User Engagement'!$A42)</f>
        <v>0</v>
      </c>
      <c r="J42">
        <f>COUNTIFS(Visits!$AG:$AG,'New Dashboard'!$A$23,Visits!$E:$E,'User Engagement'!$A42)</f>
        <v>0</v>
      </c>
      <c r="K42">
        <f>COUNTIFS(Visits!$AG:$AG,'New Dashboard'!$A$24,Visits!$E:$E,'User Engagement'!$A42)</f>
        <v>0</v>
      </c>
      <c r="L42">
        <f>COUNTIFS(Visits!$AG:$AG,'New Dashboard'!$A$25,Visits!$E:$E,'User Engagement'!$A42)</f>
        <v>1</v>
      </c>
      <c r="M42">
        <f t="shared" si="6"/>
        <v>0</v>
      </c>
      <c r="N42">
        <f t="shared" si="7"/>
        <v>1</v>
      </c>
      <c r="O42">
        <f t="shared" si="5"/>
        <v>0</v>
      </c>
      <c r="P42">
        <f t="shared" si="1"/>
        <v>0</v>
      </c>
      <c r="Q42" s="4">
        <f>SUMIF(Visits!$E$2:$E$90,'User Engagement'!$A42,Visits!$T$2:$T$90)</f>
        <v>0</v>
      </c>
      <c r="R42" s="4">
        <f>SUMIFS(Visits!$T$2:$T$90,Visits!$E$2:$E$90,'User Engagement'!$A42,Visits!$AF$2:$AF$90,"&gt;3/28/24")</f>
        <v>0</v>
      </c>
      <c r="S42" s="13">
        <f t="shared" si="2"/>
        <v>0</v>
      </c>
      <c r="T42" s="13">
        <f t="shared" si="3"/>
        <v>0</v>
      </c>
    </row>
    <row r="43" spans="1:20" ht="15.95">
      <c r="A43">
        <f>Users!A41</f>
        <v>0</v>
      </c>
      <c r="B43" s="23"/>
      <c r="C43" s="23"/>
      <c r="D43" s="1" cm="1">
        <f t="array" ref="D43">MAX(_xlfn._xlws.FILTER(Visits!AF:AF,Visits!E:E='User Engagement'!A43))</f>
        <v>45434</v>
      </c>
      <c r="E43">
        <f>COUNTIF(Visits!$E$2:$E$993,'User Engagement'!$A43)</f>
        <v>0</v>
      </c>
      <c r="F43">
        <f>COUNTIFS(Visits!$E$2:$E$993,'User Engagement'!$A44,Visits!$AF$2:$AF$993,"&gt;"&amp;($B$1-7))</f>
        <v>2</v>
      </c>
      <c r="G43">
        <f>COUNTIFS(Visits!$E$2:$E$993,'User Engagement'!$A43,Visits!$AF$2:$AF$993,"&gt;"&amp;($B$1-30))</f>
        <v>0</v>
      </c>
      <c r="H43">
        <f>COUNTIFS(Visits!$E$2:$E$993,$A43,Visits!$AF$2:$AF$993,"&gt;"&amp;($B$1-60))-G43</f>
        <v>0</v>
      </c>
      <c r="I43">
        <f>COUNTIFS(Visits!$AG:$AG,'New Dashboard'!$A$22,Visits!$E:$E,'User Engagement'!$A43)</f>
        <v>0</v>
      </c>
      <c r="J43">
        <f>COUNTIFS(Visits!$AG:$AG,'New Dashboard'!$A$23,Visits!$E:$E,'User Engagement'!$A43)</f>
        <v>0</v>
      </c>
      <c r="K43">
        <f>COUNTIFS(Visits!$AG:$AG,'New Dashboard'!$A$24,Visits!$E:$E,'User Engagement'!$A43)</f>
        <v>0</v>
      </c>
      <c r="L43">
        <f>COUNTIFS(Visits!$AG:$AG,'New Dashboard'!$A$25,Visits!$E:$E,'User Engagement'!$A43)</f>
        <v>0</v>
      </c>
      <c r="M43">
        <f t="shared" si="6"/>
        <v>0</v>
      </c>
      <c r="N43">
        <f t="shared" si="7"/>
        <v>0</v>
      </c>
      <c r="O43">
        <f t="shared" si="5"/>
        <v>0</v>
      </c>
      <c r="P43">
        <f t="shared" si="1"/>
        <v>0</v>
      </c>
      <c r="Q43" s="4">
        <f>SUMIF(Visits!$E$2:$E$90,'User Engagement'!$A43,Visits!$T$2:$T$90)</f>
        <v>0</v>
      </c>
      <c r="R43" s="4">
        <f>SUMIFS(Visits!$T$2:$T$90,Visits!$E$2:$E$90,'User Engagement'!$A43,Visits!$AF$2:$AF$90,"&gt;3/28/24")</f>
        <v>0</v>
      </c>
      <c r="S43" s="13" t="e">
        <f t="shared" si="2"/>
        <v>#DIV/0!</v>
      </c>
      <c r="T43" s="13" t="str">
        <f t="shared" si="3"/>
        <v>n/a</v>
      </c>
    </row>
    <row r="44" spans="1:20" ht="15.95">
      <c r="A44" t="str">
        <f>Users!A42</f>
        <v>6.saracchi@gmail.com</v>
      </c>
      <c r="B44" s="23"/>
      <c r="C44" s="23"/>
      <c r="D44" s="1" cm="1">
        <f t="array" ref="D44">MAX(_xlfn._xlws.FILTER(Visits!AF:AF,Visits!E:E='User Engagement'!A44))</f>
        <v>45437</v>
      </c>
      <c r="E44">
        <f>COUNTIF(Visits!$E$2:$E$993,'User Engagement'!$A44)</f>
        <v>2</v>
      </c>
      <c r="F44">
        <f>COUNTIFS(Visits!$E$2:$E$993,'User Engagement'!$A45,Visits!$AF$2:$AF$993,"&gt;"&amp;($B$1-7))</f>
        <v>3</v>
      </c>
      <c r="G44">
        <f>COUNTIFS(Visits!$E$2:$E$993,'User Engagement'!$A44,Visits!$AF$2:$AF$993,"&gt;"&amp;($B$1-30))</f>
        <v>2</v>
      </c>
      <c r="H44">
        <f>COUNTIFS(Visits!$E$2:$E$993,$A44,Visits!$AF$2:$AF$993,"&gt;"&amp;($B$1-60))-G44</f>
        <v>0</v>
      </c>
      <c r="I44">
        <f>COUNTIFS(Visits!$AG:$AG,'New Dashboard'!$A$22,Visits!$E:$E,'User Engagement'!$A44)</f>
        <v>0</v>
      </c>
      <c r="J44">
        <f>COUNTIFS(Visits!$AG:$AG,'New Dashboard'!$A$23,Visits!$E:$E,'User Engagement'!$A44)</f>
        <v>0</v>
      </c>
      <c r="K44">
        <f>COUNTIFS(Visits!$AG:$AG,'New Dashboard'!$A$24,Visits!$E:$E,'User Engagement'!$A44)</f>
        <v>2</v>
      </c>
      <c r="L44">
        <f>COUNTIFS(Visits!$AG:$AG,'New Dashboard'!$A$25,Visits!$E:$E,'User Engagement'!$A44)</f>
        <v>0</v>
      </c>
      <c r="M44">
        <f t="shared" si="6"/>
        <v>0</v>
      </c>
      <c r="N44">
        <f t="shared" si="7"/>
        <v>1</v>
      </c>
      <c r="O44">
        <f t="shared" si="5"/>
        <v>0</v>
      </c>
      <c r="P44">
        <f t="shared" si="1"/>
        <v>0</v>
      </c>
      <c r="Q44" s="4">
        <f>SUMIF(Visits!$E$2:$E$90,'User Engagement'!$A44,Visits!$T$2:$T$90)</f>
        <v>0</v>
      </c>
      <c r="R44" s="4">
        <f>SUMIFS(Visits!$T$2:$T$90,Visits!$E$2:$E$90,'User Engagement'!$A44,Visits!$AF$2:$AF$90,"&gt;3/28/24")</f>
        <v>0</v>
      </c>
      <c r="S44" s="13">
        <f t="shared" si="2"/>
        <v>0</v>
      </c>
      <c r="T44" s="13">
        <f t="shared" si="3"/>
        <v>0</v>
      </c>
    </row>
    <row r="45" spans="1:20" ht="15.95">
      <c r="A45" t="str">
        <f>Users!A43</f>
        <v>gilka5@hotmail.com</v>
      </c>
      <c r="B45" s="23"/>
      <c r="C45" s="23"/>
      <c r="D45" s="1" cm="1">
        <f t="array" ref="D45">MAX(_xlfn._xlws.FILTER(Visits!AF:AF,Visits!E:E='User Engagement'!A45))</f>
        <v>45451.583333333336</v>
      </c>
      <c r="E45">
        <f>COUNTIF(Visits!$E$2:$E$993,'User Engagement'!$A45)</f>
        <v>3</v>
      </c>
      <c r="F45">
        <f>COUNTIFS(Visits!$E$2:$E$993,'User Engagement'!$A46,Visits!$AF$2:$AF$993,"&gt;"&amp;($B$1-7))</f>
        <v>2</v>
      </c>
      <c r="G45">
        <f>COUNTIFS(Visits!$E$2:$E$993,'User Engagement'!$A45,Visits!$AF$2:$AF$993,"&gt;"&amp;($B$1-30))</f>
        <v>3</v>
      </c>
      <c r="H45">
        <f>COUNTIFS(Visits!$E$2:$E$993,$A45,Visits!$AF$2:$AF$993,"&gt;"&amp;($B$1-60))-G45</f>
        <v>0</v>
      </c>
      <c r="I45">
        <f>COUNTIFS(Visits!$AG:$AG,'New Dashboard'!$A$22,Visits!$E:$E,'User Engagement'!$A45)</f>
        <v>0</v>
      </c>
      <c r="J45">
        <f>COUNTIFS(Visits!$AG:$AG,'New Dashboard'!$A$23,Visits!$E:$E,'User Engagement'!$A45)</f>
        <v>1</v>
      </c>
      <c r="K45">
        <f>COUNTIFS(Visits!$AG:$AG,'New Dashboard'!$A$24,Visits!$E:$E,'User Engagement'!$A45)</f>
        <v>2</v>
      </c>
      <c r="L45">
        <f>COUNTIFS(Visits!$AG:$AG,'New Dashboard'!$A$25,Visits!$E:$E,'User Engagement'!$A45)</f>
        <v>0</v>
      </c>
      <c r="M45">
        <f t="shared" si="6"/>
        <v>0</v>
      </c>
      <c r="N45">
        <f t="shared" si="7"/>
        <v>1</v>
      </c>
      <c r="O45">
        <f t="shared" si="5"/>
        <v>0</v>
      </c>
      <c r="P45">
        <f t="shared" si="1"/>
        <v>1</v>
      </c>
      <c r="Q45" s="4">
        <f>SUMIF(Visits!$E$2:$E$90,'User Engagement'!$A45,Visits!$T$2:$T$90)</f>
        <v>0</v>
      </c>
      <c r="R45" s="4">
        <f>SUMIFS(Visits!$T$2:$T$90,Visits!$E$2:$E$90,'User Engagement'!$A45,Visits!$AF$2:$AF$90,"&gt;3/28/24")</f>
        <v>0</v>
      </c>
      <c r="S45" s="13">
        <f t="shared" si="2"/>
        <v>0</v>
      </c>
      <c r="T45" s="13">
        <f t="shared" si="3"/>
        <v>0</v>
      </c>
    </row>
    <row r="46" spans="1:20" ht="15.95">
      <c r="A46" t="str">
        <f>Users!A44</f>
        <v>hanna.niczyporuk@gmail.com</v>
      </c>
      <c r="B46" s="23"/>
      <c r="C46" s="23"/>
      <c r="D46" s="1" cm="1">
        <f t="array" ref="D46">MAX(_xlfn._xlws.FILTER(Visits!AF:AF,Visits!E:E='User Engagement'!A46))</f>
        <v>45402</v>
      </c>
      <c r="E46">
        <f>COUNTIF(Visits!$E$2:$E$993,'User Engagement'!$A46)</f>
        <v>2</v>
      </c>
      <c r="F46">
        <f>COUNTIFS(Visits!$E$2:$E$993,'User Engagement'!$A47,Visits!$AF$2:$AF$993,"&gt;"&amp;($B$1-7))</f>
        <v>5</v>
      </c>
      <c r="G46">
        <f>COUNTIFS(Visits!$E$2:$E$993,'User Engagement'!$A46,Visits!$AF$2:$AF$993,"&gt;"&amp;($B$1-30))</f>
        <v>2</v>
      </c>
      <c r="H46">
        <f>COUNTIFS(Visits!$E$2:$E$993,$A46,Visits!$AF$2:$AF$993,"&gt;"&amp;($B$1-60))-G46</f>
        <v>0</v>
      </c>
      <c r="I46">
        <f>COUNTIFS(Visits!$AG:$AG,'New Dashboard'!$A$22,Visits!$E:$E,'User Engagement'!$A46)</f>
        <v>0</v>
      </c>
      <c r="J46">
        <f>COUNTIFS(Visits!$AG:$AG,'New Dashboard'!$A$23,Visits!$E:$E,'User Engagement'!$A46)</f>
        <v>0</v>
      </c>
      <c r="K46">
        <f>COUNTIFS(Visits!$AG:$AG,'New Dashboard'!$A$24,Visits!$E:$E,'User Engagement'!$A46)</f>
        <v>0</v>
      </c>
      <c r="L46">
        <f>COUNTIFS(Visits!$AG:$AG,'New Dashboard'!$A$25,Visits!$E:$E,'User Engagement'!$A46)</f>
        <v>2</v>
      </c>
      <c r="M46">
        <f t="shared" si="6"/>
        <v>0</v>
      </c>
      <c r="N46">
        <f t="shared" si="7"/>
        <v>1</v>
      </c>
      <c r="O46">
        <f t="shared" si="5"/>
        <v>0</v>
      </c>
      <c r="P46">
        <f t="shared" si="1"/>
        <v>0</v>
      </c>
      <c r="Q46" s="4">
        <f>SUMIF(Visits!$E$2:$E$90,'User Engagement'!$A46,Visits!$T$2:$T$90)</f>
        <v>30</v>
      </c>
      <c r="R46" s="4">
        <f>SUMIFS(Visits!$T$2:$T$90,Visits!$E$2:$E$90,'User Engagement'!$A46,Visits!$AF$2:$AF$90,"&gt;3/28/24")</f>
        <v>30</v>
      </c>
      <c r="S46" s="13">
        <f t="shared" si="2"/>
        <v>15</v>
      </c>
      <c r="T46" s="13">
        <f t="shared" si="3"/>
        <v>15</v>
      </c>
    </row>
    <row r="47" spans="1:20" ht="15.95">
      <c r="A47" t="str">
        <f>Users!A45</f>
        <v>io.brezeanu@gmail.com</v>
      </c>
      <c r="B47" s="23"/>
      <c r="C47" s="23"/>
      <c r="D47" s="1" cm="1">
        <f t="array" ref="D47">MAX(_xlfn._xlws.FILTER(Visits!AF:AF,Visits!E:E='User Engagement'!A47))</f>
        <v>45480.583333333336</v>
      </c>
      <c r="E47">
        <f>COUNTIF(Visits!$E$2:$E$993,'User Engagement'!$A47)</f>
        <v>5</v>
      </c>
      <c r="F47">
        <f>COUNTIFS(Visits!$E$2:$E$993,'User Engagement'!$A48,Visits!$AF$2:$AF$993,"&gt;"&amp;($B$1-7))</f>
        <v>1</v>
      </c>
      <c r="G47">
        <f>COUNTIFS(Visits!$E$2:$E$993,'User Engagement'!$A47,Visits!$AF$2:$AF$993,"&gt;"&amp;($B$1-30))</f>
        <v>5</v>
      </c>
      <c r="H47">
        <f>COUNTIFS(Visits!$E$2:$E$993,$A47,Visits!$AF$2:$AF$993,"&gt;"&amp;($B$1-60))-G47</f>
        <v>0</v>
      </c>
      <c r="I47">
        <f>COUNTIFS(Visits!$AG:$AG,'New Dashboard'!$A$22,Visits!$E:$E,'User Engagement'!$A47)</f>
        <v>1</v>
      </c>
      <c r="J47">
        <f>COUNTIFS(Visits!$AG:$AG,'New Dashboard'!$A$23,Visits!$E:$E,'User Engagement'!$A47)</f>
        <v>2</v>
      </c>
      <c r="K47">
        <f>COUNTIFS(Visits!$AG:$AG,'New Dashboard'!$A$24,Visits!$E:$E,'User Engagement'!$A47)</f>
        <v>2</v>
      </c>
      <c r="L47">
        <f>COUNTIFS(Visits!$AG:$AG,'New Dashboard'!$A$25,Visits!$E:$E,'User Engagement'!$A47)</f>
        <v>0</v>
      </c>
      <c r="M47">
        <f t="shared" si="6"/>
        <v>0</v>
      </c>
      <c r="N47">
        <f t="shared" si="7"/>
        <v>1</v>
      </c>
      <c r="O47">
        <f t="shared" si="5"/>
        <v>0</v>
      </c>
      <c r="P47">
        <f t="shared" si="1"/>
        <v>1</v>
      </c>
      <c r="Q47" s="4">
        <f>SUMIF(Visits!$E$2:$E$90,'User Engagement'!$A47,Visits!$T$2:$T$90)</f>
        <v>0</v>
      </c>
      <c r="R47" s="4">
        <f>SUMIFS(Visits!$T$2:$T$90,Visits!$E$2:$E$90,'User Engagement'!$A47,Visits!$AF$2:$AF$90,"&gt;3/28/24")</f>
        <v>0</v>
      </c>
      <c r="S47" s="13">
        <f t="shared" si="2"/>
        <v>0</v>
      </c>
      <c r="T47" s="13">
        <f t="shared" si="3"/>
        <v>0</v>
      </c>
    </row>
    <row r="48" spans="1:20" ht="15.95">
      <c r="A48" t="str">
        <f>Users!A46</f>
        <v>taam.isadora@gmail.com</v>
      </c>
      <c r="B48" s="23"/>
      <c r="C48" s="23"/>
      <c r="D48" s="1" cm="1">
        <f t="array" ref="D48">MAX(_xlfn._xlws.FILTER(Visits!AF:AF,Visits!E:E='User Engagement'!A48))</f>
        <v>45388</v>
      </c>
      <c r="E48">
        <f>COUNTIF(Visits!$E$2:$E$993,'User Engagement'!$A48)</f>
        <v>1</v>
      </c>
      <c r="F48">
        <f>COUNTIFS(Visits!$E$2:$E$993,'User Engagement'!$A49,Visits!$AF$2:$AF$993,"&gt;"&amp;($B$1-7))</f>
        <v>1</v>
      </c>
      <c r="G48">
        <f>COUNTIFS(Visits!$E$2:$E$993,'User Engagement'!$A48,Visits!$AF$2:$AF$993,"&gt;"&amp;($B$1-30))</f>
        <v>1</v>
      </c>
      <c r="H48">
        <f>COUNTIFS(Visits!$E$2:$E$993,$A48,Visits!$AF$2:$AF$993,"&gt;"&amp;($B$1-60))-G48</f>
        <v>0</v>
      </c>
      <c r="I48">
        <f>COUNTIFS(Visits!$AG:$AG,'New Dashboard'!$A$22,Visits!$E:$E,'User Engagement'!$A48)</f>
        <v>0</v>
      </c>
      <c r="J48">
        <f>COUNTIFS(Visits!$AG:$AG,'New Dashboard'!$A$23,Visits!$E:$E,'User Engagement'!$A48)</f>
        <v>0</v>
      </c>
      <c r="K48">
        <f>COUNTIFS(Visits!$AG:$AG,'New Dashboard'!$A$24,Visits!$E:$E,'User Engagement'!$A48)</f>
        <v>0</v>
      </c>
      <c r="L48">
        <f>COUNTIFS(Visits!$AG:$AG,'New Dashboard'!$A$25,Visits!$E:$E,'User Engagement'!$A48)</f>
        <v>1</v>
      </c>
      <c r="M48">
        <f t="shared" si="6"/>
        <v>1</v>
      </c>
      <c r="N48">
        <f t="shared" si="7"/>
        <v>1</v>
      </c>
      <c r="O48">
        <f t="shared" si="5"/>
        <v>0</v>
      </c>
      <c r="P48">
        <f t="shared" si="1"/>
        <v>0</v>
      </c>
      <c r="Q48" s="4">
        <f>SUMIF(Visits!$E$2:$E$90,'User Engagement'!$A48,Visits!$T$2:$T$90)</f>
        <v>15</v>
      </c>
      <c r="R48" s="4">
        <f>SUMIFS(Visits!$T$2:$T$90,Visits!$E$2:$E$90,'User Engagement'!$A48,Visits!$AF$2:$AF$90,"&gt;3/28/24")</f>
        <v>15</v>
      </c>
      <c r="S48" s="13">
        <f t="shared" si="2"/>
        <v>15</v>
      </c>
      <c r="T48" s="13">
        <f t="shared" si="3"/>
        <v>15</v>
      </c>
    </row>
    <row r="49" spans="1:20" ht="15.95">
      <c r="A49" t="str">
        <f>Users!A47</f>
        <v>jz548282@gmail.com</v>
      </c>
      <c r="B49" s="23"/>
      <c r="C49" s="23"/>
      <c r="D49" s="1" cm="1">
        <f t="array" ref="D49">MAX(_xlfn._xlws.FILTER(Visits!AF:AF,Visits!E:E='User Engagement'!A49))</f>
        <v>45402</v>
      </c>
      <c r="E49">
        <f>COUNTIF(Visits!$E$2:$E$993,'User Engagement'!$A49)</f>
        <v>1</v>
      </c>
      <c r="F49">
        <f>COUNTIFS(Visits!$E$2:$E$993,'User Engagement'!$A50,Visits!$AF$2:$AF$993,"&gt;"&amp;($B$1-7))</f>
        <v>1</v>
      </c>
      <c r="G49">
        <f>COUNTIFS(Visits!$E$2:$E$993,'User Engagement'!$A49,Visits!$AF$2:$AF$993,"&gt;"&amp;($B$1-30))</f>
        <v>1</v>
      </c>
      <c r="H49">
        <f>COUNTIFS(Visits!$E$2:$E$993,$A49,Visits!$AF$2:$AF$993,"&gt;"&amp;($B$1-60))-G49</f>
        <v>0</v>
      </c>
      <c r="I49">
        <f>COUNTIFS(Visits!$AG:$AG,'New Dashboard'!$A$22,Visits!$E:$E,'User Engagement'!$A49)</f>
        <v>0</v>
      </c>
      <c r="J49">
        <f>COUNTIFS(Visits!$AG:$AG,'New Dashboard'!$A$23,Visits!$E:$E,'User Engagement'!$A49)</f>
        <v>0</v>
      </c>
      <c r="K49">
        <f>COUNTIFS(Visits!$AG:$AG,'New Dashboard'!$A$24,Visits!$E:$E,'User Engagement'!$A49)</f>
        <v>0</v>
      </c>
      <c r="L49">
        <f>COUNTIFS(Visits!$AG:$AG,'New Dashboard'!$A$25,Visits!$E:$E,'User Engagement'!$A49)</f>
        <v>1</v>
      </c>
      <c r="M49">
        <f t="shared" si="6"/>
        <v>1</v>
      </c>
      <c r="N49">
        <f t="shared" si="7"/>
        <v>1</v>
      </c>
      <c r="O49">
        <f t="shared" si="5"/>
        <v>0</v>
      </c>
      <c r="P49">
        <f t="shared" si="1"/>
        <v>0</v>
      </c>
      <c r="Q49" s="4">
        <f>SUMIF(Visits!$E$2:$E$90,'User Engagement'!$A49,Visits!$T$2:$T$90)</f>
        <v>10</v>
      </c>
      <c r="R49" s="4">
        <f>SUMIFS(Visits!$T$2:$T$90,Visits!$E$2:$E$90,'User Engagement'!$A49,Visits!$AF$2:$AF$90,"&gt;3/28/24")</f>
        <v>10</v>
      </c>
      <c r="S49" s="13">
        <f t="shared" si="2"/>
        <v>10</v>
      </c>
      <c r="T49" s="13">
        <f t="shared" si="3"/>
        <v>10</v>
      </c>
    </row>
    <row r="50" spans="1:20" ht="15.95">
      <c r="A50" t="str">
        <f>Users!A48</f>
        <v>jinishgohil@yahoo.co.in</v>
      </c>
      <c r="B50" s="23"/>
      <c r="C50" s="23"/>
      <c r="D50" s="1" cm="1">
        <f t="array" ref="D50">MAX(_xlfn._xlws.FILTER(Visits!AF:AF,Visits!E:E='User Engagement'!A50))</f>
        <v>45402</v>
      </c>
      <c r="E50">
        <f>COUNTIF(Visits!$E$2:$E$993,'User Engagement'!$A50)</f>
        <v>1</v>
      </c>
      <c r="F50">
        <f>COUNTIFS(Visits!$E$2:$E$993,'User Engagement'!$A51,Visits!$AF$2:$AF$993,"&gt;"&amp;($B$1-7))</f>
        <v>1</v>
      </c>
      <c r="G50">
        <f>COUNTIFS(Visits!$E$2:$E$993,'User Engagement'!$A50,Visits!$AF$2:$AF$993,"&gt;"&amp;($B$1-30))</f>
        <v>1</v>
      </c>
      <c r="H50">
        <f>COUNTIFS(Visits!$E$2:$E$993,$A50,Visits!$AF$2:$AF$993,"&gt;"&amp;($B$1-60))-G50</f>
        <v>0</v>
      </c>
      <c r="I50">
        <f>COUNTIFS(Visits!$AG:$AG,'New Dashboard'!$A$22,Visits!$E:$E,'User Engagement'!$A50)</f>
        <v>0</v>
      </c>
      <c r="J50">
        <f>COUNTIFS(Visits!$AG:$AG,'New Dashboard'!$A$23,Visits!$E:$E,'User Engagement'!$A50)</f>
        <v>0</v>
      </c>
      <c r="K50">
        <f>COUNTIFS(Visits!$AG:$AG,'New Dashboard'!$A$24,Visits!$E:$E,'User Engagement'!$A50)</f>
        <v>0</v>
      </c>
      <c r="L50">
        <f>COUNTIFS(Visits!$AG:$AG,'New Dashboard'!$A$25,Visits!$E:$E,'User Engagement'!$A50)</f>
        <v>1</v>
      </c>
      <c r="M50">
        <f t="shared" si="6"/>
        <v>1</v>
      </c>
      <c r="N50">
        <f t="shared" si="7"/>
        <v>1</v>
      </c>
      <c r="O50">
        <f t="shared" si="5"/>
        <v>0</v>
      </c>
      <c r="P50">
        <f t="shared" si="1"/>
        <v>0</v>
      </c>
      <c r="Q50" s="4">
        <f>SUMIF(Visits!$E$2:$E$90,'User Engagement'!$A50,Visits!$T$2:$T$90)</f>
        <v>15</v>
      </c>
      <c r="R50" s="4">
        <f>SUMIFS(Visits!$T$2:$T$90,Visits!$E$2:$E$90,'User Engagement'!$A50,Visits!$AF$2:$AF$90,"&gt;3/28/24")</f>
        <v>15</v>
      </c>
      <c r="S50" s="13">
        <f t="shared" si="2"/>
        <v>15</v>
      </c>
      <c r="T50" s="13">
        <f t="shared" si="3"/>
        <v>15</v>
      </c>
    </row>
    <row r="51" spans="1:20" ht="15.95">
      <c r="A51" t="str">
        <f>Users!A49</f>
        <v>jon.chikly@gmail.com</v>
      </c>
      <c r="B51" s="23"/>
      <c r="C51" s="23"/>
      <c r="D51" s="1" cm="1">
        <f t="array" ref="D51">MAX(_xlfn._xlws.FILTER(Visits!AF:AF,Visits!E:E='User Engagement'!A51))</f>
        <v>45388</v>
      </c>
      <c r="E51">
        <f>COUNTIF(Visits!$E$2:$E$993,'User Engagement'!$A51)</f>
        <v>1</v>
      </c>
      <c r="F51">
        <f>COUNTIFS(Visits!$E$2:$E$993,'User Engagement'!$A52,Visits!$AF$2:$AF$993,"&gt;"&amp;($B$1-7))</f>
        <v>3</v>
      </c>
      <c r="G51">
        <f>COUNTIFS(Visits!$E$2:$E$993,'User Engagement'!$A51,Visits!$AF$2:$AF$993,"&gt;"&amp;($B$1-30))</f>
        <v>1</v>
      </c>
      <c r="H51">
        <f>COUNTIFS(Visits!$E$2:$E$993,$A51,Visits!$AF$2:$AF$993,"&gt;"&amp;($B$1-60))-G51</f>
        <v>0</v>
      </c>
      <c r="I51">
        <f>COUNTIFS(Visits!$AG:$AG,'New Dashboard'!$A$22,Visits!$E:$E,'User Engagement'!$A51)</f>
        <v>0</v>
      </c>
      <c r="J51">
        <f>COUNTIFS(Visits!$AG:$AG,'New Dashboard'!$A$23,Visits!$E:$E,'User Engagement'!$A51)</f>
        <v>0</v>
      </c>
      <c r="K51">
        <f>COUNTIFS(Visits!$AG:$AG,'New Dashboard'!$A$24,Visits!$E:$E,'User Engagement'!$A51)</f>
        <v>0</v>
      </c>
      <c r="L51">
        <f>COUNTIFS(Visits!$AG:$AG,'New Dashboard'!$A$25,Visits!$E:$E,'User Engagement'!$A51)</f>
        <v>1</v>
      </c>
      <c r="M51">
        <f t="shared" si="6"/>
        <v>0</v>
      </c>
      <c r="N51">
        <f t="shared" si="7"/>
        <v>1</v>
      </c>
      <c r="O51">
        <f t="shared" si="5"/>
        <v>0</v>
      </c>
      <c r="P51">
        <f t="shared" si="1"/>
        <v>0</v>
      </c>
      <c r="Q51" s="4">
        <f>SUMIF(Visits!$E$2:$E$90,'User Engagement'!$A51,Visits!$T$2:$T$90)</f>
        <v>15</v>
      </c>
      <c r="R51" s="4">
        <f>SUMIFS(Visits!$T$2:$T$90,Visits!$E$2:$E$90,'User Engagement'!$A51,Visits!$AF$2:$AF$90,"&gt;3/28/24")</f>
        <v>15</v>
      </c>
      <c r="S51" s="13">
        <f t="shared" si="2"/>
        <v>15</v>
      </c>
      <c r="T51" s="13">
        <f t="shared" si="3"/>
        <v>15</v>
      </c>
    </row>
    <row r="52" spans="1:20" ht="15.95">
      <c r="A52" t="str">
        <f>Users!A50</f>
        <v>juanpablo.dltc@gmail.com</v>
      </c>
      <c r="B52" s="23"/>
      <c r="C52" s="23"/>
      <c r="D52" s="1" cm="1">
        <f t="array" ref="D52">MAX(_xlfn._xlws.FILTER(Visits!AF:AF,Visits!E:E='User Engagement'!A52))</f>
        <v>45501</v>
      </c>
      <c r="E52">
        <f>COUNTIF(Visits!$E$2:$E$993,'User Engagement'!$A52)</f>
        <v>3</v>
      </c>
      <c r="F52">
        <f>COUNTIFS(Visits!$E$2:$E$993,'User Engagement'!$A53,Visits!$AF$2:$AF$993,"&gt;"&amp;($B$1-7))</f>
        <v>1</v>
      </c>
      <c r="G52">
        <f>COUNTIFS(Visits!$E$2:$E$993,'User Engagement'!$A52,Visits!$AF$2:$AF$993,"&gt;"&amp;($B$1-30))</f>
        <v>3</v>
      </c>
      <c r="H52">
        <f>COUNTIFS(Visits!$E$2:$E$993,$A52,Visits!$AF$2:$AF$993,"&gt;"&amp;($B$1-60))-G52</f>
        <v>0</v>
      </c>
      <c r="I52">
        <f>COUNTIFS(Visits!$AG:$AG,'New Dashboard'!$A$22,Visits!$E:$E,'User Engagement'!$A52)</f>
        <v>2</v>
      </c>
      <c r="J52">
        <f>COUNTIFS(Visits!$AG:$AG,'New Dashboard'!$A$23,Visits!$E:$E,'User Engagement'!$A52)</f>
        <v>1</v>
      </c>
      <c r="K52">
        <f>COUNTIFS(Visits!$AG:$AG,'New Dashboard'!$A$24,Visits!$E:$E,'User Engagement'!$A52)</f>
        <v>0</v>
      </c>
      <c r="L52">
        <f>COUNTIFS(Visits!$AG:$AG,'New Dashboard'!$A$25,Visits!$E:$E,'User Engagement'!$A52)</f>
        <v>0</v>
      </c>
      <c r="M52">
        <f t="shared" si="6"/>
        <v>0</v>
      </c>
      <c r="N52">
        <f t="shared" si="7"/>
        <v>1</v>
      </c>
      <c r="O52">
        <f t="shared" si="5"/>
        <v>0</v>
      </c>
      <c r="P52">
        <f t="shared" si="1"/>
        <v>1</v>
      </c>
      <c r="Q52" s="4">
        <f>SUMIF(Visits!$E$2:$E$90,'User Engagement'!$A52,Visits!$T$2:$T$90)</f>
        <v>0</v>
      </c>
      <c r="R52" s="4">
        <f>SUMIFS(Visits!$T$2:$T$90,Visits!$E$2:$E$90,'User Engagement'!$A52,Visits!$AF$2:$AF$90,"&gt;3/28/24")</f>
        <v>0</v>
      </c>
      <c r="S52" s="13">
        <f t="shared" si="2"/>
        <v>0</v>
      </c>
      <c r="T52" s="13">
        <f t="shared" si="3"/>
        <v>0</v>
      </c>
    </row>
    <row r="53" spans="1:20" ht="15.95">
      <c r="A53" t="str">
        <f>Users!A51</f>
        <v>blattnerj@gmail.com</v>
      </c>
      <c r="B53" s="23"/>
      <c r="C53" s="23"/>
      <c r="D53" s="1" cm="1">
        <f t="array" ref="D53">MAX(_xlfn._xlws.FILTER(Visits!AF:AF,Visits!E:E='User Engagement'!A53))</f>
        <v>45393</v>
      </c>
      <c r="E53">
        <f>COUNTIF(Visits!$E$2:$E$993,'User Engagement'!$A53)</f>
        <v>1</v>
      </c>
      <c r="F53">
        <f>COUNTIFS(Visits!$E$2:$E$993,'User Engagement'!$A54,Visits!$AF$2:$AF$993,"&gt;"&amp;($B$1-7))</f>
        <v>1</v>
      </c>
      <c r="G53">
        <f>COUNTIFS(Visits!$E$2:$E$993,'User Engagement'!$A53,Visits!$AF$2:$AF$993,"&gt;"&amp;($B$1-30))</f>
        <v>1</v>
      </c>
      <c r="H53">
        <f>COUNTIFS(Visits!$E$2:$E$993,$A53,Visits!$AF$2:$AF$993,"&gt;"&amp;($B$1-60))-G53</f>
        <v>0</v>
      </c>
      <c r="I53">
        <f>COUNTIFS(Visits!$AG:$AG,'New Dashboard'!$A$22,Visits!$E:$E,'User Engagement'!$A53)</f>
        <v>0</v>
      </c>
      <c r="J53">
        <f>COUNTIFS(Visits!$AG:$AG,'New Dashboard'!$A$23,Visits!$E:$E,'User Engagement'!$A53)</f>
        <v>0</v>
      </c>
      <c r="K53">
        <f>COUNTIFS(Visits!$AG:$AG,'New Dashboard'!$A$24,Visits!$E:$E,'User Engagement'!$A53)</f>
        <v>0</v>
      </c>
      <c r="L53">
        <f>COUNTIFS(Visits!$AG:$AG,'New Dashboard'!$A$25,Visits!$E:$E,'User Engagement'!$A53)</f>
        <v>1</v>
      </c>
      <c r="M53">
        <f t="shared" si="6"/>
        <v>1</v>
      </c>
      <c r="N53">
        <f t="shared" si="7"/>
        <v>1</v>
      </c>
      <c r="O53">
        <f t="shared" si="5"/>
        <v>0</v>
      </c>
      <c r="P53">
        <f t="shared" si="1"/>
        <v>0</v>
      </c>
      <c r="Q53" s="4">
        <f>SUMIF(Visits!$E$2:$E$90,'User Engagement'!$A53,Visits!$T$2:$T$90)</f>
        <v>0</v>
      </c>
      <c r="R53" s="4">
        <f>SUMIFS(Visits!$T$2:$T$90,Visits!$E$2:$E$90,'User Engagement'!$A53,Visits!$AF$2:$AF$90,"&gt;3/28/24")</f>
        <v>0</v>
      </c>
      <c r="S53" s="13">
        <f t="shared" si="2"/>
        <v>0</v>
      </c>
      <c r="T53" s="13">
        <f t="shared" si="3"/>
        <v>0</v>
      </c>
    </row>
    <row r="54" spans="1:20" ht="15.95">
      <c r="A54" t="str">
        <f>Users!A52</f>
        <v>xetta03@hotmail.com</v>
      </c>
      <c r="B54" s="23"/>
      <c r="C54" s="23"/>
      <c r="D54" s="1" cm="1">
        <f t="array" ref="D54">MAX(_xlfn._xlws.FILTER(Visits!AF:AF,Visits!E:E='User Engagement'!A54))</f>
        <v>45430</v>
      </c>
      <c r="E54">
        <f>COUNTIF(Visits!$E$2:$E$993,'User Engagement'!$A54)</f>
        <v>1</v>
      </c>
      <c r="F54">
        <f>COUNTIFS(Visits!$E$2:$E$993,'User Engagement'!$A55,Visits!$AF$2:$AF$993,"&gt;"&amp;($B$1-7))</f>
        <v>3</v>
      </c>
      <c r="G54">
        <f>COUNTIFS(Visits!$E$2:$E$993,'User Engagement'!$A54,Visits!$AF$2:$AF$993,"&gt;"&amp;($B$1-30))</f>
        <v>1</v>
      </c>
      <c r="H54">
        <f>COUNTIFS(Visits!$E$2:$E$993,$A54,Visits!$AF$2:$AF$993,"&gt;"&amp;($B$1-60))-G54</f>
        <v>0</v>
      </c>
      <c r="I54">
        <f>COUNTIFS(Visits!$AG:$AG,'New Dashboard'!$A$22,Visits!$E:$E,'User Engagement'!$A54)</f>
        <v>0</v>
      </c>
      <c r="J54">
        <f>COUNTIFS(Visits!$AG:$AG,'New Dashboard'!$A$23,Visits!$E:$E,'User Engagement'!$A54)</f>
        <v>0</v>
      </c>
      <c r="K54">
        <f>COUNTIFS(Visits!$AG:$AG,'New Dashboard'!$A$24,Visits!$E:$E,'User Engagement'!$A54)</f>
        <v>1</v>
      </c>
      <c r="L54">
        <f>COUNTIFS(Visits!$AG:$AG,'New Dashboard'!$A$25,Visits!$E:$E,'User Engagement'!$A54)</f>
        <v>0</v>
      </c>
      <c r="M54">
        <f t="shared" si="6"/>
        <v>0</v>
      </c>
      <c r="N54">
        <f t="shared" si="7"/>
        <v>1</v>
      </c>
      <c r="O54">
        <f t="shared" si="5"/>
        <v>0</v>
      </c>
      <c r="P54">
        <f t="shared" si="1"/>
        <v>0</v>
      </c>
      <c r="Q54" s="4">
        <f>SUMIF(Visits!$E$2:$E$90,'User Engagement'!$A54,Visits!$T$2:$T$90)</f>
        <v>0</v>
      </c>
      <c r="R54" s="4">
        <f>SUMIFS(Visits!$T$2:$T$90,Visits!$E$2:$E$90,'User Engagement'!$A54,Visits!$AF$2:$AF$90,"&gt;3/28/24")</f>
        <v>0</v>
      </c>
      <c r="S54" s="13">
        <f t="shared" si="2"/>
        <v>0</v>
      </c>
      <c r="T54" s="13">
        <f t="shared" si="3"/>
        <v>0</v>
      </c>
    </row>
    <row r="55" spans="1:20" ht="15.95">
      <c r="A55" t="str">
        <f>Users!A53</f>
        <v>katherineyr.kim@gmail.com</v>
      </c>
      <c r="B55" s="23"/>
      <c r="C55" s="23"/>
      <c r="D55" s="1" cm="1">
        <f t="array" ref="D55">MAX(_xlfn._xlws.FILTER(Visits!AF:AF,Visits!E:E='User Engagement'!A55))</f>
        <v>45487</v>
      </c>
      <c r="E55">
        <f>COUNTIF(Visits!$E$2:$E$993,'User Engagement'!$A55)</f>
        <v>3</v>
      </c>
      <c r="F55">
        <f>COUNTIFS(Visits!$E$2:$E$993,'User Engagement'!$A56,Visits!$AF$2:$AF$993,"&gt;"&amp;($B$1-7))</f>
        <v>0</v>
      </c>
      <c r="G55">
        <f>COUNTIFS(Visits!$E$2:$E$993,'User Engagement'!$A55,Visits!$AF$2:$AF$993,"&gt;"&amp;($B$1-30))</f>
        <v>3</v>
      </c>
      <c r="H55">
        <f>COUNTIFS(Visits!$E$2:$E$993,$A55,Visits!$AF$2:$AF$993,"&gt;"&amp;($B$1-60))-G55</f>
        <v>0</v>
      </c>
      <c r="I55">
        <f>COUNTIFS(Visits!$AG:$AG,'New Dashboard'!$A$22,Visits!$E:$E,'User Engagement'!$A55)</f>
        <v>1</v>
      </c>
      <c r="J55">
        <f>COUNTIFS(Visits!$AG:$AG,'New Dashboard'!$A$23,Visits!$E:$E,'User Engagement'!$A55)</f>
        <v>0</v>
      </c>
      <c r="K55">
        <f>COUNTIFS(Visits!$AG:$AG,'New Dashboard'!$A$24,Visits!$E:$E,'User Engagement'!$A55)</f>
        <v>0</v>
      </c>
      <c r="L55">
        <f>COUNTIFS(Visits!$AG:$AG,'New Dashboard'!$A$25,Visits!$E:$E,'User Engagement'!$A55)</f>
        <v>1</v>
      </c>
      <c r="M55">
        <f t="shared" si="6"/>
        <v>0</v>
      </c>
      <c r="N55">
        <f t="shared" si="7"/>
        <v>1</v>
      </c>
      <c r="O55">
        <f t="shared" si="5"/>
        <v>0</v>
      </c>
      <c r="P55">
        <f t="shared" si="1"/>
        <v>1</v>
      </c>
      <c r="Q55" s="4">
        <f>SUMIF(Visits!$E$2:$E$90,'User Engagement'!$A55,Visits!$T$2:$T$90)</f>
        <v>21.5</v>
      </c>
      <c r="R55" s="4">
        <f>SUMIFS(Visits!$T$2:$T$90,Visits!$E$2:$E$90,'User Engagement'!$A55,Visits!$AF$2:$AF$90,"&gt;3/28/24")</f>
        <v>7.5</v>
      </c>
      <c r="S55" s="13">
        <f t="shared" si="2"/>
        <v>7.166666666666667</v>
      </c>
      <c r="T55" s="13">
        <f t="shared" si="3"/>
        <v>2.5</v>
      </c>
    </row>
    <row r="56" spans="1:20" ht="15.95">
      <c r="A56" t="str">
        <f>Users!A54</f>
        <v xml:space="preserve"> pelconsultingwork@gmail.com</v>
      </c>
      <c r="B56" s="23"/>
      <c r="C56" s="23"/>
      <c r="D56" s="1" t="e" cm="1" vm="1">
        <f t="array" ref="D56">MAX(_xlfn._xlws.FILTER(Visits!AF:AF,Visits!E:E='User Engagement'!A56))</f>
        <v>#VALUE!</v>
      </c>
      <c r="E56">
        <f>COUNTIF(Visits!$E$2:$E$993,'User Engagement'!$A56)</f>
        <v>0</v>
      </c>
      <c r="F56">
        <f>COUNTIFS(Visits!$E$2:$E$993,'User Engagement'!$A57,Visits!$AF$2:$AF$993,"&gt;"&amp;($B$1-7))</f>
        <v>1</v>
      </c>
      <c r="G56">
        <f>COUNTIFS(Visits!$E$2:$E$993,'User Engagement'!$A56,Visits!$AF$2:$AF$993,"&gt;"&amp;($B$1-30))</f>
        <v>0</v>
      </c>
      <c r="H56">
        <f>COUNTIFS(Visits!$E$2:$E$993,$A56,Visits!$AF$2:$AF$993,"&gt;"&amp;($B$1-60))-G56</f>
        <v>0</v>
      </c>
      <c r="I56">
        <f>COUNTIFS(Visits!$AG:$AG,'New Dashboard'!$A$22,Visits!$E:$E,'User Engagement'!$A56)</f>
        <v>0</v>
      </c>
      <c r="J56">
        <f>COUNTIFS(Visits!$AG:$AG,'New Dashboard'!$A$23,Visits!$E:$E,'User Engagement'!$A56)</f>
        <v>0</v>
      </c>
      <c r="K56">
        <f>COUNTIFS(Visits!$AG:$AG,'New Dashboard'!$A$24,Visits!$E:$E,'User Engagement'!$A56)</f>
        <v>0</v>
      </c>
      <c r="L56">
        <f>COUNTIFS(Visits!$AG:$AG,'New Dashboard'!$A$25,Visits!$E:$E,'User Engagement'!$A56)</f>
        <v>0</v>
      </c>
      <c r="M56">
        <f t="shared" si="6"/>
        <v>0</v>
      </c>
      <c r="N56">
        <f t="shared" si="7"/>
        <v>0</v>
      </c>
      <c r="O56">
        <f t="shared" si="5"/>
        <v>0</v>
      </c>
      <c r="P56">
        <f t="shared" si="1"/>
        <v>0</v>
      </c>
      <c r="Q56" s="4">
        <f>SUMIF(Visits!$E$2:$E$90,'User Engagement'!$A56,Visits!$T$2:$T$90)</f>
        <v>0</v>
      </c>
      <c r="R56" s="4">
        <f>SUMIFS(Visits!$T$2:$T$90,Visits!$E$2:$E$90,'User Engagement'!$A56,Visits!$AF$2:$AF$90,"&gt;3/28/24")</f>
        <v>0</v>
      </c>
      <c r="S56" s="13" t="e">
        <f t="shared" si="2"/>
        <v>#DIV/0!</v>
      </c>
      <c r="T56" s="13" t="str">
        <f t="shared" si="3"/>
        <v>n/a</v>
      </c>
    </row>
    <row r="57" spans="1:20" ht="15.95">
      <c r="A57" t="str">
        <f>Users!A55</f>
        <v>hrational@gmail.com</v>
      </c>
      <c r="B57" s="23"/>
      <c r="C57" s="23"/>
      <c r="D57" s="1" cm="1">
        <f t="array" ref="D57">MAX(_xlfn._xlws.FILTER(Visits!AF:AF,Visits!E:E='User Engagement'!A57))</f>
        <v>45381</v>
      </c>
      <c r="E57">
        <f>COUNTIF(Visits!$E$2:$E$993,'User Engagement'!$A57)</f>
        <v>1</v>
      </c>
      <c r="F57">
        <f>COUNTIFS(Visits!$E$2:$E$993,'User Engagement'!$A58,Visits!$AF$2:$AF$993,"&gt;"&amp;($B$1-7))</f>
        <v>5</v>
      </c>
      <c r="G57">
        <f>COUNTIFS(Visits!$E$2:$E$993,'User Engagement'!$A57,Visits!$AF$2:$AF$993,"&gt;"&amp;($B$1-30))</f>
        <v>1</v>
      </c>
      <c r="H57">
        <f>COUNTIFS(Visits!$E$2:$E$993,$A57,Visits!$AF$2:$AF$993,"&gt;"&amp;($B$1-60))-G57</f>
        <v>0</v>
      </c>
      <c r="I57">
        <f>COUNTIFS(Visits!$AG:$AG,'New Dashboard'!$A$22,Visits!$E:$E,'User Engagement'!$A57)</f>
        <v>0</v>
      </c>
      <c r="J57">
        <f>COUNTIFS(Visits!$AG:$AG,'New Dashboard'!$A$23,Visits!$E:$E,'User Engagement'!$A57)</f>
        <v>0</v>
      </c>
      <c r="K57">
        <f>COUNTIFS(Visits!$AG:$AG,'New Dashboard'!$A$24,Visits!$E:$E,'User Engagement'!$A57)</f>
        <v>0</v>
      </c>
      <c r="L57">
        <f>COUNTIFS(Visits!$AG:$AG,'New Dashboard'!$A$25,Visits!$E:$E,'User Engagement'!$A57)</f>
        <v>0</v>
      </c>
      <c r="M57">
        <f t="shared" si="6"/>
        <v>0</v>
      </c>
      <c r="N57">
        <f t="shared" si="7"/>
        <v>1</v>
      </c>
      <c r="O57">
        <f t="shared" si="5"/>
        <v>0</v>
      </c>
      <c r="P57">
        <f t="shared" si="1"/>
        <v>0</v>
      </c>
      <c r="Q57" s="4">
        <f>SUMIF(Visits!$E$2:$E$90,'User Engagement'!$A57,Visits!$T$2:$T$90)</f>
        <v>5</v>
      </c>
      <c r="R57" s="4">
        <f>SUMIFS(Visits!$T$2:$T$90,Visits!$E$2:$E$90,'User Engagement'!$A57,Visits!$AF$2:$AF$90,"&gt;3/28/24")</f>
        <v>5</v>
      </c>
      <c r="S57" s="13">
        <f t="shared" si="2"/>
        <v>5</v>
      </c>
      <c r="T57" s="13">
        <f t="shared" si="3"/>
        <v>5</v>
      </c>
    </row>
    <row r="58" spans="1:20" ht="15.95">
      <c r="A58" t="str">
        <f>Users!A56</f>
        <v>laurabrown148@gmail.com</v>
      </c>
      <c r="B58" s="23"/>
      <c r="C58" s="23"/>
      <c r="D58" s="1" cm="1">
        <f t="array" ref="D58">MAX(_xlfn._xlws.FILTER(Visits!AF:AF,Visits!E:E='User Engagement'!A58))</f>
        <v>45487</v>
      </c>
      <c r="E58">
        <f>COUNTIF(Visits!$E$2:$E$993,'User Engagement'!$A58)</f>
        <v>5</v>
      </c>
      <c r="F58">
        <f>COUNTIFS(Visits!$E$2:$E$993,'User Engagement'!$A59,Visits!$AF$2:$AF$993,"&gt;"&amp;($B$1-7))</f>
        <v>1</v>
      </c>
      <c r="G58">
        <f>COUNTIFS(Visits!$E$2:$E$993,'User Engagement'!$A58,Visits!$AF$2:$AF$993,"&gt;"&amp;($B$1-30))</f>
        <v>5</v>
      </c>
      <c r="H58">
        <f>COUNTIFS(Visits!$E$2:$E$993,$A58,Visits!$AF$2:$AF$993,"&gt;"&amp;($B$1-60))-G58</f>
        <v>0</v>
      </c>
      <c r="I58">
        <f>COUNTIFS(Visits!$AG:$AG,'New Dashboard'!$A$22,Visits!$E:$E,'User Engagement'!$A58)</f>
        <v>1</v>
      </c>
      <c r="J58">
        <f>COUNTIFS(Visits!$AG:$AG,'New Dashboard'!$A$23,Visits!$E:$E,'User Engagement'!$A58)</f>
        <v>1</v>
      </c>
      <c r="K58">
        <f>COUNTIFS(Visits!$AG:$AG,'New Dashboard'!$A$24,Visits!$E:$E,'User Engagement'!$A58)</f>
        <v>1</v>
      </c>
      <c r="L58">
        <f>COUNTIFS(Visits!$AG:$AG,'New Dashboard'!$A$25,Visits!$E:$E,'User Engagement'!$A58)</f>
        <v>1</v>
      </c>
      <c r="M58">
        <f t="shared" si="6"/>
        <v>0</v>
      </c>
      <c r="N58">
        <f t="shared" si="7"/>
        <v>1</v>
      </c>
      <c r="O58">
        <f t="shared" si="5"/>
        <v>0</v>
      </c>
      <c r="P58">
        <f t="shared" si="1"/>
        <v>1</v>
      </c>
      <c r="Q58" s="4">
        <f>SUMIF(Visits!$E$2:$E$90,'User Engagement'!$A58,Visits!$T$2:$T$90)</f>
        <v>40</v>
      </c>
      <c r="R58" s="4">
        <f>SUMIFS(Visits!$T$2:$T$90,Visits!$E$2:$E$90,'User Engagement'!$A58,Visits!$AF$2:$AF$90,"&gt;3/28/24")</f>
        <v>15</v>
      </c>
      <c r="S58" s="13">
        <f t="shared" si="2"/>
        <v>8</v>
      </c>
      <c r="T58" s="13">
        <f t="shared" si="3"/>
        <v>3</v>
      </c>
    </row>
    <row r="59" spans="1:20" ht="15.95">
      <c r="A59" t="str">
        <f>Users!A57</f>
        <v>Laure.kroely@gmail.com</v>
      </c>
      <c r="B59" s="23"/>
      <c r="C59" s="23"/>
      <c r="D59" s="1" cm="1">
        <f t="array" ref="D59">MAX(_xlfn._xlws.FILTER(Visits!AF:AF,Visits!E:E='User Engagement'!A59))</f>
        <v>45442.770833333336</v>
      </c>
      <c r="E59">
        <f>COUNTIF(Visits!$E$2:$E$993,'User Engagement'!$A59)</f>
        <v>1</v>
      </c>
      <c r="F59">
        <f>COUNTIFS(Visits!$E$2:$E$993,'User Engagement'!$A60,Visits!$AF$2:$AF$993,"&gt;"&amp;($B$1-7))</f>
        <v>2</v>
      </c>
      <c r="G59">
        <f>COUNTIFS(Visits!$E$2:$E$993,'User Engagement'!$A59,Visits!$AF$2:$AF$993,"&gt;"&amp;($B$1-30))</f>
        <v>1</v>
      </c>
      <c r="H59">
        <f>COUNTIFS(Visits!$E$2:$E$993,$A59,Visits!$AF$2:$AF$993,"&gt;"&amp;($B$1-60))-G59</f>
        <v>0</v>
      </c>
      <c r="I59">
        <f>COUNTIFS(Visits!$AG:$AG,'New Dashboard'!$A$22,Visits!$E:$E,'User Engagement'!$A59)</f>
        <v>0</v>
      </c>
      <c r="J59">
        <f>COUNTIFS(Visits!$AG:$AG,'New Dashboard'!$A$23,Visits!$E:$E,'User Engagement'!$A59)</f>
        <v>0</v>
      </c>
      <c r="K59">
        <f>COUNTIFS(Visits!$AG:$AG,'New Dashboard'!$A$24,Visits!$E:$E,'User Engagement'!$A59)</f>
        <v>1</v>
      </c>
      <c r="L59">
        <f>COUNTIFS(Visits!$AG:$AG,'New Dashboard'!$A$25,Visits!$E:$E,'User Engagement'!$A59)</f>
        <v>0</v>
      </c>
      <c r="M59">
        <f t="shared" si="6"/>
        <v>0</v>
      </c>
      <c r="N59">
        <f t="shared" si="7"/>
        <v>1</v>
      </c>
      <c r="O59">
        <f t="shared" si="5"/>
        <v>0</v>
      </c>
      <c r="P59">
        <f t="shared" si="1"/>
        <v>0</v>
      </c>
      <c r="Q59" s="4">
        <f>SUMIF(Visits!$E$2:$E$90,'User Engagement'!$A59,Visits!$T$2:$T$90)</f>
        <v>0</v>
      </c>
      <c r="R59" s="4">
        <f>SUMIFS(Visits!$T$2:$T$90,Visits!$E$2:$E$90,'User Engagement'!$A59,Visits!$AF$2:$AF$90,"&gt;3/28/24")</f>
        <v>0</v>
      </c>
      <c r="S59" s="13">
        <f t="shared" si="2"/>
        <v>0</v>
      </c>
      <c r="T59" s="13">
        <f t="shared" si="3"/>
        <v>0</v>
      </c>
    </row>
    <row r="60" spans="1:20" ht="15.95">
      <c r="A60" t="str">
        <f>Users!A58</f>
        <v>louise.ly.chow@gmail.com</v>
      </c>
      <c r="B60" s="23"/>
      <c r="C60" s="23"/>
      <c r="D60" s="1" cm="1">
        <f t="array" ref="D60">MAX(_xlfn._xlws.FILTER(Visits!AF:AF,Visits!E:E='User Engagement'!A60))</f>
        <v>45388</v>
      </c>
      <c r="E60">
        <f>COUNTIF(Visits!$E$2:$E$993,'User Engagement'!$A60)</f>
        <v>2</v>
      </c>
      <c r="F60">
        <f>COUNTIFS(Visits!$E$2:$E$993,'User Engagement'!$A61,Visits!$AF$2:$AF$993,"&gt;"&amp;($B$1-7))</f>
        <v>5</v>
      </c>
      <c r="G60">
        <f>COUNTIFS(Visits!$E$2:$E$993,'User Engagement'!$A60,Visits!$AF$2:$AF$993,"&gt;"&amp;($B$1-30))</f>
        <v>2</v>
      </c>
      <c r="H60">
        <f>COUNTIFS(Visits!$E$2:$E$993,$A60,Visits!$AF$2:$AF$993,"&gt;"&amp;($B$1-60))-G60</f>
        <v>0</v>
      </c>
      <c r="I60">
        <f>COUNTIFS(Visits!$AG:$AG,'New Dashboard'!$A$22,Visits!$E:$E,'User Engagement'!$A60)</f>
        <v>0</v>
      </c>
      <c r="J60">
        <f>COUNTIFS(Visits!$AG:$AG,'New Dashboard'!$A$23,Visits!$E:$E,'User Engagement'!$A60)</f>
        <v>0</v>
      </c>
      <c r="K60">
        <f>COUNTIFS(Visits!$AG:$AG,'New Dashboard'!$A$24,Visits!$E:$E,'User Engagement'!$A60)</f>
        <v>0</v>
      </c>
      <c r="L60">
        <f>COUNTIFS(Visits!$AG:$AG,'New Dashboard'!$A$25,Visits!$E:$E,'User Engagement'!$A60)</f>
        <v>1</v>
      </c>
      <c r="M60">
        <f t="shared" si="6"/>
        <v>0</v>
      </c>
      <c r="N60">
        <f t="shared" si="7"/>
        <v>1</v>
      </c>
      <c r="O60">
        <f t="shared" si="5"/>
        <v>0</v>
      </c>
      <c r="P60">
        <f t="shared" si="1"/>
        <v>0</v>
      </c>
      <c r="Q60" s="4">
        <f>SUMIF(Visits!$E$2:$E$90,'User Engagement'!$A60,Visits!$T$2:$T$90)</f>
        <v>15</v>
      </c>
      <c r="R60" s="4">
        <f>SUMIFS(Visits!$T$2:$T$90,Visits!$E$2:$E$90,'User Engagement'!$A60,Visits!$AF$2:$AF$90,"&gt;3/28/24")</f>
        <v>15</v>
      </c>
      <c r="S60" s="13">
        <f t="shared" si="2"/>
        <v>7.5</v>
      </c>
      <c r="T60" s="13">
        <f t="shared" si="3"/>
        <v>7.5</v>
      </c>
    </row>
    <row r="61" spans="1:20" ht="15.95">
      <c r="A61" t="str">
        <f>Users!A59</f>
        <v>lucyzhou2@hotmail.com</v>
      </c>
      <c r="B61" s="23"/>
      <c r="C61" s="23"/>
      <c r="D61" s="1" cm="1">
        <f t="array" ref="D61">MAX(_xlfn._xlws.FILTER(Visits!AF:AF,Visits!E:E='User Engagement'!A61))</f>
        <v>45492</v>
      </c>
      <c r="E61">
        <f>COUNTIF(Visits!$E$2:$E$993,'User Engagement'!$A61)</f>
        <v>5</v>
      </c>
      <c r="F61">
        <f>COUNTIFS(Visits!$E$2:$E$993,'User Engagement'!$A62,Visits!$AF$2:$AF$993,"&gt;"&amp;($B$1-7))</f>
        <v>2</v>
      </c>
      <c r="G61">
        <f>COUNTIFS(Visits!$E$2:$E$993,'User Engagement'!$A61,Visits!$AF$2:$AF$993,"&gt;"&amp;($B$1-30))</f>
        <v>5</v>
      </c>
      <c r="H61">
        <f>COUNTIFS(Visits!$E$2:$E$993,$A61,Visits!$AF$2:$AF$993,"&gt;"&amp;($B$1-60))-G61</f>
        <v>0</v>
      </c>
      <c r="I61">
        <f>COUNTIFS(Visits!$AG:$AG,'New Dashboard'!$A$22,Visits!$E:$E,'User Engagement'!$A61)</f>
        <v>1</v>
      </c>
      <c r="J61">
        <f>COUNTIFS(Visits!$AG:$AG,'New Dashboard'!$A$23,Visits!$E:$E,'User Engagement'!$A61)</f>
        <v>0</v>
      </c>
      <c r="K61">
        <f>COUNTIFS(Visits!$AG:$AG,'New Dashboard'!$A$24,Visits!$E:$E,'User Engagement'!$A61)</f>
        <v>1</v>
      </c>
      <c r="L61">
        <f>COUNTIFS(Visits!$AG:$AG,'New Dashboard'!$A$25,Visits!$E:$E,'User Engagement'!$A61)</f>
        <v>1</v>
      </c>
      <c r="M61">
        <f t="shared" ref="M61:M73" si="8">IF(E61-F61=0,1,0)</f>
        <v>0</v>
      </c>
      <c r="N61">
        <f t="shared" ref="N61:N73" si="9">IF(G61&gt;0,1,0)</f>
        <v>1</v>
      </c>
      <c r="O61">
        <f t="shared" si="5"/>
        <v>0</v>
      </c>
      <c r="P61">
        <f t="shared" si="1"/>
        <v>1</v>
      </c>
      <c r="Q61" s="4">
        <f>SUMIF(Visits!$E$2:$E$90,'User Engagement'!$A61,Visits!$T$2:$T$90)</f>
        <v>55</v>
      </c>
      <c r="R61" s="4">
        <f>SUMIFS(Visits!$T$2:$T$90,Visits!$E$2:$E$90,'User Engagement'!$A61,Visits!$AF$2:$AF$90,"&gt;3/28/24")</f>
        <v>15</v>
      </c>
      <c r="S61" s="13">
        <f t="shared" si="2"/>
        <v>11</v>
      </c>
      <c r="T61" s="13">
        <f t="shared" si="3"/>
        <v>3</v>
      </c>
    </row>
    <row r="62" spans="1:20" ht="15.95">
      <c r="A62" t="str">
        <f>Users!A60</f>
        <v>mm.manolova@yahoo.com</v>
      </c>
      <c r="B62" s="23"/>
      <c r="C62" s="23"/>
      <c r="D62" s="1" cm="1">
        <f t="array" ref="D62">MAX(_xlfn._xlws.FILTER(Visits!AF:AF,Visits!E:E='User Engagement'!A62))</f>
        <v>45445.5</v>
      </c>
      <c r="E62">
        <f>COUNTIF(Visits!$E$2:$E$993,'User Engagement'!$A62)</f>
        <v>2</v>
      </c>
      <c r="F62">
        <f>COUNTIFS(Visits!$E$2:$E$993,'User Engagement'!$A63,Visits!$AF$2:$AF$993,"&gt;"&amp;($B$1-7))</f>
        <v>1</v>
      </c>
      <c r="G62">
        <f>COUNTIFS(Visits!$E$2:$E$993,'User Engagement'!$A62,Visits!$AF$2:$AF$993,"&gt;"&amp;($B$1-30))</f>
        <v>2</v>
      </c>
      <c r="H62">
        <f>COUNTIFS(Visits!$E$2:$E$993,$A62,Visits!$AF$2:$AF$993,"&gt;"&amp;($B$1-60))-G62</f>
        <v>0</v>
      </c>
      <c r="I62">
        <f>COUNTIFS(Visits!$AG:$AG,'New Dashboard'!$A$22,Visits!$E:$E,'User Engagement'!$A62)</f>
        <v>0</v>
      </c>
      <c r="J62">
        <f>COUNTIFS(Visits!$AG:$AG,'New Dashboard'!$A$23,Visits!$E:$E,'User Engagement'!$A62)</f>
        <v>1</v>
      </c>
      <c r="K62">
        <f>COUNTIFS(Visits!$AG:$AG,'New Dashboard'!$A$24,Visits!$E:$E,'User Engagement'!$A62)</f>
        <v>1</v>
      </c>
      <c r="L62">
        <f>COUNTIFS(Visits!$AG:$AG,'New Dashboard'!$A$25,Visits!$E:$E,'User Engagement'!$A62)</f>
        <v>0</v>
      </c>
      <c r="M62">
        <f t="shared" si="8"/>
        <v>0</v>
      </c>
      <c r="N62">
        <f t="shared" si="9"/>
        <v>1</v>
      </c>
      <c r="O62">
        <f t="shared" si="5"/>
        <v>0</v>
      </c>
      <c r="P62">
        <f t="shared" si="1"/>
        <v>0</v>
      </c>
      <c r="Q62" s="4">
        <f>SUMIF(Visits!$E$2:$E$90,'User Engagement'!$A62,Visits!$T$2:$T$90)</f>
        <v>0</v>
      </c>
      <c r="R62" s="4">
        <f>SUMIFS(Visits!$T$2:$T$90,Visits!$E$2:$E$90,'User Engagement'!$A62,Visits!$AF$2:$AF$90,"&gt;3/28/24")</f>
        <v>0</v>
      </c>
      <c r="S62" s="13">
        <f t="shared" si="2"/>
        <v>0</v>
      </c>
      <c r="T62" s="13">
        <f t="shared" si="3"/>
        <v>0</v>
      </c>
    </row>
    <row r="63" spans="1:20" ht="15.95">
      <c r="A63" t="str">
        <f>Users!A61</f>
        <v>lonmys@outlook.com</v>
      </c>
      <c r="B63" s="23"/>
      <c r="C63" s="23"/>
      <c r="D63" s="1" cm="1">
        <f t="array" ref="D63">MAX(_xlfn._xlws.FILTER(Visits!AF:AF,Visits!E:E='User Engagement'!A63))</f>
        <v>45430</v>
      </c>
      <c r="E63">
        <f>COUNTIF(Visits!$E$2:$E$993,'User Engagement'!$A63)</f>
        <v>1</v>
      </c>
      <c r="F63">
        <f>COUNTIFS(Visits!$E$2:$E$993,'User Engagement'!$A64,Visits!$AF$2:$AF$993,"&gt;"&amp;($B$1-7))</f>
        <v>2</v>
      </c>
      <c r="G63">
        <f>COUNTIFS(Visits!$E$2:$E$993,'User Engagement'!$A63,Visits!$AF$2:$AF$993,"&gt;"&amp;($B$1-30))</f>
        <v>1</v>
      </c>
      <c r="H63">
        <f>COUNTIFS(Visits!$E$2:$E$993,$A63,Visits!$AF$2:$AF$993,"&gt;"&amp;($B$1-60))-G63</f>
        <v>0</v>
      </c>
      <c r="I63">
        <f>COUNTIFS(Visits!$AG:$AG,'New Dashboard'!$A$22,Visits!$E:$E,'User Engagement'!$A63)</f>
        <v>0</v>
      </c>
      <c r="J63">
        <f>COUNTIFS(Visits!$AG:$AG,'New Dashboard'!$A$23,Visits!$E:$E,'User Engagement'!$A63)</f>
        <v>0</v>
      </c>
      <c r="K63">
        <f>COUNTIFS(Visits!$AG:$AG,'New Dashboard'!$A$24,Visits!$E:$E,'User Engagement'!$A63)</f>
        <v>1</v>
      </c>
      <c r="L63">
        <f>COUNTIFS(Visits!$AG:$AG,'New Dashboard'!$A$25,Visits!$E:$E,'User Engagement'!$A63)</f>
        <v>0</v>
      </c>
      <c r="M63">
        <f t="shared" si="8"/>
        <v>0</v>
      </c>
      <c r="N63">
        <f t="shared" si="9"/>
        <v>1</v>
      </c>
      <c r="O63">
        <f t="shared" si="5"/>
        <v>0</v>
      </c>
      <c r="P63">
        <f t="shared" si="1"/>
        <v>0</v>
      </c>
      <c r="Q63" s="4">
        <f>SUMIF(Visits!$E$2:$E$90,'User Engagement'!$A63,Visits!$T$2:$T$90)</f>
        <v>0</v>
      </c>
      <c r="R63" s="4">
        <f>SUMIFS(Visits!$T$2:$T$90,Visits!$E$2:$E$90,'User Engagement'!$A63,Visits!$AF$2:$AF$90,"&gt;3/28/24")</f>
        <v>0</v>
      </c>
      <c r="S63" s="13">
        <f t="shared" si="2"/>
        <v>0</v>
      </c>
      <c r="T63" s="13">
        <f t="shared" si="3"/>
        <v>0</v>
      </c>
    </row>
    <row r="64" spans="1:20" ht="15.95">
      <c r="A64" t="str">
        <f>Users!A62</f>
        <v>matthew.hoza@gmail.com</v>
      </c>
      <c r="B64" s="23"/>
      <c r="C64" s="23"/>
      <c r="D64" s="1" cm="1">
        <f t="array" ref="D64">MAX(_xlfn._xlws.FILTER(Visits!AF:AF,Visits!E:E='User Engagement'!A64))</f>
        <v>45499</v>
      </c>
      <c r="E64">
        <f>COUNTIF(Visits!$E$2:$E$993,'User Engagement'!$A64)</f>
        <v>2</v>
      </c>
      <c r="F64">
        <f>COUNTIFS(Visits!$E$2:$E$993,'User Engagement'!$A65,Visits!$AF$2:$AF$993,"&gt;"&amp;($B$1-7))</f>
        <v>5</v>
      </c>
      <c r="G64">
        <f>COUNTIFS(Visits!$E$2:$E$993,'User Engagement'!$A64,Visits!$AF$2:$AF$993,"&gt;"&amp;($B$1-30))</f>
        <v>2</v>
      </c>
      <c r="H64">
        <f>COUNTIFS(Visits!$E$2:$E$993,$A64,Visits!$AF$2:$AF$993,"&gt;"&amp;($B$1-60))-G64</f>
        <v>0</v>
      </c>
      <c r="I64">
        <f>COUNTIFS(Visits!$AG:$AG,'New Dashboard'!$A$22,Visits!$E:$E,'User Engagement'!$A64)</f>
        <v>1</v>
      </c>
      <c r="J64">
        <f>COUNTIFS(Visits!$AG:$AG,'New Dashboard'!$A$23,Visits!$E:$E,'User Engagement'!$A64)</f>
        <v>1</v>
      </c>
      <c r="K64">
        <f>COUNTIFS(Visits!$AG:$AG,'New Dashboard'!$A$24,Visits!$E:$E,'User Engagement'!$A64)</f>
        <v>0</v>
      </c>
      <c r="L64">
        <f>COUNTIFS(Visits!$AG:$AG,'New Dashboard'!$A$25,Visits!$E:$E,'User Engagement'!$A64)</f>
        <v>0</v>
      </c>
      <c r="M64">
        <f t="shared" si="8"/>
        <v>0</v>
      </c>
      <c r="N64">
        <f t="shared" si="9"/>
        <v>1</v>
      </c>
      <c r="O64">
        <f t="shared" si="5"/>
        <v>0</v>
      </c>
      <c r="P64">
        <f t="shared" si="1"/>
        <v>0</v>
      </c>
      <c r="Q64" s="4">
        <f>SUMIF(Visits!$E$2:$E$90,'User Engagement'!$A64,Visits!$T$2:$T$90)</f>
        <v>0</v>
      </c>
      <c r="R64" s="4">
        <f>SUMIFS(Visits!$T$2:$T$90,Visits!$E$2:$E$90,'User Engagement'!$A64,Visits!$AF$2:$AF$90,"&gt;3/28/24")</f>
        <v>0</v>
      </c>
      <c r="S64" s="13">
        <f t="shared" si="2"/>
        <v>0</v>
      </c>
      <c r="T64" s="13">
        <f t="shared" si="3"/>
        <v>0</v>
      </c>
    </row>
    <row r="65" spans="1:20" ht="15.95">
      <c r="A65" t="str">
        <f>Users!A63</f>
        <v>maestromattheww@yahoo.co.uk</v>
      </c>
      <c r="B65" s="23"/>
      <c r="C65" s="23"/>
      <c r="D65" s="1" cm="1">
        <f t="array" ref="D65">MAX(_xlfn._xlws.FILTER(Visits!AF:AF,Visits!E:E='User Engagement'!A65))</f>
        <v>45442.770833333336</v>
      </c>
      <c r="E65">
        <f>COUNTIF(Visits!$E$2:$E$993,'User Engagement'!$A65)</f>
        <v>5</v>
      </c>
      <c r="F65">
        <f>COUNTIFS(Visits!$E$2:$E$993,'User Engagement'!$A66,Visits!$AF$2:$AF$993,"&gt;"&amp;($B$1-7))</f>
        <v>1</v>
      </c>
      <c r="G65">
        <f>COUNTIFS(Visits!$E$2:$E$993,'User Engagement'!$A65,Visits!$AF$2:$AF$993,"&gt;"&amp;($B$1-30))</f>
        <v>5</v>
      </c>
      <c r="H65">
        <f>COUNTIFS(Visits!$E$2:$E$993,$A65,Visits!$AF$2:$AF$993,"&gt;"&amp;($B$1-60))-G65</f>
        <v>0</v>
      </c>
      <c r="I65">
        <f>COUNTIFS(Visits!$AG:$AG,'New Dashboard'!$A$22,Visits!$E:$E,'User Engagement'!$A65)</f>
        <v>0</v>
      </c>
      <c r="J65">
        <f>COUNTIFS(Visits!$AG:$AG,'New Dashboard'!$A$23,Visits!$E:$E,'User Engagement'!$A65)</f>
        <v>0</v>
      </c>
      <c r="K65">
        <f>COUNTIFS(Visits!$AG:$AG,'New Dashboard'!$A$24,Visits!$E:$E,'User Engagement'!$A65)</f>
        <v>3</v>
      </c>
      <c r="L65">
        <f>COUNTIFS(Visits!$AG:$AG,'New Dashboard'!$A$25,Visits!$E:$E,'User Engagement'!$A65)</f>
        <v>2</v>
      </c>
      <c r="M65">
        <f t="shared" si="8"/>
        <v>0</v>
      </c>
      <c r="N65">
        <f t="shared" si="9"/>
        <v>1</v>
      </c>
      <c r="O65">
        <f t="shared" si="5"/>
        <v>0</v>
      </c>
      <c r="P65">
        <f t="shared" si="1"/>
        <v>1</v>
      </c>
      <c r="Q65" s="4">
        <f>SUMIF(Visits!$E$2:$E$90,'User Engagement'!$A65,Visits!$T$2:$T$90)</f>
        <v>15</v>
      </c>
      <c r="R65" s="4">
        <f>SUMIFS(Visits!$T$2:$T$90,Visits!$E$2:$E$90,'User Engagement'!$A65,Visits!$AF$2:$AF$90,"&gt;3/28/24")</f>
        <v>15</v>
      </c>
      <c r="S65" s="13">
        <f t="shared" si="2"/>
        <v>3</v>
      </c>
      <c r="T65" s="13">
        <f t="shared" si="3"/>
        <v>3</v>
      </c>
    </row>
    <row r="66" spans="1:20" ht="15.95">
      <c r="A66" t="str">
        <f>Users!A64</f>
        <v>lanidoms@gmail.com</v>
      </c>
      <c r="B66" s="23"/>
      <c r="C66" s="23"/>
      <c r="D66" s="1" cm="1">
        <f t="array" ref="D66">MAX(_xlfn._xlws.FILTER(Visits!AF:AF,Visits!E:E='User Engagement'!A66))</f>
        <v>45423</v>
      </c>
      <c r="E66">
        <f>COUNTIF(Visits!$E$2:$E$993,'User Engagement'!$A66)</f>
        <v>1</v>
      </c>
      <c r="F66">
        <f>COUNTIFS(Visits!$E$2:$E$993,'User Engagement'!$A67,Visits!$AF$2:$AF$993,"&gt;"&amp;($B$1-7))</f>
        <v>3</v>
      </c>
      <c r="G66">
        <f>COUNTIFS(Visits!$E$2:$E$993,'User Engagement'!$A66,Visits!$AF$2:$AF$993,"&gt;"&amp;($B$1-30))</f>
        <v>1</v>
      </c>
      <c r="H66">
        <f>COUNTIFS(Visits!$E$2:$E$993,$A66,Visits!$AF$2:$AF$993,"&gt;"&amp;($B$1-60))-G66</f>
        <v>0</v>
      </c>
      <c r="I66">
        <f>COUNTIFS(Visits!$AG:$AG,'New Dashboard'!$A$22,Visits!$E:$E,'User Engagement'!$A66)</f>
        <v>0</v>
      </c>
      <c r="J66">
        <f>COUNTIFS(Visits!$AG:$AG,'New Dashboard'!$A$23,Visits!$E:$E,'User Engagement'!$A66)</f>
        <v>0</v>
      </c>
      <c r="K66">
        <f>COUNTIFS(Visits!$AG:$AG,'New Dashboard'!$A$24,Visits!$E:$E,'User Engagement'!$A66)</f>
        <v>1</v>
      </c>
      <c r="L66">
        <f>COUNTIFS(Visits!$AG:$AG,'New Dashboard'!$A$25,Visits!$E:$E,'User Engagement'!$A66)</f>
        <v>0</v>
      </c>
      <c r="M66">
        <f t="shared" si="8"/>
        <v>0</v>
      </c>
      <c r="N66">
        <f t="shared" si="9"/>
        <v>1</v>
      </c>
      <c r="O66">
        <f t="shared" si="5"/>
        <v>0</v>
      </c>
      <c r="P66">
        <f t="shared" si="1"/>
        <v>0</v>
      </c>
      <c r="Q66" s="4">
        <f>SUMIF(Visits!$E$2:$E$90,'User Engagement'!$A66,Visits!$T$2:$T$90)</f>
        <v>0</v>
      </c>
      <c r="R66" s="4">
        <f>SUMIFS(Visits!$T$2:$T$90,Visits!$E$2:$E$90,'User Engagement'!$A66,Visits!$AF$2:$AF$90,"&gt;3/28/24")</f>
        <v>0</v>
      </c>
      <c r="S66" s="13">
        <f t="shared" si="2"/>
        <v>0</v>
      </c>
      <c r="T66" s="13">
        <f t="shared" si="3"/>
        <v>0</v>
      </c>
    </row>
    <row r="67" spans="1:20" ht="15.95">
      <c r="A67" t="str">
        <f>Users!A65</f>
        <v>monique.blemur@gmail.com</v>
      </c>
      <c r="B67" s="23"/>
      <c r="C67" s="23"/>
      <c r="D67" s="1" cm="1">
        <f t="array" ref="D67">MAX(_xlfn._xlws.FILTER(Visits!AF:AF,Visits!E:E='User Engagement'!A67))</f>
        <v>45445.5</v>
      </c>
      <c r="E67">
        <f>COUNTIF(Visits!$E$2:$E$993,'User Engagement'!$A67)</f>
        <v>3</v>
      </c>
      <c r="F67">
        <f>COUNTIFS(Visits!$E$2:$E$993,'User Engagement'!$A68,Visits!$AF$2:$AF$993,"&gt;"&amp;($B$1-7))</f>
        <v>1</v>
      </c>
      <c r="G67">
        <f>COUNTIFS(Visits!$E$2:$E$993,'User Engagement'!$A67,Visits!$AF$2:$AF$993,"&gt;"&amp;($B$1-30))</f>
        <v>3</v>
      </c>
      <c r="H67">
        <f>COUNTIFS(Visits!$E$2:$E$993,$A67,Visits!$AF$2:$AF$993,"&gt;"&amp;($B$1-60))-G67</f>
        <v>0</v>
      </c>
      <c r="I67">
        <f>COUNTIFS(Visits!$AG:$AG,'New Dashboard'!$A$22,Visits!$E:$E,'User Engagement'!$A67)</f>
        <v>0</v>
      </c>
      <c r="J67">
        <f>COUNTIFS(Visits!$AG:$AG,'New Dashboard'!$A$23,Visits!$E:$E,'User Engagement'!$A67)</f>
        <v>1</v>
      </c>
      <c r="K67">
        <f>COUNTIFS(Visits!$AG:$AG,'New Dashboard'!$A$24,Visits!$E:$E,'User Engagement'!$A67)</f>
        <v>1</v>
      </c>
      <c r="L67">
        <f>COUNTIFS(Visits!$AG:$AG,'New Dashboard'!$A$25,Visits!$E:$E,'User Engagement'!$A67)</f>
        <v>0</v>
      </c>
      <c r="M67">
        <f t="shared" si="8"/>
        <v>0</v>
      </c>
      <c r="N67">
        <f t="shared" si="9"/>
        <v>1</v>
      </c>
      <c r="O67">
        <f t="shared" si="5"/>
        <v>0</v>
      </c>
      <c r="P67">
        <f t="shared" si="1"/>
        <v>1</v>
      </c>
      <c r="Q67" s="4">
        <f>SUMIF(Visits!$E$2:$E$90,'User Engagement'!$A67,Visits!$T$2:$T$90)</f>
        <v>0</v>
      </c>
      <c r="R67" s="4">
        <f>SUMIFS(Visits!$T$2:$T$90,Visits!$E$2:$E$90,'User Engagement'!$A67,Visits!$AF$2:$AF$90,"&gt;3/28/24")</f>
        <v>0</v>
      </c>
      <c r="S67" s="13">
        <f t="shared" si="2"/>
        <v>0</v>
      </c>
      <c r="T67" s="13">
        <f t="shared" si="3"/>
        <v>0</v>
      </c>
    </row>
    <row r="68" spans="1:20" ht="15.95">
      <c r="A68" t="str">
        <f>Users!A66</f>
        <v>thefengshuistory@gmail.com</v>
      </c>
      <c r="B68" s="23"/>
      <c r="C68" s="23"/>
      <c r="D68" s="1" cm="1">
        <f t="array" ref="D68">MAX(_xlfn._xlws.FILTER(Visits!AF:AF,Visits!E:E='User Engagement'!A68))</f>
        <v>45374</v>
      </c>
      <c r="E68">
        <f>COUNTIF(Visits!$E$2:$E$993,'User Engagement'!$A68)</f>
        <v>1</v>
      </c>
      <c r="F68">
        <f>COUNTIFS(Visits!$E$2:$E$993,'User Engagement'!$A69,Visits!$AF$2:$AF$993,"&gt;"&amp;($B$1-7))</f>
        <v>1</v>
      </c>
      <c r="G68">
        <f>COUNTIFS(Visits!$E$2:$E$993,'User Engagement'!$A68,Visits!$AF$2:$AF$993,"&gt;"&amp;($B$1-30))</f>
        <v>1</v>
      </c>
      <c r="H68">
        <f>COUNTIFS(Visits!$E$2:$E$993,$A68,Visits!$AF$2:$AF$993,"&gt;"&amp;($B$1-60))-G68</f>
        <v>0</v>
      </c>
      <c r="I68">
        <f>COUNTIFS(Visits!$AG:$AG,'New Dashboard'!$A$22,Visits!$E:$E,'User Engagement'!$A68)</f>
        <v>0</v>
      </c>
      <c r="J68">
        <f>COUNTIFS(Visits!$AG:$AG,'New Dashboard'!$A$23,Visits!$E:$E,'User Engagement'!$A68)</f>
        <v>0</v>
      </c>
      <c r="K68">
        <f>COUNTIFS(Visits!$AG:$AG,'New Dashboard'!$A$24,Visits!$E:$E,'User Engagement'!$A68)</f>
        <v>0</v>
      </c>
      <c r="L68">
        <f>COUNTIFS(Visits!$AG:$AG,'New Dashboard'!$A$25,Visits!$E:$E,'User Engagement'!$A68)</f>
        <v>0</v>
      </c>
      <c r="M68">
        <f t="shared" si="8"/>
        <v>1</v>
      </c>
      <c r="N68">
        <f t="shared" si="9"/>
        <v>1</v>
      </c>
      <c r="O68">
        <f t="shared" si="5"/>
        <v>0</v>
      </c>
      <c r="P68">
        <f t="shared" ref="P68:P131" si="10">IF(G68&gt;2,N68,0)</f>
        <v>0</v>
      </c>
      <c r="Q68" s="4">
        <f>SUMIF(Visits!$E$2:$E$90,'User Engagement'!$A68,Visits!$T$2:$T$90)</f>
        <v>40</v>
      </c>
      <c r="R68" s="4">
        <f>SUMIFS(Visits!$T$2:$T$90,Visits!$E$2:$E$90,'User Engagement'!$A68,Visits!$AF$2:$AF$90,"&gt;3/28/24")</f>
        <v>0</v>
      </c>
      <c r="S68" s="13">
        <f t="shared" ref="S68:S131" si="11">Q68/E68</f>
        <v>40</v>
      </c>
      <c r="T68" s="13">
        <f t="shared" ref="T68:T131" si="12">IFERROR(R68/G68,"n/a")</f>
        <v>0</v>
      </c>
    </row>
    <row r="69" spans="1:20" ht="15.95">
      <c r="A69" t="str">
        <f>Users!A67</f>
        <v>Nataliokolie@gmail.com</v>
      </c>
      <c r="B69" s="23"/>
      <c r="C69" s="23"/>
      <c r="D69" s="1" cm="1">
        <f t="array" ref="D69">MAX(_xlfn._xlws.FILTER(Visits!AF:AF,Visits!E:E='User Engagement'!A69))</f>
        <v>45442.770833333336</v>
      </c>
      <c r="E69">
        <f>COUNTIF(Visits!$E$2:$E$993,'User Engagement'!$A69)</f>
        <v>1</v>
      </c>
      <c r="F69">
        <f>COUNTIFS(Visits!$E$2:$E$993,'User Engagement'!$A70,Visits!$AF$2:$AF$993,"&gt;"&amp;($B$1-7))</f>
        <v>2</v>
      </c>
      <c r="G69">
        <f>COUNTIFS(Visits!$E$2:$E$993,'User Engagement'!$A69,Visits!$AF$2:$AF$993,"&gt;"&amp;($B$1-30))</f>
        <v>1</v>
      </c>
      <c r="H69">
        <f>COUNTIFS(Visits!$E$2:$E$993,$A69,Visits!$AF$2:$AF$993,"&gt;"&amp;($B$1-60))-G69</f>
        <v>0</v>
      </c>
      <c r="I69">
        <f>COUNTIFS(Visits!$AG:$AG,'New Dashboard'!$A$22,Visits!$E:$E,'User Engagement'!$A69)</f>
        <v>0</v>
      </c>
      <c r="J69">
        <f>COUNTIFS(Visits!$AG:$AG,'New Dashboard'!$A$23,Visits!$E:$E,'User Engagement'!$A69)</f>
        <v>0</v>
      </c>
      <c r="K69">
        <f>COUNTIFS(Visits!$AG:$AG,'New Dashboard'!$A$24,Visits!$E:$E,'User Engagement'!$A69)</f>
        <v>1</v>
      </c>
      <c r="L69">
        <f>COUNTIFS(Visits!$AG:$AG,'New Dashboard'!$A$25,Visits!$E:$E,'User Engagement'!$A69)</f>
        <v>0</v>
      </c>
      <c r="M69">
        <f t="shared" si="8"/>
        <v>0</v>
      </c>
      <c r="N69">
        <f t="shared" si="9"/>
        <v>1</v>
      </c>
      <c r="O69">
        <f t="shared" si="5"/>
        <v>0</v>
      </c>
      <c r="P69">
        <f t="shared" si="10"/>
        <v>0</v>
      </c>
      <c r="Q69" s="4">
        <f>SUMIF(Visits!$E$2:$E$90,'User Engagement'!$A69,Visits!$T$2:$T$90)</f>
        <v>0</v>
      </c>
      <c r="R69" s="4">
        <f>SUMIFS(Visits!$T$2:$T$90,Visits!$E$2:$E$90,'User Engagement'!$A69,Visits!$AF$2:$AF$90,"&gt;3/28/24")</f>
        <v>0</v>
      </c>
      <c r="S69" s="13">
        <f t="shared" si="11"/>
        <v>0</v>
      </c>
      <c r="T69" s="13">
        <f t="shared" si="12"/>
        <v>0</v>
      </c>
    </row>
    <row r="70" spans="1:20" ht="15.95">
      <c r="A70" t="str">
        <f>Users!A68</f>
        <v>natashapavlovskaya23@gmail.com</v>
      </c>
      <c r="B70" s="23"/>
      <c r="C70" s="23"/>
      <c r="D70" s="1" cm="1">
        <f t="array" ref="D70">MAX(_xlfn._xlws.FILTER(Visits!AF:AF,Visits!E:E='User Engagement'!A70))</f>
        <v>45414</v>
      </c>
      <c r="E70">
        <f>COUNTIF(Visits!$E$2:$E$993,'User Engagement'!$A70)</f>
        <v>2</v>
      </c>
      <c r="F70">
        <f>COUNTIFS(Visits!$E$2:$E$993,'User Engagement'!$A71,Visits!$AF$2:$AF$993,"&gt;"&amp;($B$1-7))</f>
        <v>1</v>
      </c>
      <c r="G70">
        <f>COUNTIFS(Visits!$E$2:$E$993,'User Engagement'!$A70,Visits!$AF$2:$AF$993,"&gt;"&amp;($B$1-30))</f>
        <v>2</v>
      </c>
      <c r="H70">
        <f>COUNTIFS(Visits!$E$2:$E$993,$A70,Visits!$AF$2:$AF$993,"&gt;"&amp;($B$1-60))-G70</f>
        <v>0</v>
      </c>
      <c r="I70">
        <f>COUNTIFS(Visits!$AG:$AG,'New Dashboard'!$A$22,Visits!$E:$E,'User Engagement'!$A70)</f>
        <v>0</v>
      </c>
      <c r="J70">
        <f>COUNTIFS(Visits!$AG:$AG,'New Dashboard'!$A$23,Visits!$E:$E,'User Engagement'!$A70)</f>
        <v>0</v>
      </c>
      <c r="K70">
        <f>COUNTIFS(Visits!$AG:$AG,'New Dashboard'!$A$24,Visits!$E:$E,'User Engagement'!$A70)</f>
        <v>1</v>
      </c>
      <c r="L70">
        <f>COUNTIFS(Visits!$AG:$AG,'New Dashboard'!$A$25,Visits!$E:$E,'User Engagement'!$A70)</f>
        <v>1</v>
      </c>
      <c r="M70">
        <f t="shared" si="8"/>
        <v>0</v>
      </c>
      <c r="N70">
        <f t="shared" si="9"/>
        <v>1</v>
      </c>
      <c r="O70">
        <f t="shared" ref="O70:O133" si="13">IF(H70&gt;0,1,0)</f>
        <v>0</v>
      </c>
      <c r="P70">
        <f t="shared" si="10"/>
        <v>0</v>
      </c>
      <c r="Q70" s="4">
        <f>SUMIF(Visits!$E$2:$E$90,'User Engagement'!$A70,Visits!$T$2:$T$90)</f>
        <v>15</v>
      </c>
      <c r="R70" s="4">
        <f>SUMIFS(Visits!$T$2:$T$90,Visits!$E$2:$E$90,'User Engagement'!$A70,Visits!$AF$2:$AF$90,"&gt;3/28/24")</f>
        <v>15</v>
      </c>
      <c r="S70" s="13">
        <f t="shared" si="11"/>
        <v>7.5</v>
      </c>
      <c r="T70" s="13">
        <f t="shared" si="12"/>
        <v>7.5</v>
      </c>
    </row>
    <row r="71" spans="1:20" ht="15.95">
      <c r="A71" t="str">
        <f>Users!A69</f>
        <v>ngg971@gmail.com</v>
      </c>
      <c r="B71" s="23"/>
      <c r="C71" s="23"/>
      <c r="D71" s="1" cm="1">
        <f t="array" ref="D71">MAX(_xlfn._xlws.FILTER(Visits!AF:AF,Visits!E:E='User Engagement'!A71))</f>
        <v>45374</v>
      </c>
      <c r="E71">
        <f>COUNTIF(Visits!$E$2:$E$993,'User Engagement'!$A71)</f>
        <v>1</v>
      </c>
      <c r="F71">
        <f>COUNTIFS(Visits!$E$2:$E$993,'User Engagement'!$A72,Visits!$AF$2:$AF$993,"&gt;"&amp;($B$1-7))</f>
        <v>1</v>
      </c>
      <c r="G71">
        <f>COUNTIFS(Visits!$E$2:$E$993,'User Engagement'!$A71,Visits!$AF$2:$AF$993,"&gt;"&amp;($B$1-30))</f>
        <v>1</v>
      </c>
      <c r="H71">
        <f>COUNTIFS(Visits!$E$2:$E$993,$A71,Visits!$AF$2:$AF$993,"&gt;"&amp;($B$1-60))-G71</f>
        <v>0</v>
      </c>
      <c r="I71">
        <f>COUNTIFS(Visits!$AG:$AG,'New Dashboard'!$A$22,Visits!$E:$E,'User Engagement'!$A71)</f>
        <v>0</v>
      </c>
      <c r="J71">
        <f>COUNTIFS(Visits!$AG:$AG,'New Dashboard'!$A$23,Visits!$E:$E,'User Engagement'!$A71)</f>
        <v>0</v>
      </c>
      <c r="K71">
        <f>COUNTIFS(Visits!$AG:$AG,'New Dashboard'!$A$24,Visits!$E:$E,'User Engagement'!$A71)</f>
        <v>0</v>
      </c>
      <c r="L71">
        <f>COUNTIFS(Visits!$AG:$AG,'New Dashboard'!$A$25,Visits!$E:$E,'User Engagement'!$A71)</f>
        <v>0</v>
      </c>
      <c r="M71">
        <f t="shared" si="8"/>
        <v>1</v>
      </c>
      <c r="N71">
        <f t="shared" si="9"/>
        <v>1</v>
      </c>
      <c r="O71">
        <f t="shared" si="13"/>
        <v>0</v>
      </c>
      <c r="P71">
        <f t="shared" si="10"/>
        <v>0</v>
      </c>
      <c r="Q71" s="4">
        <f>SUMIF(Visits!$E$2:$E$90,'User Engagement'!$A71,Visits!$T$2:$T$90)</f>
        <v>25</v>
      </c>
      <c r="R71" s="4">
        <f>SUMIFS(Visits!$T$2:$T$90,Visits!$E$2:$E$90,'User Engagement'!$A71,Visits!$AF$2:$AF$90,"&gt;3/28/24")</f>
        <v>0</v>
      </c>
      <c r="S71" s="13">
        <f t="shared" si="11"/>
        <v>25</v>
      </c>
      <c r="T71" s="13">
        <f t="shared" si="12"/>
        <v>0</v>
      </c>
    </row>
    <row r="72" spans="1:20" ht="15.95">
      <c r="A72" t="str">
        <f>Users!A70</f>
        <v>isisding@gmail.com</v>
      </c>
      <c r="B72" s="23"/>
      <c r="C72" s="23"/>
      <c r="D72" s="1" cm="1">
        <f t="array" ref="D72">MAX(_xlfn._xlws.FILTER(Visits!AF:AF,Visits!E:E='User Engagement'!A72))</f>
        <v>45388</v>
      </c>
      <c r="E72">
        <f>COUNTIF(Visits!$E$2:$E$993,'User Engagement'!$A72)</f>
        <v>1</v>
      </c>
      <c r="F72">
        <f>COUNTIFS(Visits!$E$2:$E$993,'User Engagement'!$A73,Visits!$AF$2:$AF$993,"&gt;"&amp;($B$1-7))</f>
        <v>2</v>
      </c>
      <c r="G72">
        <f>COUNTIFS(Visits!$E$2:$E$993,'User Engagement'!$A72,Visits!$AF$2:$AF$993,"&gt;"&amp;($B$1-30))</f>
        <v>1</v>
      </c>
      <c r="H72">
        <f>COUNTIFS(Visits!$E$2:$E$993,$A72,Visits!$AF$2:$AF$993,"&gt;"&amp;($B$1-60))-G72</f>
        <v>0</v>
      </c>
      <c r="I72">
        <f>COUNTIFS(Visits!$AG:$AG,'New Dashboard'!$A$22,Visits!$E:$E,'User Engagement'!$A72)</f>
        <v>0</v>
      </c>
      <c r="J72">
        <f>COUNTIFS(Visits!$AG:$AG,'New Dashboard'!$A$23,Visits!$E:$E,'User Engagement'!$A72)</f>
        <v>0</v>
      </c>
      <c r="K72">
        <f>COUNTIFS(Visits!$AG:$AG,'New Dashboard'!$A$24,Visits!$E:$E,'User Engagement'!$A72)</f>
        <v>0</v>
      </c>
      <c r="L72">
        <f>COUNTIFS(Visits!$AG:$AG,'New Dashboard'!$A$25,Visits!$E:$E,'User Engagement'!$A72)</f>
        <v>1</v>
      </c>
      <c r="M72">
        <f t="shared" si="8"/>
        <v>0</v>
      </c>
      <c r="N72">
        <f t="shared" si="9"/>
        <v>1</v>
      </c>
      <c r="O72">
        <f t="shared" si="13"/>
        <v>0</v>
      </c>
      <c r="P72">
        <f t="shared" si="10"/>
        <v>0</v>
      </c>
      <c r="Q72" s="4">
        <f>SUMIF(Visits!$E$2:$E$90,'User Engagement'!$A72,Visits!$T$2:$T$90)</f>
        <v>0</v>
      </c>
      <c r="R72" s="4">
        <f>SUMIFS(Visits!$T$2:$T$90,Visits!$E$2:$E$90,'User Engagement'!$A72,Visits!$AF$2:$AF$90,"&gt;3/28/24")</f>
        <v>0</v>
      </c>
      <c r="S72" s="13">
        <f t="shared" si="11"/>
        <v>0</v>
      </c>
      <c r="T72" s="13">
        <f t="shared" si="12"/>
        <v>0</v>
      </c>
    </row>
    <row r="73" spans="1:20" ht="15.95">
      <c r="A73" t="str">
        <f>Users!A71</f>
        <v>walokunrin@yahoo.com</v>
      </c>
      <c r="B73" s="23"/>
      <c r="C73" s="23"/>
      <c r="D73" s="1" cm="1">
        <f t="array" ref="D73">MAX(_xlfn._xlws.FILTER(Visits!AF:AF,Visits!E:E='User Engagement'!A73))</f>
        <v>45395</v>
      </c>
      <c r="E73">
        <f>COUNTIF(Visits!$E$2:$E$993,'User Engagement'!$A73)</f>
        <v>2</v>
      </c>
      <c r="F73">
        <f>COUNTIFS(Visits!$E$2:$E$993,'User Engagement'!$A74,Visits!$AF$2:$AF$993,"&gt;"&amp;($B$1-7))</f>
        <v>1</v>
      </c>
      <c r="G73">
        <f>COUNTIFS(Visits!$E$2:$E$993,'User Engagement'!$A73,Visits!$AF$2:$AF$993,"&gt;"&amp;($B$1-30))</f>
        <v>2</v>
      </c>
      <c r="H73">
        <f>COUNTIFS(Visits!$E$2:$E$993,$A73,Visits!$AF$2:$AF$993,"&gt;"&amp;($B$1-60))-G73</f>
        <v>0</v>
      </c>
      <c r="I73">
        <f>COUNTIFS(Visits!$AG:$AG,'New Dashboard'!$A$22,Visits!$E:$E,'User Engagement'!$A73)</f>
        <v>0</v>
      </c>
      <c r="J73">
        <f>COUNTIFS(Visits!$AG:$AG,'New Dashboard'!$A$23,Visits!$E:$E,'User Engagement'!$A73)</f>
        <v>0</v>
      </c>
      <c r="K73">
        <f>COUNTIFS(Visits!$AG:$AG,'New Dashboard'!$A$24,Visits!$E:$E,'User Engagement'!$A73)</f>
        <v>0</v>
      </c>
      <c r="L73">
        <f>COUNTIFS(Visits!$AG:$AG,'New Dashboard'!$A$25,Visits!$E:$E,'User Engagement'!$A73)</f>
        <v>1</v>
      </c>
      <c r="M73">
        <f t="shared" si="8"/>
        <v>0</v>
      </c>
      <c r="N73">
        <f t="shared" si="9"/>
        <v>1</v>
      </c>
      <c r="O73">
        <f t="shared" si="13"/>
        <v>0</v>
      </c>
      <c r="P73">
        <f t="shared" si="10"/>
        <v>0</v>
      </c>
      <c r="Q73" s="4">
        <f>SUMIF(Visits!$E$2:$E$90,'User Engagement'!$A73,Visits!$T$2:$T$90)</f>
        <v>35</v>
      </c>
      <c r="R73" s="4">
        <f>SUMIFS(Visits!$T$2:$T$90,Visits!$E$2:$E$90,'User Engagement'!$A73,Visits!$AF$2:$AF$90,"&gt;3/28/24")</f>
        <v>10</v>
      </c>
      <c r="S73" s="13">
        <f t="shared" si="11"/>
        <v>17.5</v>
      </c>
      <c r="T73" s="13">
        <f t="shared" si="12"/>
        <v>5</v>
      </c>
    </row>
    <row r="74" spans="1:20" ht="15.95">
      <c r="A74" t="str">
        <f>Users!A72</f>
        <v>pragyaptib@gmail.com</v>
      </c>
      <c r="B74" s="23"/>
      <c r="C74" s="23"/>
      <c r="D74" s="1" cm="1">
        <f t="array" ref="D74">MAX(_xlfn._xlws.FILTER(Visits!AF:AF,Visits!E:E='User Engagement'!A74))</f>
        <v>45403</v>
      </c>
      <c r="E74">
        <f>COUNTIF(Visits!$E$2:$E$993,'User Engagement'!$A74)</f>
        <v>1</v>
      </c>
      <c r="F74">
        <f>COUNTIFS(Visits!$E$2:$E$993,'User Engagement'!$A75,Visits!$AF$2:$AF$993,"&gt;"&amp;($B$1-7))</f>
        <v>1</v>
      </c>
      <c r="G74">
        <f>COUNTIFS(Visits!$E$2:$E$993,'User Engagement'!$A74,Visits!$AF$2:$AF$993,"&gt;"&amp;($B$1-30))</f>
        <v>1</v>
      </c>
      <c r="H74">
        <f>COUNTIFS(Visits!$E$2:$E$993,$A74,Visits!$AF$2:$AF$993,"&gt;"&amp;($B$1-60))-G74</f>
        <v>0</v>
      </c>
      <c r="I74">
        <f>COUNTIFS(Visits!$AG:$AG,'New Dashboard'!$A$22,Visits!$E:$E,'User Engagement'!$A74)</f>
        <v>0</v>
      </c>
      <c r="J74">
        <f>COUNTIFS(Visits!$AG:$AG,'New Dashboard'!$A$23,Visits!$E:$E,'User Engagement'!$A74)</f>
        <v>0</v>
      </c>
      <c r="K74">
        <f>COUNTIFS(Visits!$AG:$AG,'New Dashboard'!$A$24,Visits!$E:$E,'User Engagement'!$A74)</f>
        <v>0</v>
      </c>
      <c r="L74">
        <f>COUNTIFS(Visits!$AG:$AG,'New Dashboard'!$A$25,Visits!$E:$E,'User Engagement'!$A74)</f>
        <v>1</v>
      </c>
      <c r="M74">
        <f t="shared" ref="M74:M137" si="14">IF(E74-F74=0,1,0)</f>
        <v>1</v>
      </c>
      <c r="N74">
        <f t="shared" ref="N74:O137" si="15">IF(G74&gt;0,1,0)</f>
        <v>1</v>
      </c>
      <c r="O74">
        <f t="shared" si="13"/>
        <v>0</v>
      </c>
      <c r="P74">
        <f t="shared" si="10"/>
        <v>0</v>
      </c>
      <c r="Q74" s="4">
        <f>SUMIF(Visits!$E$2:$E$90,'User Engagement'!$A74,Visits!$T$2:$T$90)</f>
        <v>0</v>
      </c>
      <c r="R74" s="4">
        <f>SUMIFS(Visits!$T$2:$T$90,Visits!$E$2:$E$90,'User Engagement'!$A74,Visits!$AF$2:$AF$90,"&gt;3/28/24")</f>
        <v>0</v>
      </c>
      <c r="S74" s="13">
        <f t="shared" si="11"/>
        <v>0</v>
      </c>
      <c r="T74" s="13">
        <f t="shared" si="12"/>
        <v>0</v>
      </c>
    </row>
    <row r="75" spans="1:20" ht="15.95">
      <c r="A75" t="str">
        <f>Users!A73</f>
        <v>Richard_segal@yahoo.com</v>
      </c>
      <c r="B75" s="23"/>
      <c r="C75" s="23"/>
      <c r="D75" s="1" cm="1">
        <f t="array" ref="D75">MAX(_xlfn._xlws.FILTER(Visits!AF:AF,Visits!E:E='User Engagement'!A75))</f>
        <v>45442.770833333336</v>
      </c>
      <c r="E75">
        <f>COUNTIF(Visits!$E$2:$E$993,'User Engagement'!$A75)</f>
        <v>1</v>
      </c>
      <c r="F75">
        <f>COUNTIFS(Visits!$E$2:$E$993,'User Engagement'!$A76,Visits!$AF$2:$AF$993,"&gt;"&amp;($B$1-7))</f>
        <v>13</v>
      </c>
      <c r="G75">
        <f>COUNTIFS(Visits!$E$2:$E$993,'User Engagement'!$A75,Visits!$AF$2:$AF$993,"&gt;"&amp;($B$1-30))</f>
        <v>1</v>
      </c>
      <c r="H75">
        <f>COUNTIFS(Visits!$E$2:$E$993,$A75,Visits!$AF$2:$AF$993,"&gt;"&amp;($B$1-60))-G75</f>
        <v>0</v>
      </c>
      <c r="I75">
        <f>COUNTIFS(Visits!$AG:$AG,'New Dashboard'!$A$22,Visits!$E:$E,'User Engagement'!$A75)</f>
        <v>0</v>
      </c>
      <c r="J75">
        <f>COUNTIFS(Visits!$AG:$AG,'New Dashboard'!$A$23,Visits!$E:$E,'User Engagement'!$A75)</f>
        <v>0</v>
      </c>
      <c r="K75">
        <f>COUNTIFS(Visits!$AG:$AG,'New Dashboard'!$A$24,Visits!$E:$E,'User Engagement'!$A75)</f>
        <v>1</v>
      </c>
      <c r="L75">
        <f>COUNTIFS(Visits!$AG:$AG,'New Dashboard'!$A$25,Visits!$E:$E,'User Engagement'!$A75)</f>
        <v>0</v>
      </c>
      <c r="M75">
        <f t="shared" si="14"/>
        <v>0</v>
      </c>
      <c r="N75">
        <f t="shared" si="15"/>
        <v>1</v>
      </c>
      <c r="O75">
        <f t="shared" si="13"/>
        <v>0</v>
      </c>
      <c r="P75">
        <f t="shared" si="10"/>
        <v>0</v>
      </c>
      <c r="Q75" s="4">
        <f>SUMIF(Visits!$E$2:$E$90,'User Engagement'!$A75,Visits!$T$2:$T$90)</f>
        <v>0</v>
      </c>
      <c r="R75" s="4">
        <f>SUMIFS(Visits!$T$2:$T$90,Visits!$E$2:$E$90,'User Engagement'!$A75,Visits!$AF$2:$AF$90,"&gt;3/28/24")</f>
        <v>0</v>
      </c>
      <c r="S75" s="13">
        <f t="shared" si="11"/>
        <v>0</v>
      </c>
      <c r="T75" s="13">
        <f t="shared" si="12"/>
        <v>0</v>
      </c>
    </row>
    <row r="76" spans="1:20" ht="15.95">
      <c r="A76" t="str">
        <f>Users!A74</f>
        <v>roberthchapman@hotmail.com</v>
      </c>
      <c r="B76" s="23"/>
      <c r="C76" s="23"/>
      <c r="D76" s="1" cm="1">
        <f t="array" ref="D76">MAX(_xlfn._xlws.FILTER(Visits!AF:AF,Visits!E:E='User Engagement'!A76))</f>
        <v>45499</v>
      </c>
      <c r="E76">
        <f>COUNTIF(Visits!$E$2:$E$993,'User Engagement'!$A76)</f>
        <v>13</v>
      </c>
      <c r="F76">
        <f>COUNTIFS(Visits!$E$2:$E$993,'User Engagement'!$A77,Visits!$AF$2:$AF$993,"&gt;"&amp;($B$1-7))</f>
        <v>11</v>
      </c>
      <c r="G76">
        <f>COUNTIFS(Visits!$E$2:$E$993,'User Engagement'!$A76,Visits!$AF$2:$AF$993,"&gt;"&amp;($B$1-30))</f>
        <v>13</v>
      </c>
      <c r="H76">
        <f>COUNTIFS(Visits!$E$2:$E$993,$A76,Visits!$AF$2:$AF$993,"&gt;"&amp;($B$1-60))-G76</f>
        <v>0</v>
      </c>
      <c r="I76">
        <f>COUNTIFS(Visits!$AG:$AG,'New Dashboard'!$A$22,Visits!$E:$E,'User Engagement'!$A76)</f>
        <v>2</v>
      </c>
      <c r="J76">
        <f>COUNTIFS(Visits!$AG:$AG,'New Dashboard'!$A$23,Visits!$E:$E,'User Engagement'!$A76)</f>
        <v>2</v>
      </c>
      <c r="K76">
        <f>COUNTIFS(Visits!$AG:$AG,'New Dashboard'!$A$24,Visits!$E:$E,'User Engagement'!$A76)</f>
        <v>1</v>
      </c>
      <c r="L76">
        <f>COUNTIFS(Visits!$AG:$AG,'New Dashboard'!$A$25,Visits!$E:$E,'User Engagement'!$A76)</f>
        <v>4</v>
      </c>
      <c r="M76">
        <f t="shared" si="14"/>
        <v>0</v>
      </c>
      <c r="N76">
        <f t="shared" si="15"/>
        <v>1</v>
      </c>
      <c r="O76">
        <f t="shared" si="13"/>
        <v>0</v>
      </c>
      <c r="P76">
        <f t="shared" si="10"/>
        <v>1</v>
      </c>
      <c r="Q76" s="4">
        <f>SUMIF(Visits!$E$2:$E$90,'User Engagement'!$A76,Visits!$T$2:$T$90)</f>
        <v>62.5</v>
      </c>
      <c r="R76" s="4">
        <f>SUMIFS(Visits!$T$2:$T$90,Visits!$E$2:$E$90,'User Engagement'!$A76,Visits!$AF$2:$AF$90,"&gt;3/28/24")</f>
        <v>37.5</v>
      </c>
      <c r="S76" s="13">
        <f t="shared" si="11"/>
        <v>4.8076923076923075</v>
      </c>
      <c r="T76" s="13">
        <f t="shared" si="12"/>
        <v>2.8846153846153846</v>
      </c>
    </row>
    <row r="77" spans="1:20" ht="15.95">
      <c r="A77" t="str">
        <f>Users!A75</f>
        <v>tendulkar.rohini@gmail.com</v>
      </c>
      <c r="B77" s="23"/>
      <c r="C77" s="23"/>
      <c r="D77" s="1" cm="1">
        <f t="array" ref="D77">MAX(_xlfn._xlws.FILTER(Visits!AF:AF,Visits!E:E='User Engagement'!A77))</f>
        <v>45492</v>
      </c>
      <c r="E77">
        <f>COUNTIF(Visits!$E$2:$E$993,'User Engagement'!$A77)</f>
        <v>11</v>
      </c>
      <c r="F77">
        <f>COUNTIFS(Visits!$E$2:$E$993,'User Engagement'!$A78,Visits!$AF$2:$AF$993,"&gt;"&amp;($B$1-7))</f>
        <v>2</v>
      </c>
      <c r="G77">
        <f>COUNTIFS(Visits!$E$2:$E$993,'User Engagement'!$A77,Visits!$AF$2:$AF$993,"&gt;"&amp;($B$1-30))</f>
        <v>11</v>
      </c>
      <c r="H77">
        <f>COUNTIFS(Visits!$E$2:$E$993,$A77,Visits!$AF$2:$AF$993,"&gt;"&amp;($B$1-60))-G77</f>
        <v>0</v>
      </c>
      <c r="I77">
        <f>COUNTIFS(Visits!$AG:$AG,'New Dashboard'!$A$22,Visits!$E:$E,'User Engagement'!$A77)</f>
        <v>1</v>
      </c>
      <c r="J77">
        <f>COUNTIFS(Visits!$AG:$AG,'New Dashboard'!$A$23,Visits!$E:$E,'User Engagement'!$A77)</f>
        <v>2</v>
      </c>
      <c r="K77">
        <f>COUNTIFS(Visits!$AG:$AG,'New Dashboard'!$A$24,Visits!$E:$E,'User Engagement'!$A77)</f>
        <v>2</v>
      </c>
      <c r="L77">
        <f>COUNTIFS(Visits!$AG:$AG,'New Dashboard'!$A$25,Visits!$E:$E,'User Engagement'!$A77)</f>
        <v>4</v>
      </c>
      <c r="M77">
        <f t="shared" si="14"/>
        <v>0</v>
      </c>
      <c r="N77">
        <f t="shared" si="15"/>
        <v>1</v>
      </c>
      <c r="O77">
        <f t="shared" si="13"/>
        <v>0</v>
      </c>
      <c r="P77">
        <f t="shared" si="10"/>
        <v>1</v>
      </c>
      <c r="Q77" s="4">
        <f>SUMIF(Visits!$E$2:$E$90,'User Engagement'!$A77,Visits!$T$2:$T$90)</f>
        <v>40</v>
      </c>
      <c r="R77" s="4">
        <f>SUMIFS(Visits!$T$2:$T$90,Visits!$E$2:$E$90,'User Engagement'!$A77,Visits!$AF$2:$AF$90,"&gt;3/28/24")</f>
        <v>40</v>
      </c>
      <c r="S77" s="13">
        <f t="shared" si="11"/>
        <v>3.6363636363636362</v>
      </c>
      <c r="T77" s="13">
        <f t="shared" si="12"/>
        <v>3.6363636363636362</v>
      </c>
    </row>
    <row r="78" spans="1:20" ht="15.95">
      <c r="A78" t="str">
        <f>Users!A76</f>
        <v>rowan.bashar@gmail.com</v>
      </c>
      <c r="B78" s="23"/>
      <c r="C78" s="23"/>
      <c r="D78" s="1" cm="1">
        <f t="array" ref="D78">MAX(_xlfn._xlws.FILTER(Visits!AF:AF,Visits!E:E='User Engagement'!A78))</f>
        <v>45437</v>
      </c>
      <c r="E78">
        <f>COUNTIF(Visits!$E$2:$E$993,'User Engagement'!$A78)</f>
        <v>2</v>
      </c>
      <c r="F78">
        <f>COUNTIFS(Visits!$E$2:$E$993,'User Engagement'!$A79,Visits!$AF$2:$AF$993,"&gt;"&amp;($B$1-7))</f>
        <v>1</v>
      </c>
      <c r="G78">
        <f>COUNTIFS(Visits!$E$2:$E$993,'User Engagement'!$A78,Visits!$AF$2:$AF$993,"&gt;"&amp;($B$1-30))</f>
        <v>2</v>
      </c>
      <c r="H78">
        <f>COUNTIFS(Visits!$E$2:$E$993,$A78,Visits!$AF$2:$AF$993,"&gt;"&amp;($B$1-60))-G78</f>
        <v>0</v>
      </c>
      <c r="I78">
        <f>COUNTIFS(Visits!$AG:$AG,'New Dashboard'!$A$22,Visits!$E:$E,'User Engagement'!$A78)</f>
        <v>0</v>
      </c>
      <c r="J78">
        <f>COUNTIFS(Visits!$AG:$AG,'New Dashboard'!$A$23,Visits!$E:$E,'User Engagement'!$A78)</f>
        <v>0</v>
      </c>
      <c r="K78">
        <f>COUNTIFS(Visits!$AG:$AG,'New Dashboard'!$A$24,Visits!$E:$E,'User Engagement'!$A78)</f>
        <v>1</v>
      </c>
      <c r="L78">
        <f>COUNTIFS(Visits!$AG:$AG,'New Dashboard'!$A$25,Visits!$E:$E,'User Engagement'!$A78)</f>
        <v>1</v>
      </c>
      <c r="M78">
        <f t="shared" si="14"/>
        <v>0</v>
      </c>
      <c r="N78">
        <f t="shared" si="15"/>
        <v>1</v>
      </c>
      <c r="O78">
        <f t="shared" si="13"/>
        <v>0</v>
      </c>
      <c r="P78">
        <f t="shared" si="10"/>
        <v>0</v>
      </c>
      <c r="Q78" s="4">
        <f>SUMIF(Visits!$E$2:$E$90,'User Engagement'!$A78,Visits!$T$2:$T$90)</f>
        <v>15</v>
      </c>
      <c r="R78" s="4">
        <f>SUMIFS(Visits!$T$2:$T$90,Visits!$E$2:$E$90,'User Engagement'!$A78,Visits!$AF$2:$AF$90,"&gt;3/28/24")</f>
        <v>15</v>
      </c>
      <c r="S78" s="13">
        <f t="shared" si="11"/>
        <v>7.5</v>
      </c>
      <c r="T78" s="13">
        <f t="shared" si="12"/>
        <v>7.5</v>
      </c>
    </row>
    <row r="79" spans="1:20" ht="15.95">
      <c r="A79" t="str">
        <f>Users!A77</f>
        <v>sabinahaytbaeva@gmail.com</v>
      </c>
      <c r="B79" s="23"/>
      <c r="C79" s="23"/>
      <c r="D79" s="1" cm="1">
        <f t="array" ref="D79">MAX(_xlfn._xlws.FILTER(Visits!AF:AF,Visits!E:E='User Engagement'!A79))</f>
        <v>45442.770833333336</v>
      </c>
      <c r="E79">
        <f>COUNTIF(Visits!$E$2:$E$993,'User Engagement'!$A79)</f>
        <v>1</v>
      </c>
      <c r="F79">
        <f>COUNTIFS(Visits!$E$2:$E$993,'User Engagement'!$A80,Visits!$AF$2:$AF$993,"&gt;"&amp;($B$1-7))</f>
        <v>4</v>
      </c>
      <c r="G79">
        <f>COUNTIFS(Visits!$E$2:$E$993,'User Engagement'!$A79,Visits!$AF$2:$AF$993,"&gt;"&amp;($B$1-30))</f>
        <v>1</v>
      </c>
      <c r="H79">
        <f>COUNTIFS(Visits!$E$2:$E$993,$A79,Visits!$AF$2:$AF$993,"&gt;"&amp;($B$1-60))-G79</f>
        <v>0</v>
      </c>
      <c r="I79">
        <f>COUNTIFS(Visits!$AG:$AG,'New Dashboard'!$A$22,Visits!$E:$E,'User Engagement'!$A79)</f>
        <v>0</v>
      </c>
      <c r="J79">
        <f>COUNTIFS(Visits!$AG:$AG,'New Dashboard'!$A$23,Visits!$E:$E,'User Engagement'!$A79)</f>
        <v>0</v>
      </c>
      <c r="K79">
        <f>COUNTIFS(Visits!$AG:$AG,'New Dashboard'!$A$24,Visits!$E:$E,'User Engagement'!$A79)</f>
        <v>1</v>
      </c>
      <c r="L79">
        <f>COUNTIFS(Visits!$AG:$AG,'New Dashboard'!$A$25,Visits!$E:$E,'User Engagement'!$A79)</f>
        <v>0</v>
      </c>
      <c r="M79">
        <f t="shared" si="14"/>
        <v>0</v>
      </c>
      <c r="N79">
        <f t="shared" si="15"/>
        <v>1</v>
      </c>
      <c r="O79">
        <f t="shared" si="13"/>
        <v>0</v>
      </c>
      <c r="P79">
        <f t="shared" si="10"/>
        <v>0</v>
      </c>
      <c r="Q79" s="4">
        <f>SUMIF(Visits!$E$2:$E$90,'User Engagement'!$A79,Visits!$T$2:$T$90)</f>
        <v>0</v>
      </c>
      <c r="R79" s="4">
        <f>SUMIFS(Visits!$T$2:$T$90,Visits!$E$2:$E$90,'User Engagement'!$A79,Visits!$AF$2:$AF$90,"&gt;3/28/24")</f>
        <v>0</v>
      </c>
      <c r="S79" s="13">
        <f t="shared" si="11"/>
        <v>0</v>
      </c>
      <c r="T79" s="13">
        <f t="shared" si="12"/>
        <v>0</v>
      </c>
    </row>
    <row r="80" spans="1:20" ht="15.95">
      <c r="A80" t="str">
        <f>Users!A78</f>
        <v>sam.samedzade@gmail.com</v>
      </c>
      <c r="B80" s="23"/>
      <c r="C80" s="23"/>
      <c r="D80" s="1" cm="1">
        <f t="array" ref="D80">MAX(_xlfn._xlws.FILTER(Visits!AF:AF,Visits!E:E='User Engagement'!A80))</f>
        <v>45437</v>
      </c>
      <c r="E80">
        <f>COUNTIF(Visits!$E$2:$E$993,'User Engagement'!$A80)</f>
        <v>4</v>
      </c>
      <c r="F80">
        <f>COUNTIFS(Visits!$E$2:$E$993,'User Engagement'!$A81,Visits!$AF$2:$AF$993,"&gt;"&amp;($B$1-7))</f>
        <v>11</v>
      </c>
      <c r="G80">
        <f>COUNTIFS(Visits!$E$2:$E$993,'User Engagement'!$A80,Visits!$AF$2:$AF$993,"&gt;"&amp;($B$1-30))</f>
        <v>4</v>
      </c>
      <c r="H80">
        <f>COUNTIFS(Visits!$E$2:$E$993,$A80,Visits!$AF$2:$AF$993,"&gt;"&amp;($B$1-60))-G80</f>
        <v>0</v>
      </c>
      <c r="I80">
        <f>COUNTIFS(Visits!$AG:$AG,'New Dashboard'!$A$22,Visits!$E:$E,'User Engagement'!$A80)</f>
        <v>0</v>
      </c>
      <c r="J80">
        <f>COUNTIFS(Visits!$AG:$AG,'New Dashboard'!$A$23,Visits!$E:$E,'User Engagement'!$A80)</f>
        <v>0</v>
      </c>
      <c r="K80">
        <f>COUNTIFS(Visits!$AG:$AG,'New Dashboard'!$A$24,Visits!$E:$E,'User Engagement'!$A80)</f>
        <v>2</v>
      </c>
      <c r="L80">
        <f>COUNTIFS(Visits!$AG:$AG,'New Dashboard'!$A$25,Visits!$E:$E,'User Engagement'!$A80)</f>
        <v>2</v>
      </c>
      <c r="M80">
        <f t="shared" si="14"/>
        <v>0</v>
      </c>
      <c r="N80">
        <f t="shared" si="15"/>
        <v>1</v>
      </c>
      <c r="O80">
        <f t="shared" si="13"/>
        <v>0</v>
      </c>
      <c r="P80">
        <f t="shared" si="10"/>
        <v>1</v>
      </c>
      <c r="Q80" s="4">
        <f>SUMIF(Visits!$E$2:$E$90,'User Engagement'!$A80,Visits!$T$2:$T$90)</f>
        <v>15</v>
      </c>
      <c r="R80" s="4">
        <f>SUMIFS(Visits!$T$2:$T$90,Visits!$E$2:$E$90,'User Engagement'!$A80,Visits!$AF$2:$AF$90,"&gt;3/28/24")</f>
        <v>15</v>
      </c>
      <c r="S80" s="13">
        <f t="shared" si="11"/>
        <v>3.75</v>
      </c>
      <c r="T80" s="13">
        <f t="shared" si="12"/>
        <v>3.75</v>
      </c>
    </row>
    <row r="81" spans="1:20" ht="15.95">
      <c r="A81" t="str">
        <f>Users!A79</f>
        <v>khan.saretta@gmail.com</v>
      </c>
      <c r="B81" s="23"/>
      <c r="C81" s="23"/>
      <c r="D81" s="1" cm="1">
        <f t="array" ref="D81">MAX(_xlfn._xlws.FILTER(Visits!AF:AF,Visits!E:E='User Engagement'!A81))</f>
        <v>45499</v>
      </c>
      <c r="E81">
        <f>COUNTIF(Visits!$E$2:$E$993,'User Engagement'!$A81)</f>
        <v>11</v>
      </c>
      <c r="F81">
        <f>COUNTIFS(Visits!$E$2:$E$993,'User Engagement'!$A82,Visits!$AF$2:$AF$993,"&gt;"&amp;($B$1-7))</f>
        <v>0</v>
      </c>
      <c r="G81">
        <f>COUNTIFS(Visits!$E$2:$E$993,'User Engagement'!$A81,Visits!$AF$2:$AF$993,"&gt;"&amp;($B$1-30))</f>
        <v>11</v>
      </c>
      <c r="H81">
        <f>COUNTIFS(Visits!$E$2:$E$993,$A81,Visits!$AF$2:$AF$993,"&gt;"&amp;($B$1-60))-G81</f>
        <v>0</v>
      </c>
      <c r="I81">
        <f>COUNTIFS(Visits!$AG:$AG,'New Dashboard'!$A$22,Visits!$E:$E,'User Engagement'!$A81)</f>
        <v>3</v>
      </c>
      <c r="J81">
        <f>COUNTIFS(Visits!$AG:$AG,'New Dashboard'!$A$23,Visits!$E:$E,'User Engagement'!$A81)</f>
        <v>0</v>
      </c>
      <c r="K81">
        <f>COUNTIFS(Visits!$AG:$AG,'New Dashboard'!$A$24,Visits!$E:$E,'User Engagement'!$A81)</f>
        <v>4</v>
      </c>
      <c r="L81">
        <f>COUNTIFS(Visits!$AG:$AG,'New Dashboard'!$A$25,Visits!$E:$E,'User Engagement'!$A81)</f>
        <v>4</v>
      </c>
      <c r="M81">
        <f t="shared" si="14"/>
        <v>0</v>
      </c>
      <c r="N81">
        <f t="shared" si="15"/>
        <v>1</v>
      </c>
      <c r="O81">
        <f t="shared" si="13"/>
        <v>0</v>
      </c>
      <c r="P81">
        <f t="shared" si="10"/>
        <v>1</v>
      </c>
      <c r="Q81" s="4">
        <f>SUMIF(Visits!$E$2:$E$90,'User Engagement'!$A81,Visits!$T$2:$T$90)</f>
        <v>35</v>
      </c>
      <c r="R81" s="4">
        <f>SUMIFS(Visits!$T$2:$T$90,Visits!$E$2:$E$90,'User Engagement'!$A81,Visits!$AF$2:$AF$90,"&gt;3/28/24")</f>
        <v>35</v>
      </c>
      <c r="S81" s="13">
        <f t="shared" si="11"/>
        <v>3.1818181818181817</v>
      </c>
      <c r="T81" s="13">
        <f t="shared" si="12"/>
        <v>3.1818181818181817</v>
      </c>
    </row>
    <row r="82" spans="1:20" ht="15.95">
      <c r="A82" t="str">
        <f>Users!A80</f>
        <v>scottrgilbert@hotmail.com</v>
      </c>
      <c r="B82" s="23"/>
      <c r="C82" s="23"/>
      <c r="D82" s="1" t="e" cm="1" vm="1">
        <f t="array" ref="D82">MAX(_xlfn._xlws.FILTER(Visits!AF:AF,Visits!E:E='User Engagement'!A82))</f>
        <v>#VALUE!</v>
      </c>
      <c r="E82">
        <f>COUNTIF(Visits!$E$2:$E$993,'User Engagement'!$A82)</f>
        <v>0</v>
      </c>
      <c r="F82">
        <f>COUNTIFS(Visits!$E$2:$E$993,'User Engagement'!$A83,Visits!$AF$2:$AF$993,"&gt;"&amp;($B$1-7))</f>
        <v>2</v>
      </c>
      <c r="G82">
        <f>COUNTIFS(Visits!$E$2:$E$993,'User Engagement'!$A82,Visits!$AF$2:$AF$993,"&gt;"&amp;($B$1-30))</f>
        <v>0</v>
      </c>
      <c r="H82">
        <f>COUNTIFS(Visits!$E$2:$E$993,$A82,Visits!$AF$2:$AF$993,"&gt;"&amp;($B$1-60))-G82</f>
        <v>0</v>
      </c>
      <c r="I82">
        <f>COUNTIFS(Visits!$AG:$AG,'New Dashboard'!$A$22,Visits!$E:$E,'User Engagement'!$A82)</f>
        <v>0</v>
      </c>
      <c r="J82">
        <f>COUNTIFS(Visits!$AG:$AG,'New Dashboard'!$A$23,Visits!$E:$E,'User Engagement'!$A82)</f>
        <v>0</v>
      </c>
      <c r="K82">
        <f>COUNTIFS(Visits!$AG:$AG,'New Dashboard'!$A$24,Visits!$E:$E,'User Engagement'!$A82)</f>
        <v>0</v>
      </c>
      <c r="L82">
        <f>COUNTIFS(Visits!$AG:$AG,'New Dashboard'!$A$25,Visits!$E:$E,'User Engagement'!$A82)</f>
        <v>0</v>
      </c>
      <c r="M82">
        <f t="shared" si="14"/>
        <v>0</v>
      </c>
      <c r="N82">
        <f t="shared" si="15"/>
        <v>0</v>
      </c>
      <c r="O82">
        <f t="shared" si="13"/>
        <v>0</v>
      </c>
      <c r="P82">
        <f t="shared" si="10"/>
        <v>0</v>
      </c>
      <c r="Q82" s="4">
        <f>SUMIF(Visits!$E$2:$E$90,'User Engagement'!$A82,Visits!$T$2:$T$90)</f>
        <v>0</v>
      </c>
      <c r="R82" s="4">
        <f>SUMIFS(Visits!$T$2:$T$90,Visits!$E$2:$E$90,'User Engagement'!$A82,Visits!$AF$2:$AF$90,"&gt;3/28/24")</f>
        <v>0</v>
      </c>
      <c r="S82" s="13" t="e">
        <f t="shared" si="11"/>
        <v>#DIV/0!</v>
      </c>
      <c r="T82" s="13" t="str">
        <f t="shared" si="12"/>
        <v>n/a</v>
      </c>
    </row>
    <row r="83" spans="1:20" ht="15.95">
      <c r="A83" t="str">
        <f>Users!A81</f>
        <v>kittyor.or@gmail.com</v>
      </c>
      <c r="B83" s="23"/>
      <c r="C83" s="23"/>
      <c r="D83" s="1" cm="1">
        <f t="array" ref="D83">MAX(_xlfn._xlws.FILTER(Visits!AF:AF,Visits!E:E='User Engagement'!A83))</f>
        <v>45423</v>
      </c>
      <c r="E83">
        <f>COUNTIF(Visits!$E$2:$E$993,'User Engagement'!$A83)</f>
        <v>2</v>
      </c>
      <c r="F83">
        <f>COUNTIFS(Visits!$E$2:$E$993,'User Engagement'!$A84,Visits!$AF$2:$AF$993,"&gt;"&amp;($B$1-7))</f>
        <v>7</v>
      </c>
      <c r="G83">
        <f>COUNTIFS(Visits!$E$2:$E$993,'User Engagement'!$A83,Visits!$AF$2:$AF$993,"&gt;"&amp;($B$1-30))</f>
        <v>2</v>
      </c>
      <c r="H83">
        <f>COUNTIFS(Visits!$E$2:$E$993,$A83,Visits!$AF$2:$AF$993,"&gt;"&amp;($B$1-60))-G83</f>
        <v>0</v>
      </c>
      <c r="I83">
        <f>COUNTIFS(Visits!$AG:$AG,'New Dashboard'!$A$22,Visits!$E:$E,'User Engagement'!$A83)</f>
        <v>0</v>
      </c>
      <c r="J83">
        <f>COUNTIFS(Visits!$AG:$AG,'New Dashboard'!$A$23,Visits!$E:$E,'User Engagement'!$A83)</f>
        <v>0</v>
      </c>
      <c r="K83">
        <f>COUNTIFS(Visits!$AG:$AG,'New Dashboard'!$A$24,Visits!$E:$E,'User Engagement'!$A83)</f>
        <v>1</v>
      </c>
      <c r="L83">
        <f>COUNTIFS(Visits!$AG:$AG,'New Dashboard'!$A$25,Visits!$E:$E,'User Engagement'!$A83)</f>
        <v>1</v>
      </c>
      <c r="M83">
        <f t="shared" si="14"/>
        <v>0</v>
      </c>
      <c r="N83">
        <f t="shared" si="15"/>
        <v>1</v>
      </c>
      <c r="O83">
        <f t="shared" si="13"/>
        <v>0</v>
      </c>
      <c r="P83">
        <f t="shared" si="10"/>
        <v>0</v>
      </c>
      <c r="Q83" s="4">
        <f>SUMIF(Visits!$E$2:$E$90,'User Engagement'!$A83,Visits!$T$2:$T$90)</f>
        <v>0</v>
      </c>
      <c r="R83" s="4">
        <f>SUMIFS(Visits!$T$2:$T$90,Visits!$E$2:$E$90,'User Engagement'!$A83,Visits!$AF$2:$AF$90,"&gt;3/28/24")</f>
        <v>0</v>
      </c>
      <c r="S83" s="13">
        <f t="shared" si="11"/>
        <v>0</v>
      </c>
      <c r="T83" s="13">
        <f t="shared" si="12"/>
        <v>0</v>
      </c>
    </row>
    <row r="84" spans="1:20" ht="15.95">
      <c r="A84" t="str">
        <f>Users!A82</f>
        <v>shaysteele2017@gmail.com</v>
      </c>
      <c r="B84" s="23"/>
      <c r="C84" s="23"/>
      <c r="D84" s="1" cm="1">
        <f t="array" ref="D84">MAX(_xlfn._xlws.FILTER(Visits!AF:AF,Visits!E:E='User Engagement'!A84))</f>
        <v>45499</v>
      </c>
      <c r="E84">
        <f>COUNTIF(Visits!$E$2:$E$993,'User Engagement'!$A84)</f>
        <v>7</v>
      </c>
      <c r="F84">
        <f>COUNTIFS(Visits!$E$2:$E$993,'User Engagement'!$A85,Visits!$AF$2:$AF$993,"&gt;"&amp;($B$1-7))</f>
        <v>3</v>
      </c>
      <c r="G84">
        <f>COUNTIFS(Visits!$E$2:$E$993,'User Engagement'!$A84,Visits!$AF$2:$AF$993,"&gt;"&amp;($B$1-30))</f>
        <v>7</v>
      </c>
      <c r="H84">
        <f>COUNTIFS(Visits!$E$2:$E$993,$A84,Visits!$AF$2:$AF$993,"&gt;"&amp;($B$1-60))-G84</f>
        <v>0</v>
      </c>
      <c r="I84">
        <f>COUNTIFS(Visits!$AG:$AG,'New Dashboard'!$A$22,Visits!$E:$E,'User Engagement'!$A84)</f>
        <v>1</v>
      </c>
      <c r="J84">
        <f>COUNTIFS(Visits!$AG:$AG,'New Dashboard'!$A$23,Visits!$E:$E,'User Engagement'!$A84)</f>
        <v>2</v>
      </c>
      <c r="K84">
        <f>COUNTIFS(Visits!$AG:$AG,'New Dashboard'!$A$24,Visits!$E:$E,'User Engagement'!$A84)</f>
        <v>2</v>
      </c>
      <c r="L84">
        <f>COUNTIFS(Visits!$AG:$AG,'New Dashboard'!$A$25,Visits!$E:$E,'User Engagement'!$A84)</f>
        <v>2</v>
      </c>
      <c r="M84">
        <f t="shared" si="14"/>
        <v>0</v>
      </c>
      <c r="N84">
        <f t="shared" si="15"/>
        <v>1</v>
      </c>
      <c r="O84">
        <f t="shared" si="13"/>
        <v>0</v>
      </c>
      <c r="P84">
        <f t="shared" si="10"/>
        <v>1</v>
      </c>
      <c r="Q84" s="4">
        <f>SUMIF(Visits!$E$2:$E$90,'User Engagement'!$A84,Visits!$T$2:$T$90)</f>
        <v>7.5</v>
      </c>
      <c r="R84" s="4">
        <f>SUMIFS(Visits!$T$2:$T$90,Visits!$E$2:$E$90,'User Engagement'!$A84,Visits!$AF$2:$AF$90,"&gt;3/28/24")</f>
        <v>7.5</v>
      </c>
      <c r="S84" s="13">
        <f t="shared" si="11"/>
        <v>1.0714285714285714</v>
      </c>
      <c r="T84" s="13">
        <f t="shared" si="12"/>
        <v>1.0714285714285714</v>
      </c>
    </row>
    <row r="85" spans="1:20" ht="15.95">
      <c r="A85" t="str">
        <f>Users!A83</f>
        <v>shlimbc2@gmail.com</v>
      </c>
      <c r="B85" s="23"/>
      <c r="C85" s="23"/>
      <c r="D85" s="1" cm="1">
        <f t="array" ref="D85">MAX(_xlfn._xlws.FILTER(Visits!AF:AF,Visits!E:E='User Engagement'!A85))</f>
        <v>45480.583333333336</v>
      </c>
      <c r="E85">
        <f>COUNTIF(Visits!$E$2:$E$993,'User Engagement'!$A85)</f>
        <v>3</v>
      </c>
      <c r="F85">
        <f>COUNTIFS(Visits!$E$2:$E$993,'User Engagement'!$A86,Visits!$AF$2:$AF$993,"&gt;"&amp;($B$1-7))</f>
        <v>1</v>
      </c>
      <c r="G85">
        <f>COUNTIFS(Visits!$E$2:$E$993,'User Engagement'!$A85,Visits!$AF$2:$AF$993,"&gt;"&amp;($B$1-30))</f>
        <v>3</v>
      </c>
      <c r="H85">
        <f>COUNTIFS(Visits!$E$2:$E$993,$A85,Visits!$AF$2:$AF$993,"&gt;"&amp;($B$1-60))-G85</f>
        <v>0</v>
      </c>
      <c r="I85">
        <f>COUNTIFS(Visits!$AG:$AG,'New Dashboard'!$A$22,Visits!$E:$E,'User Engagement'!$A85)</f>
        <v>1</v>
      </c>
      <c r="J85">
        <f>COUNTIFS(Visits!$AG:$AG,'New Dashboard'!$A$23,Visits!$E:$E,'User Engagement'!$A85)</f>
        <v>0</v>
      </c>
      <c r="K85">
        <f>COUNTIFS(Visits!$AG:$AG,'New Dashboard'!$A$24,Visits!$E:$E,'User Engagement'!$A85)</f>
        <v>1</v>
      </c>
      <c r="L85">
        <f>COUNTIFS(Visits!$AG:$AG,'New Dashboard'!$A$25,Visits!$E:$E,'User Engagement'!$A85)</f>
        <v>1</v>
      </c>
      <c r="M85">
        <f t="shared" si="14"/>
        <v>0</v>
      </c>
      <c r="N85">
        <f t="shared" si="15"/>
        <v>1</v>
      </c>
      <c r="O85">
        <f t="shared" si="13"/>
        <v>0</v>
      </c>
      <c r="P85">
        <f t="shared" si="10"/>
        <v>1</v>
      </c>
      <c r="Q85" s="4">
        <f>SUMIF(Visits!$E$2:$E$90,'User Engagement'!$A85,Visits!$T$2:$T$90)</f>
        <v>0</v>
      </c>
      <c r="R85" s="4">
        <f>SUMIFS(Visits!$T$2:$T$90,Visits!$E$2:$E$90,'User Engagement'!$A85,Visits!$AF$2:$AF$90,"&gt;3/28/24")</f>
        <v>0</v>
      </c>
      <c r="S85" s="13">
        <f t="shared" si="11"/>
        <v>0</v>
      </c>
      <c r="T85" s="13">
        <f t="shared" si="12"/>
        <v>0</v>
      </c>
    </row>
    <row r="86" spans="1:20" ht="15.95">
      <c r="A86" t="str">
        <f>Users!A84</f>
        <v>scribu@gmail.com</v>
      </c>
      <c r="B86" s="23"/>
      <c r="C86" s="23"/>
      <c r="D86" s="1" cm="1">
        <f t="array" ref="D86">MAX(_xlfn._xlws.FILTER(Visits!AF:AF,Visits!E:E='User Engagement'!A86))</f>
        <v>45381</v>
      </c>
      <c r="E86">
        <f>COUNTIF(Visits!$E$2:$E$993,'User Engagement'!$A86)</f>
        <v>1</v>
      </c>
      <c r="F86">
        <f>COUNTIFS(Visits!$E$2:$E$993,'User Engagement'!$A87,Visits!$AF$2:$AF$993,"&gt;"&amp;($B$1-7))</f>
        <v>4</v>
      </c>
      <c r="G86">
        <f>COUNTIFS(Visits!$E$2:$E$993,'User Engagement'!$A86,Visits!$AF$2:$AF$993,"&gt;"&amp;($B$1-30))</f>
        <v>1</v>
      </c>
      <c r="H86">
        <f>COUNTIFS(Visits!$E$2:$E$993,$A86,Visits!$AF$2:$AF$993,"&gt;"&amp;($B$1-60))-G86</f>
        <v>0</v>
      </c>
      <c r="I86">
        <f>COUNTIFS(Visits!$AG:$AG,'New Dashboard'!$A$22,Visits!$E:$E,'User Engagement'!$A86)</f>
        <v>0</v>
      </c>
      <c r="J86">
        <f>COUNTIFS(Visits!$AG:$AG,'New Dashboard'!$A$23,Visits!$E:$E,'User Engagement'!$A86)</f>
        <v>0</v>
      </c>
      <c r="K86">
        <f>COUNTIFS(Visits!$AG:$AG,'New Dashboard'!$A$24,Visits!$E:$E,'User Engagement'!$A86)</f>
        <v>0</v>
      </c>
      <c r="L86">
        <f>COUNTIFS(Visits!$AG:$AG,'New Dashboard'!$A$25,Visits!$E:$E,'User Engagement'!$A86)</f>
        <v>0</v>
      </c>
      <c r="M86">
        <f t="shared" si="14"/>
        <v>0</v>
      </c>
      <c r="N86">
        <f t="shared" si="15"/>
        <v>1</v>
      </c>
      <c r="O86">
        <f t="shared" si="13"/>
        <v>0</v>
      </c>
      <c r="P86">
        <f t="shared" si="10"/>
        <v>0</v>
      </c>
      <c r="Q86" s="4">
        <f>SUMIF(Visits!$E$2:$E$90,'User Engagement'!$A86,Visits!$T$2:$T$90)</f>
        <v>5</v>
      </c>
      <c r="R86" s="4">
        <f>SUMIFS(Visits!$T$2:$T$90,Visits!$E$2:$E$90,'User Engagement'!$A86,Visits!$AF$2:$AF$90,"&gt;3/28/24")</f>
        <v>5</v>
      </c>
      <c r="S86" s="13">
        <f t="shared" si="11"/>
        <v>5</v>
      </c>
      <c r="T86" s="13">
        <f t="shared" si="12"/>
        <v>5</v>
      </c>
    </row>
    <row r="87" spans="1:20" ht="15.95">
      <c r="A87" t="str">
        <f>Users!A85</f>
        <v>simon.brk@gmail.com</v>
      </c>
      <c r="B87" s="23"/>
      <c r="C87" s="23"/>
      <c r="D87" s="1" cm="1">
        <f t="array" ref="D87">MAX(_xlfn._xlws.FILTER(Visits!AF:AF,Visits!E:E='User Engagement'!A87))</f>
        <v>45499</v>
      </c>
      <c r="E87">
        <f>COUNTIF(Visits!$E$2:$E$993,'User Engagement'!$A87)</f>
        <v>4</v>
      </c>
      <c r="F87">
        <f>COUNTIFS(Visits!$E$2:$E$993,'User Engagement'!$A88,Visits!$AF$2:$AF$993,"&gt;"&amp;($B$1-7))</f>
        <v>1</v>
      </c>
      <c r="G87">
        <f>COUNTIFS(Visits!$E$2:$E$993,'User Engagement'!$A87,Visits!$AF$2:$AF$993,"&gt;"&amp;($B$1-30))</f>
        <v>4</v>
      </c>
      <c r="H87">
        <f>COUNTIFS(Visits!$E$2:$E$993,$A87,Visits!$AF$2:$AF$993,"&gt;"&amp;($B$1-60))-G87</f>
        <v>0</v>
      </c>
      <c r="I87">
        <f>COUNTIFS(Visits!$AG:$AG,'New Dashboard'!$A$22,Visits!$E:$E,'User Engagement'!$A87)</f>
        <v>2</v>
      </c>
      <c r="J87">
        <f>COUNTIFS(Visits!$AG:$AG,'New Dashboard'!$A$23,Visits!$E:$E,'User Engagement'!$A87)</f>
        <v>2</v>
      </c>
      <c r="K87">
        <f>COUNTIFS(Visits!$AG:$AG,'New Dashboard'!$A$24,Visits!$E:$E,'User Engagement'!$A87)</f>
        <v>0</v>
      </c>
      <c r="L87">
        <f>COUNTIFS(Visits!$AG:$AG,'New Dashboard'!$A$25,Visits!$E:$E,'User Engagement'!$A87)</f>
        <v>0</v>
      </c>
      <c r="M87">
        <f t="shared" si="14"/>
        <v>0</v>
      </c>
      <c r="N87">
        <f t="shared" si="15"/>
        <v>1</v>
      </c>
      <c r="O87">
        <f t="shared" si="13"/>
        <v>0</v>
      </c>
      <c r="P87">
        <f t="shared" si="10"/>
        <v>1</v>
      </c>
      <c r="Q87" s="4">
        <f>SUMIF(Visits!$E$2:$E$90,'User Engagement'!$A87,Visits!$T$2:$T$90)</f>
        <v>0</v>
      </c>
      <c r="R87" s="4">
        <f>SUMIFS(Visits!$T$2:$T$90,Visits!$E$2:$E$90,'User Engagement'!$A87,Visits!$AF$2:$AF$90,"&gt;3/28/24")</f>
        <v>0</v>
      </c>
      <c r="S87" s="13">
        <f t="shared" si="11"/>
        <v>0</v>
      </c>
      <c r="T87" s="13">
        <f t="shared" si="12"/>
        <v>0</v>
      </c>
    </row>
    <row r="88" spans="1:20" ht="15.95">
      <c r="A88" t="str">
        <f>Users!A86</f>
        <v>simon88e@yahoo.com</v>
      </c>
      <c r="B88" s="23"/>
      <c r="C88" s="23"/>
      <c r="D88" s="1" cm="1">
        <f t="array" ref="D88">MAX(_xlfn._xlws.FILTER(Visits!AF:AF,Visits!E:E='User Engagement'!A88))</f>
        <v>45381</v>
      </c>
      <c r="E88">
        <f>COUNTIF(Visits!$E$2:$E$993,'User Engagement'!$A88)</f>
        <v>1</v>
      </c>
      <c r="F88">
        <f>COUNTIFS(Visits!$E$2:$E$993,'User Engagement'!$A89,Visits!$AF$2:$AF$993,"&gt;"&amp;($B$1-7))</f>
        <v>1</v>
      </c>
      <c r="G88">
        <f>COUNTIFS(Visits!$E$2:$E$993,'User Engagement'!$A88,Visits!$AF$2:$AF$993,"&gt;"&amp;($B$1-30))</f>
        <v>1</v>
      </c>
      <c r="H88">
        <f>COUNTIFS(Visits!$E$2:$E$993,$A88,Visits!$AF$2:$AF$993,"&gt;"&amp;($B$1-60))-G88</f>
        <v>0</v>
      </c>
      <c r="I88">
        <f>COUNTIFS(Visits!$AG:$AG,'New Dashboard'!$A$22,Visits!$E:$E,'User Engagement'!$A88)</f>
        <v>0</v>
      </c>
      <c r="J88">
        <f>COUNTIFS(Visits!$AG:$AG,'New Dashboard'!$A$23,Visits!$E:$E,'User Engagement'!$A88)</f>
        <v>0</v>
      </c>
      <c r="K88">
        <f>COUNTIFS(Visits!$AG:$AG,'New Dashboard'!$A$24,Visits!$E:$E,'User Engagement'!$A88)</f>
        <v>0</v>
      </c>
      <c r="L88">
        <f>COUNTIFS(Visits!$AG:$AG,'New Dashboard'!$A$25,Visits!$E:$E,'User Engagement'!$A88)</f>
        <v>0</v>
      </c>
      <c r="M88">
        <f t="shared" si="14"/>
        <v>1</v>
      </c>
      <c r="N88">
        <f t="shared" si="15"/>
        <v>1</v>
      </c>
      <c r="O88">
        <f t="shared" si="13"/>
        <v>0</v>
      </c>
      <c r="P88">
        <f t="shared" si="10"/>
        <v>0</v>
      </c>
      <c r="Q88" s="4">
        <f>SUMIF(Visits!$E$2:$E$90,'User Engagement'!$A88,Visits!$T$2:$T$90)</f>
        <v>5</v>
      </c>
      <c r="R88" s="4">
        <f>SUMIFS(Visits!$T$2:$T$90,Visits!$E$2:$E$90,'User Engagement'!$A88,Visits!$AF$2:$AF$90,"&gt;3/28/24")</f>
        <v>5</v>
      </c>
      <c r="S88" s="13">
        <f t="shared" si="11"/>
        <v>5</v>
      </c>
      <c r="T88" s="13">
        <f t="shared" si="12"/>
        <v>5</v>
      </c>
    </row>
    <row r="89" spans="1:20" ht="15.95">
      <c r="A89" t="str">
        <f>Users!A87</f>
        <v>sophia.shemlugu@gmail.com</v>
      </c>
      <c r="B89" s="23"/>
      <c r="C89" s="23"/>
      <c r="D89" s="1" cm="1">
        <f t="array" ref="D89">MAX(_xlfn._xlws.FILTER(Visits!AF:AF,Visits!E:E='User Engagement'!A89))</f>
        <v>45386</v>
      </c>
      <c r="E89">
        <f>COUNTIF(Visits!$E$2:$E$993,'User Engagement'!$A89)</f>
        <v>1</v>
      </c>
      <c r="F89">
        <f>COUNTIFS(Visits!$E$2:$E$993,'User Engagement'!$A90,Visits!$AF$2:$AF$993,"&gt;"&amp;($B$1-7))</f>
        <v>3</v>
      </c>
      <c r="G89">
        <f>COUNTIFS(Visits!$E$2:$E$993,'User Engagement'!$A89,Visits!$AF$2:$AF$993,"&gt;"&amp;($B$1-30))</f>
        <v>1</v>
      </c>
      <c r="H89">
        <f>COUNTIFS(Visits!$E$2:$E$993,$A89,Visits!$AF$2:$AF$993,"&gt;"&amp;($B$1-60))-G89</f>
        <v>0</v>
      </c>
      <c r="I89">
        <f>COUNTIFS(Visits!$AG:$AG,'New Dashboard'!$A$22,Visits!$E:$E,'User Engagement'!$A89)</f>
        <v>0</v>
      </c>
      <c r="J89">
        <f>COUNTIFS(Visits!$AG:$AG,'New Dashboard'!$A$23,Visits!$E:$E,'User Engagement'!$A89)</f>
        <v>0</v>
      </c>
      <c r="K89">
        <f>COUNTIFS(Visits!$AG:$AG,'New Dashboard'!$A$24,Visits!$E:$E,'User Engagement'!$A89)</f>
        <v>0</v>
      </c>
      <c r="L89">
        <f>COUNTIFS(Visits!$AG:$AG,'New Dashboard'!$A$25,Visits!$E:$E,'User Engagement'!$A89)</f>
        <v>1</v>
      </c>
      <c r="M89">
        <f t="shared" si="14"/>
        <v>0</v>
      </c>
      <c r="N89">
        <f t="shared" si="15"/>
        <v>1</v>
      </c>
      <c r="O89">
        <f t="shared" si="13"/>
        <v>0</v>
      </c>
      <c r="P89">
        <f t="shared" si="10"/>
        <v>0</v>
      </c>
      <c r="Q89" s="4">
        <f>SUMIF(Visits!$E$2:$E$90,'User Engagement'!$A89,Visits!$T$2:$T$90)</f>
        <v>15</v>
      </c>
      <c r="R89" s="4">
        <f>SUMIFS(Visits!$T$2:$T$90,Visits!$E$2:$E$90,'User Engagement'!$A89,Visits!$AF$2:$AF$90,"&gt;3/28/24")</f>
        <v>15</v>
      </c>
      <c r="S89" s="13">
        <f t="shared" si="11"/>
        <v>15</v>
      </c>
      <c r="T89" s="13">
        <f t="shared" si="12"/>
        <v>15</v>
      </c>
    </row>
    <row r="90" spans="1:20" ht="15.95">
      <c r="A90" t="str">
        <f>Users!A88</f>
        <v>srivaths.s@gmail.com</v>
      </c>
      <c r="B90" s="23"/>
      <c r="C90" s="23"/>
      <c r="D90" s="1" cm="1">
        <f t="array" ref="D90">MAX(_xlfn._xlws.FILTER(Visits!AF:AF,Visits!E:E='User Engagement'!A90))</f>
        <v>45416</v>
      </c>
      <c r="E90">
        <f>COUNTIF(Visits!$E$2:$E$993,'User Engagement'!$A90)</f>
        <v>3</v>
      </c>
      <c r="F90">
        <f>COUNTIFS(Visits!$E$2:$E$993,'User Engagement'!$A91,Visits!$AF$2:$AF$993,"&gt;"&amp;($B$1-7))</f>
        <v>2</v>
      </c>
      <c r="G90">
        <f>COUNTIFS(Visits!$E$2:$E$993,'User Engagement'!$A90,Visits!$AF$2:$AF$993,"&gt;"&amp;($B$1-30))</f>
        <v>3</v>
      </c>
      <c r="H90">
        <f>COUNTIFS(Visits!$E$2:$E$993,$A90,Visits!$AF$2:$AF$993,"&gt;"&amp;($B$1-60))-G90</f>
        <v>0</v>
      </c>
      <c r="I90">
        <f>COUNTIFS(Visits!$AG:$AG,'New Dashboard'!$A$22,Visits!$E:$E,'User Engagement'!$A90)</f>
        <v>0</v>
      </c>
      <c r="J90">
        <f>COUNTIFS(Visits!$AG:$AG,'New Dashboard'!$A$23,Visits!$E:$E,'User Engagement'!$A90)</f>
        <v>0</v>
      </c>
      <c r="K90">
        <f>COUNTIFS(Visits!$AG:$AG,'New Dashboard'!$A$24,Visits!$E:$E,'User Engagement'!$A90)</f>
        <v>1</v>
      </c>
      <c r="L90">
        <f>COUNTIFS(Visits!$AG:$AG,'New Dashboard'!$A$25,Visits!$E:$E,'User Engagement'!$A90)</f>
        <v>1</v>
      </c>
      <c r="M90">
        <f t="shared" si="14"/>
        <v>0</v>
      </c>
      <c r="N90">
        <f t="shared" si="15"/>
        <v>1</v>
      </c>
      <c r="O90">
        <f t="shared" si="13"/>
        <v>0</v>
      </c>
      <c r="P90">
        <f t="shared" si="10"/>
        <v>1</v>
      </c>
      <c r="Q90" s="4">
        <f>SUMIF(Visits!$E$2:$E$90,'User Engagement'!$A90,Visits!$T$2:$T$90)</f>
        <v>50</v>
      </c>
      <c r="R90" s="4">
        <f>SUMIFS(Visits!$T$2:$T$90,Visits!$E$2:$E$90,'User Engagement'!$A90,Visits!$AF$2:$AF$90,"&gt;3/28/24")</f>
        <v>10</v>
      </c>
      <c r="S90" s="13">
        <f t="shared" si="11"/>
        <v>16.666666666666668</v>
      </c>
      <c r="T90" s="13">
        <f t="shared" si="12"/>
        <v>3.3333333333333335</v>
      </c>
    </row>
    <row r="91" spans="1:20" ht="15.95">
      <c r="A91" t="str">
        <f>Users!A89</f>
        <v>susandjackson01@gmail.com</v>
      </c>
      <c r="B91" s="23"/>
      <c r="C91" s="23"/>
      <c r="D91" s="1" cm="1">
        <f t="array" ref="D91">MAX(_xlfn._xlws.FILTER(Visits!AF:AF,Visits!E:E='User Engagement'!A91))</f>
        <v>45506</v>
      </c>
      <c r="E91">
        <f>COUNTIF(Visits!$E$2:$E$993,'User Engagement'!$A91)</f>
        <v>2</v>
      </c>
      <c r="F91">
        <f>COUNTIFS(Visits!$E$2:$E$993,'User Engagement'!$A92,Visits!$AF$2:$AF$993,"&gt;"&amp;($B$1-7))</f>
        <v>1</v>
      </c>
      <c r="G91">
        <f>COUNTIFS(Visits!$E$2:$E$993,'User Engagement'!$A91,Visits!$AF$2:$AF$993,"&gt;"&amp;($B$1-30))</f>
        <v>2</v>
      </c>
      <c r="H91">
        <f>COUNTIFS(Visits!$E$2:$E$993,$A91,Visits!$AF$2:$AF$993,"&gt;"&amp;($B$1-60))-G91</f>
        <v>0</v>
      </c>
      <c r="I91">
        <f>COUNTIFS(Visits!$AG:$AG,'New Dashboard'!$A$22,Visits!$E:$E,'User Engagement'!$A91)</f>
        <v>0</v>
      </c>
      <c r="J91">
        <f>COUNTIFS(Visits!$AG:$AG,'New Dashboard'!$A$23,Visits!$E:$E,'User Engagement'!$A91)</f>
        <v>0</v>
      </c>
      <c r="K91">
        <f>COUNTIFS(Visits!$AG:$AG,'New Dashboard'!$A$24,Visits!$E:$E,'User Engagement'!$A91)</f>
        <v>0</v>
      </c>
      <c r="L91">
        <f>COUNTIFS(Visits!$AG:$AG,'New Dashboard'!$A$25,Visits!$E:$E,'User Engagement'!$A91)</f>
        <v>0</v>
      </c>
      <c r="M91">
        <f t="shared" si="14"/>
        <v>0</v>
      </c>
      <c r="N91">
        <f t="shared" si="15"/>
        <v>1</v>
      </c>
      <c r="O91">
        <f t="shared" si="13"/>
        <v>0</v>
      </c>
      <c r="P91">
        <f t="shared" si="10"/>
        <v>0</v>
      </c>
      <c r="Q91" s="4">
        <f>SUMIF(Visits!$E$2:$E$90,'User Engagement'!$A91,Visits!$T$2:$T$90)</f>
        <v>40</v>
      </c>
      <c r="R91" s="4">
        <f>SUMIFS(Visits!$T$2:$T$90,Visits!$E$2:$E$90,'User Engagement'!$A91,Visits!$AF$2:$AF$90,"&gt;3/28/24")</f>
        <v>0</v>
      </c>
      <c r="S91" s="13">
        <f t="shared" si="11"/>
        <v>20</v>
      </c>
      <c r="T91" s="13">
        <f t="shared" si="12"/>
        <v>0</v>
      </c>
    </row>
    <row r="92" spans="1:20" ht="15.95">
      <c r="A92" t="str">
        <f>Users!A90</f>
        <v>tatatamzzz@gmail.com</v>
      </c>
      <c r="B92" s="23"/>
      <c r="C92" s="23"/>
      <c r="D92" s="1" cm="1">
        <f t="array" ref="D92">MAX(_xlfn._xlws.FILTER(Visits!AF:AF,Visits!E:E='User Engagement'!A92))</f>
        <v>45416</v>
      </c>
      <c r="E92">
        <f>COUNTIF(Visits!$E$2:$E$993,'User Engagement'!$A92)</f>
        <v>1</v>
      </c>
      <c r="F92">
        <f>COUNTIFS(Visits!$E$2:$E$993,'User Engagement'!$A93,Visits!$AF$2:$AF$993,"&gt;"&amp;($B$1-7))</f>
        <v>2</v>
      </c>
      <c r="G92">
        <f>COUNTIFS(Visits!$E$2:$E$993,'User Engagement'!$A92,Visits!$AF$2:$AF$993,"&gt;"&amp;($B$1-30))</f>
        <v>1</v>
      </c>
      <c r="H92">
        <f>COUNTIFS(Visits!$E$2:$E$993,$A92,Visits!$AF$2:$AF$993,"&gt;"&amp;($B$1-60))-G92</f>
        <v>0</v>
      </c>
      <c r="I92">
        <f>COUNTIFS(Visits!$AG:$AG,'New Dashboard'!$A$22,Visits!$E:$E,'User Engagement'!$A92)</f>
        <v>0</v>
      </c>
      <c r="J92">
        <f>COUNTIFS(Visits!$AG:$AG,'New Dashboard'!$A$23,Visits!$E:$E,'User Engagement'!$A92)</f>
        <v>0</v>
      </c>
      <c r="K92">
        <f>COUNTIFS(Visits!$AG:$AG,'New Dashboard'!$A$24,Visits!$E:$E,'User Engagement'!$A92)</f>
        <v>1</v>
      </c>
      <c r="L92">
        <f>COUNTIFS(Visits!$AG:$AG,'New Dashboard'!$A$25,Visits!$E:$E,'User Engagement'!$A92)</f>
        <v>0</v>
      </c>
      <c r="M92">
        <f t="shared" si="14"/>
        <v>0</v>
      </c>
      <c r="N92">
        <f t="shared" si="15"/>
        <v>1</v>
      </c>
      <c r="O92">
        <f t="shared" si="13"/>
        <v>0</v>
      </c>
      <c r="P92">
        <f t="shared" si="10"/>
        <v>0</v>
      </c>
      <c r="Q92" s="4">
        <f>SUMIF(Visits!$E$2:$E$90,'User Engagement'!$A92,Visits!$T$2:$T$90)</f>
        <v>0</v>
      </c>
      <c r="R92" s="4">
        <f>SUMIFS(Visits!$T$2:$T$90,Visits!$E$2:$E$90,'User Engagement'!$A92,Visits!$AF$2:$AF$90,"&gt;3/28/24")</f>
        <v>0</v>
      </c>
      <c r="S92" s="13">
        <f t="shared" si="11"/>
        <v>0</v>
      </c>
      <c r="T92" s="13">
        <f t="shared" si="12"/>
        <v>0</v>
      </c>
    </row>
    <row r="93" spans="1:20" ht="15.95">
      <c r="A93" t="str">
        <f>Users!A91</f>
        <v>tamara.dews@lseg.com</v>
      </c>
      <c r="B93" s="23"/>
      <c r="C93" s="23"/>
      <c r="D93" s="1" cm="1">
        <f t="array" ref="D93">MAX(_xlfn._xlws.FILTER(Visits!AF:AF,Visits!E:E='User Engagement'!A93))</f>
        <v>45499</v>
      </c>
      <c r="E93">
        <f>COUNTIF(Visits!$E$2:$E$993,'User Engagement'!$A93)</f>
        <v>2</v>
      </c>
      <c r="F93">
        <f>COUNTIFS(Visits!$E$2:$E$993,'User Engagement'!$A94,Visits!$AF$2:$AF$993,"&gt;"&amp;($B$1-7))</f>
        <v>9</v>
      </c>
      <c r="G93">
        <f>COUNTIFS(Visits!$E$2:$E$993,'User Engagement'!$A93,Visits!$AF$2:$AF$993,"&gt;"&amp;($B$1-30))</f>
        <v>2</v>
      </c>
      <c r="H93">
        <f>COUNTIFS(Visits!$E$2:$E$993,$A93,Visits!$AF$2:$AF$993,"&gt;"&amp;($B$1-60))-G93</f>
        <v>0</v>
      </c>
      <c r="I93">
        <f>COUNTIFS(Visits!$AG:$AG,'New Dashboard'!$A$22,Visits!$E:$E,'User Engagement'!$A93)</f>
        <v>1</v>
      </c>
      <c r="J93">
        <f>COUNTIFS(Visits!$AG:$AG,'New Dashboard'!$A$23,Visits!$E:$E,'User Engagement'!$A93)</f>
        <v>0</v>
      </c>
      <c r="K93">
        <f>COUNTIFS(Visits!$AG:$AG,'New Dashboard'!$A$24,Visits!$E:$E,'User Engagement'!$A93)</f>
        <v>1</v>
      </c>
      <c r="L93">
        <f>COUNTIFS(Visits!$AG:$AG,'New Dashboard'!$A$25,Visits!$E:$E,'User Engagement'!$A93)</f>
        <v>0</v>
      </c>
      <c r="M93">
        <f t="shared" si="14"/>
        <v>0</v>
      </c>
      <c r="N93">
        <f t="shared" si="15"/>
        <v>1</v>
      </c>
      <c r="O93">
        <f t="shared" si="13"/>
        <v>0</v>
      </c>
      <c r="P93">
        <f t="shared" si="10"/>
        <v>0</v>
      </c>
      <c r="Q93" s="4">
        <f>SUMIF(Visits!$E$2:$E$90,'User Engagement'!$A93,Visits!$T$2:$T$90)</f>
        <v>0</v>
      </c>
      <c r="R93" s="4">
        <f>SUMIFS(Visits!$T$2:$T$90,Visits!$E$2:$E$90,'User Engagement'!$A93,Visits!$AF$2:$AF$90,"&gt;3/28/24")</f>
        <v>0</v>
      </c>
      <c r="S93" s="13">
        <f t="shared" si="11"/>
        <v>0</v>
      </c>
      <c r="T93" s="13">
        <f t="shared" si="12"/>
        <v>0</v>
      </c>
    </row>
    <row r="94" spans="1:20" ht="15.95">
      <c r="A94" t="str">
        <f>Users!A92</f>
        <v>sethi.tanvi@gmail.com</v>
      </c>
      <c r="B94" s="23"/>
      <c r="C94" s="23"/>
      <c r="D94" s="1" cm="1">
        <f t="array" ref="D94">MAX(_xlfn._xlws.FILTER(Visits!AF:AF,Visits!E:E='User Engagement'!A94))</f>
        <v>45492</v>
      </c>
      <c r="E94">
        <f>COUNTIF(Visits!$E$2:$E$993,'User Engagement'!$A94)</f>
        <v>9</v>
      </c>
      <c r="F94">
        <f>COUNTIFS(Visits!$E$2:$E$993,'User Engagement'!$A95,Visits!$AF$2:$AF$993,"&gt;"&amp;($B$1-7))</f>
        <v>1</v>
      </c>
      <c r="G94">
        <f>COUNTIFS(Visits!$E$2:$E$993,'User Engagement'!$A94,Visits!$AF$2:$AF$993,"&gt;"&amp;($B$1-30))</f>
        <v>9</v>
      </c>
      <c r="H94">
        <f>COUNTIFS(Visits!$E$2:$E$993,$A94,Visits!$AF$2:$AF$993,"&gt;"&amp;($B$1-60))-G94</f>
        <v>0</v>
      </c>
      <c r="I94">
        <f>COUNTIFS(Visits!$AG:$AG,'New Dashboard'!$A$22,Visits!$E:$E,'User Engagement'!$A94)</f>
        <v>2</v>
      </c>
      <c r="J94">
        <f>COUNTIFS(Visits!$AG:$AG,'New Dashboard'!$A$23,Visits!$E:$E,'User Engagement'!$A94)</f>
        <v>4</v>
      </c>
      <c r="K94">
        <f>COUNTIFS(Visits!$AG:$AG,'New Dashboard'!$A$24,Visits!$E:$E,'User Engagement'!$A94)</f>
        <v>2</v>
      </c>
      <c r="L94">
        <f>COUNTIFS(Visits!$AG:$AG,'New Dashboard'!$A$25,Visits!$E:$E,'User Engagement'!$A94)</f>
        <v>1</v>
      </c>
      <c r="M94">
        <f t="shared" si="14"/>
        <v>0</v>
      </c>
      <c r="N94">
        <f t="shared" si="15"/>
        <v>1</v>
      </c>
      <c r="O94">
        <f t="shared" si="13"/>
        <v>0</v>
      </c>
      <c r="P94">
        <f t="shared" si="10"/>
        <v>1</v>
      </c>
      <c r="Q94" s="4">
        <f>SUMIF(Visits!$E$2:$E$90,'User Engagement'!$A94,Visits!$T$2:$T$90)</f>
        <v>15</v>
      </c>
      <c r="R94" s="4">
        <f>SUMIFS(Visits!$T$2:$T$90,Visits!$E$2:$E$90,'User Engagement'!$A94,Visits!$AF$2:$AF$90,"&gt;3/28/24")</f>
        <v>15</v>
      </c>
      <c r="S94" s="13">
        <f t="shared" si="11"/>
        <v>1.6666666666666667</v>
      </c>
      <c r="T94" s="13">
        <f t="shared" si="12"/>
        <v>1.6666666666666667</v>
      </c>
    </row>
    <row r="95" spans="1:20" ht="15.95">
      <c r="A95" t="str">
        <f>Users!A93</f>
        <v>teodor.rd27@gmail.com</v>
      </c>
      <c r="B95" s="23"/>
      <c r="C95" s="23"/>
      <c r="D95" s="1" cm="1">
        <f t="array" ref="D95">MAX(_xlfn._xlws.FILTER(Visits!AF:AF,Visits!E:E='User Engagement'!A95))</f>
        <v>45388</v>
      </c>
      <c r="E95">
        <f>COUNTIF(Visits!$E$2:$E$993,'User Engagement'!$A95)</f>
        <v>1</v>
      </c>
      <c r="F95">
        <f>COUNTIFS(Visits!$E$2:$E$993,'User Engagement'!$A96,Visits!$AF$2:$AF$993,"&gt;"&amp;($B$1-7))</f>
        <v>1</v>
      </c>
      <c r="G95">
        <f>COUNTIFS(Visits!$E$2:$E$993,'User Engagement'!$A95,Visits!$AF$2:$AF$993,"&gt;"&amp;($B$1-30))</f>
        <v>1</v>
      </c>
      <c r="H95">
        <f>COUNTIFS(Visits!$E$2:$E$993,$A95,Visits!$AF$2:$AF$993,"&gt;"&amp;($B$1-60))-G95</f>
        <v>0</v>
      </c>
      <c r="I95">
        <f>COUNTIFS(Visits!$AG:$AG,'New Dashboard'!$A$22,Visits!$E:$E,'User Engagement'!$A95)</f>
        <v>0</v>
      </c>
      <c r="J95">
        <f>COUNTIFS(Visits!$AG:$AG,'New Dashboard'!$A$23,Visits!$E:$E,'User Engagement'!$A95)</f>
        <v>0</v>
      </c>
      <c r="K95">
        <f>COUNTIFS(Visits!$AG:$AG,'New Dashboard'!$A$24,Visits!$E:$E,'User Engagement'!$A95)</f>
        <v>0</v>
      </c>
      <c r="L95">
        <f>COUNTIFS(Visits!$AG:$AG,'New Dashboard'!$A$25,Visits!$E:$E,'User Engagement'!$A95)</f>
        <v>1</v>
      </c>
      <c r="M95">
        <f t="shared" si="14"/>
        <v>1</v>
      </c>
      <c r="N95">
        <f t="shared" si="15"/>
        <v>1</v>
      </c>
      <c r="O95">
        <f t="shared" si="13"/>
        <v>0</v>
      </c>
      <c r="P95">
        <f t="shared" si="10"/>
        <v>0</v>
      </c>
      <c r="Q95" s="4">
        <f>SUMIF(Visits!$E$2:$E$90,'User Engagement'!$A95,Visits!$T$2:$T$90)</f>
        <v>0</v>
      </c>
      <c r="R95" s="4">
        <f>SUMIFS(Visits!$T$2:$T$90,Visits!$E$2:$E$90,'User Engagement'!$A95,Visits!$AF$2:$AF$90,"&gt;3/28/24")</f>
        <v>0</v>
      </c>
      <c r="S95" s="13">
        <f t="shared" si="11"/>
        <v>0</v>
      </c>
      <c r="T95" s="13">
        <f t="shared" si="12"/>
        <v>0</v>
      </c>
    </row>
    <row r="96" spans="1:20" ht="15.95">
      <c r="A96" t="str">
        <f>Users!A94</f>
        <v>yangtianqi2023@163.com</v>
      </c>
      <c r="B96" s="23"/>
      <c r="C96" s="23"/>
      <c r="D96" s="1" cm="1">
        <f t="array" ref="D96">MAX(_xlfn._xlws.FILTER(Visits!AF:AF,Visits!E:E='User Engagement'!A96))</f>
        <v>45410</v>
      </c>
      <c r="E96">
        <f>COUNTIF(Visits!$E$2:$E$993,'User Engagement'!$A96)</f>
        <v>1</v>
      </c>
      <c r="F96">
        <f>COUNTIFS(Visits!$E$2:$E$993,'User Engagement'!$A97,Visits!$AF$2:$AF$993,"&gt;"&amp;($B$1-7))</f>
        <v>2</v>
      </c>
      <c r="G96">
        <f>COUNTIFS(Visits!$E$2:$E$993,'User Engagement'!$A96,Visits!$AF$2:$AF$993,"&gt;"&amp;($B$1-30))</f>
        <v>1</v>
      </c>
      <c r="H96">
        <f>COUNTIFS(Visits!$E$2:$E$993,$A96,Visits!$AF$2:$AF$993,"&gt;"&amp;($B$1-60))-G96</f>
        <v>0</v>
      </c>
      <c r="I96">
        <f>COUNTIFS(Visits!$AG:$AG,'New Dashboard'!$A$22,Visits!$E:$E,'User Engagement'!$A96)</f>
        <v>0</v>
      </c>
      <c r="J96">
        <f>COUNTIFS(Visits!$AG:$AG,'New Dashboard'!$A$23,Visits!$E:$E,'User Engagement'!$A96)</f>
        <v>0</v>
      </c>
      <c r="K96">
        <f>COUNTIFS(Visits!$AG:$AG,'New Dashboard'!$A$24,Visits!$E:$E,'User Engagement'!$A96)</f>
        <v>0</v>
      </c>
      <c r="L96">
        <f>COUNTIFS(Visits!$AG:$AG,'New Dashboard'!$A$25,Visits!$E:$E,'User Engagement'!$A96)</f>
        <v>1</v>
      </c>
      <c r="M96">
        <f t="shared" si="14"/>
        <v>0</v>
      </c>
      <c r="N96">
        <f t="shared" si="15"/>
        <v>1</v>
      </c>
      <c r="O96">
        <f t="shared" si="13"/>
        <v>0</v>
      </c>
      <c r="P96">
        <f t="shared" si="10"/>
        <v>0</v>
      </c>
      <c r="Q96" s="4">
        <f>SUMIF(Visits!$E$2:$E$90,'User Engagement'!$A96,Visits!$T$2:$T$90)</f>
        <v>0</v>
      </c>
      <c r="R96" s="4">
        <f>SUMIFS(Visits!$T$2:$T$90,Visits!$E$2:$E$90,'User Engagement'!$A96,Visits!$AF$2:$AF$90,"&gt;3/28/24")</f>
        <v>0</v>
      </c>
      <c r="S96" s="13">
        <f t="shared" si="11"/>
        <v>0</v>
      </c>
      <c r="T96" s="13">
        <f t="shared" si="12"/>
        <v>0</v>
      </c>
    </row>
    <row r="97" spans="1:20" ht="15.95">
      <c r="A97" t="str">
        <f>Users!A95</f>
        <v>tomhsaville@hotmail.co.uk</v>
      </c>
      <c r="B97" s="23"/>
      <c r="C97" s="23"/>
      <c r="D97" s="1" cm="1">
        <f t="array" ref="D97">MAX(_xlfn._xlws.FILTER(Visits!AF:AF,Visits!E:E='User Engagement'!A97))</f>
        <v>45403</v>
      </c>
      <c r="E97">
        <f>COUNTIF(Visits!$E$2:$E$993,'User Engagement'!$A97)</f>
        <v>2</v>
      </c>
      <c r="F97">
        <f>COUNTIFS(Visits!$E$2:$E$993,'User Engagement'!$A98,Visits!$AF$2:$AF$993,"&gt;"&amp;($B$1-7))</f>
        <v>2</v>
      </c>
      <c r="G97">
        <f>COUNTIFS(Visits!$E$2:$E$993,'User Engagement'!$A97,Visits!$AF$2:$AF$993,"&gt;"&amp;($B$1-30))</f>
        <v>2</v>
      </c>
      <c r="H97">
        <f>COUNTIFS(Visits!$E$2:$E$993,$A97,Visits!$AF$2:$AF$993,"&gt;"&amp;($B$1-60))-G97</f>
        <v>0</v>
      </c>
      <c r="I97">
        <f>COUNTIFS(Visits!$AG:$AG,'New Dashboard'!$A$22,Visits!$E:$E,'User Engagement'!$A97)</f>
        <v>0</v>
      </c>
      <c r="J97">
        <f>COUNTIFS(Visits!$AG:$AG,'New Dashboard'!$A$23,Visits!$E:$E,'User Engagement'!$A97)</f>
        <v>0</v>
      </c>
      <c r="K97">
        <f>COUNTIFS(Visits!$AG:$AG,'New Dashboard'!$A$24,Visits!$E:$E,'User Engagement'!$A97)</f>
        <v>0</v>
      </c>
      <c r="L97">
        <f>COUNTIFS(Visits!$AG:$AG,'New Dashboard'!$A$25,Visits!$E:$E,'User Engagement'!$A97)</f>
        <v>2</v>
      </c>
      <c r="M97">
        <f t="shared" si="14"/>
        <v>1</v>
      </c>
      <c r="N97">
        <f t="shared" si="15"/>
        <v>1</v>
      </c>
      <c r="O97">
        <f t="shared" si="13"/>
        <v>0</v>
      </c>
      <c r="P97">
        <f t="shared" si="10"/>
        <v>0</v>
      </c>
      <c r="Q97" s="4">
        <f>SUMIF(Visits!$E$2:$E$90,'User Engagement'!$A97,Visits!$T$2:$T$90)</f>
        <v>0</v>
      </c>
      <c r="R97" s="4">
        <f>SUMIFS(Visits!$T$2:$T$90,Visits!$E$2:$E$90,'User Engagement'!$A97,Visits!$AF$2:$AF$90,"&gt;3/28/24")</f>
        <v>0</v>
      </c>
      <c r="S97" s="13">
        <f t="shared" si="11"/>
        <v>0</v>
      </c>
      <c r="T97" s="13">
        <f t="shared" si="12"/>
        <v>0</v>
      </c>
    </row>
    <row r="98" spans="1:20" ht="15.95">
      <c r="A98" t="str">
        <f>Users!A96</f>
        <v>wil_akanno@hotmail.com</v>
      </c>
      <c r="B98" s="23"/>
      <c r="C98" s="23"/>
      <c r="D98" s="1" cm="1">
        <f t="array" ref="D98">MAX(_xlfn._xlws.FILTER(Visits!AF:AF,Visits!E:E='User Engagement'!A98))</f>
        <v>45492</v>
      </c>
      <c r="E98">
        <f>COUNTIF(Visits!$E$2:$E$993,'User Engagement'!$A98)</f>
        <v>2</v>
      </c>
      <c r="F98">
        <f>COUNTIFS(Visits!$E$2:$E$993,'User Engagement'!$A99,Visits!$AF$2:$AF$993,"&gt;"&amp;($B$1-7))</f>
        <v>3</v>
      </c>
      <c r="G98">
        <f>COUNTIFS(Visits!$E$2:$E$993,'User Engagement'!$A98,Visits!$AF$2:$AF$993,"&gt;"&amp;($B$1-30))</f>
        <v>2</v>
      </c>
      <c r="H98">
        <f>COUNTIFS(Visits!$E$2:$E$993,$A98,Visits!$AF$2:$AF$993,"&gt;"&amp;($B$1-60))-G98</f>
        <v>0</v>
      </c>
      <c r="I98">
        <f>COUNTIFS(Visits!$AG:$AG,'New Dashboard'!$A$22,Visits!$E:$E,'User Engagement'!$A98)</f>
        <v>1</v>
      </c>
      <c r="J98">
        <f>COUNTIFS(Visits!$AG:$AG,'New Dashboard'!$A$23,Visits!$E:$E,'User Engagement'!$A98)</f>
        <v>1</v>
      </c>
      <c r="K98">
        <f>COUNTIFS(Visits!$AG:$AG,'New Dashboard'!$A$24,Visits!$E:$E,'User Engagement'!$A98)</f>
        <v>0</v>
      </c>
      <c r="L98">
        <f>COUNTIFS(Visits!$AG:$AG,'New Dashboard'!$A$25,Visits!$E:$E,'User Engagement'!$A98)</f>
        <v>0</v>
      </c>
      <c r="M98">
        <f t="shared" si="14"/>
        <v>0</v>
      </c>
      <c r="N98">
        <f t="shared" si="15"/>
        <v>1</v>
      </c>
      <c r="O98">
        <f t="shared" si="13"/>
        <v>0</v>
      </c>
      <c r="P98">
        <f t="shared" si="10"/>
        <v>0</v>
      </c>
      <c r="Q98" s="4">
        <f>SUMIF(Visits!$E$2:$E$90,'User Engagement'!$A98,Visits!$T$2:$T$90)</f>
        <v>0</v>
      </c>
      <c r="R98" s="4">
        <f>SUMIFS(Visits!$T$2:$T$90,Visits!$E$2:$E$90,'User Engagement'!$A98,Visits!$AF$2:$AF$90,"&gt;3/28/24")</f>
        <v>0</v>
      </c>
      <c r="S98" s="13">
        <f t="shared" si="11"/>
        <v>0</v>
      </c>
      <c r="T98" s="13">
        <f t="shared" si="12"/>
        <v>0</v>
      </c>
    </row>
    <row r="99" spans="1:20" ht="15.95">
      <c r="A99" t="str">
        <f>Users!A97</f>
        <v>win.man@icloud.com</v>
      </c>
      <c r="B99" s="23"/>
      <c r="C99" s="23"/>
      <c r="D99" s="1" cm="1">
        <f t="array" ref="D99">MAX(_xlfn._xlws.FILTER(Visits!AF:AF,Visits!E:E='User Engagement'!A99))</f>
        <v>45499</v>
      </c>
      <c r="E99">
        <f>COUNTIF(Visits!$E$2:$E$993,'User Engagement'!$A99)</f>
        <v>3</v>
      </c>
      <c r="F99">
        <f>COUNTIFS(Visits!$E$2:$E$993,'User Engagement'!$A100,Visits!$AF$2:$AF$993,"&gt;"&amp;($B$1-7))</f>
        <v>1</v>
      </c>
      <c r="G99">
        <f>COUNTIFS(Visits!$E$2:$E$993,'User Engagement'!$A99,Visits!$AF$2:$AF$993,"&gt;"&amp;($B$1-30))</f>
        <v>3</v>
      </c>
      <c r="H99">
        <f>COUNTIFS(Visits!$E$2:$E$993,$A99,Visits!$AF$2:$AF$993,"&gt;"&amp;($B$1-60))-G99</f>
        <v>0</v>
      </c>
      <c r="I99">
        <f>COUNTIFS(Visits!$AG:$AG,'New Dashboard'!$A$22,Visits!$E:$E,'User Engagement'!$A99)</f>
        <v>1</v>
      </c>
      <c r="J99">
        <f>COUNTIFS(Visits!$AG:$AG,'New Dashboard'!$A$23,Visits!$E:$E,'User Engagement'!$A99)</f>
        <v>0</v>
      </c>
      <c r="K99">
        <f>COUNTIFS(Visits!$AG:$AG,'New Dashboard'!$A$24,Visits!$E:$E,'User Engagement'!$A99)</f>
        <v>1</v>
      </c>
      <c r="L99">
        <f>COUNTIFS(Visits!$AG:$AG,'New Dashboard'!$A$25,Visits!$E:$E,'User Engagement'!$A99)</f>
        <v>1</v>
      </c>
      <c r="M99">
        <f t="shared" si="14"/>
        <v>0</v>
      </c>
      <c r="N99">
        <f t="shared" si="15"/>
        <v>1</v>
      </c>
      <c r="O99">
        <f t="shared" si="13"/>
        <v>0</v>
      </c>
      <c r="P99">
        <f t="shared" si="10"/>
        <v>1</v>
      </c>
      <c r="Q99" s="4">
        <f>SUMIF(Visits!$E$2:$E$90,'User Engagement'!$A99,Visits!$T$2:$T$90)</f>
        <v>15</v>
      </c>
      <c r="R99" s="4">
        <f>SUMIFS(Visits!$T$2:$T$90,Visits!$E$2:$E$90,'User Engagement'!$A99,Visits!$AF$2:$AF$90,"&gt;3/28/24")</f>
        <v>15</v>
      </c>
      <c r="S99" s="13">
        <f t="shared" si="11"/>
        <v>5</v>
      </c>
      <c r="T99" s="13">
        <f t="shared" si="12"/>
        <v>5</v>
      </c>
    </row>
    <row r="100" spans="1:20" ht="15.95">
      <c r="A100" t="str">
        <f>Users!A98</f>
        <v>yyasemin.mermer@gmail.com</v>
      </c>
      <c r="B100" s="23"/>
      <c r="C100" s="23"/>
      <c r="D100" s="1" cm="1">
        <f t="array" ref="D100">MAX(_xlfn._xlws.FILTER(Visits!AF:AF,Visits!E:E='User Engagement'!A100))</f>
        <v>45395</v>
      </c>
      <c r="E100">
        <f>COUNTIF(Visits!$E$2:$E$993,'User Engagement'!$A100)</f>
        <v>1</v>
      </c>
      <c r="F100">
        <f>COUNTIFS(Visits!$E$2:$E$993,'User Engagement'!$A101,Visits!$AF$2:$AF$993,"&gt;"&amp;($B$1-7))</f>
        <v>4</v>
      </c>
      <c r="G100">
        <f>COUNTIFS(Visits!$E$2:$E$993,'User Engagement'!$A100,Visits!$AF$2:$AF$993,"&gt;"&amp;($B$1-30))</f>
        <v>1</v>
      </c>
      <c r="H100">
        <f>COUNTIFS(Visits!$E$2:$E$993,$A100,Visits!$AF$2:$AF$993,"&gt;"&amp;($B$1-60))-G100</f>
        <v>0</v>
      </c>
      <c r="I100">
        <f>COUNTIFS(Visits!$AG:$AG,'New Dashboard'!$A$22,Visits!$E:$E,'User Engagement'!$A100)</f>
        <v>0</v>
      </c>
      <c r="J100">
        <f>COUNTIFS(Visits!$AG:$AG,'New Dashboard'!$A$23,Visits!$E:$E,'User Engagement'!$A100)</f>
        <v>0</v>
      </c>
      <c r="K100">
        <f>COUNTIFS(Visits!$AG:$AG,'New Dashboard'!$A$24,Visits!$E:$E,'User Engagement'!$A100)</f>
        <v>0</v>
      </c>
      <c r="L100">
        <f>COUNTIFS(Visits!$AG:$AG,'New Dashboard'!$A$25,Visits!$E:$E,'User Engagement'!$A100)</f>
        <v>1</v>
      </c>
      <c r="M100">
        <f t="shared" si="14"/>
        <v>0</v>
      </c>
      <c r="N100">
        <f t="shared" si="15"/>
        <v>1</v>
      </c>
      <c r="O100">
        <f t="shared" si="13"/>
        <v>0</v>
      </c>
      <c r="P100">
        <f t="shared" si="10"/>
        <v>0</v>
      </c>
      <c r="Q100" s="4">
        <f>SUMIF(Visits!$E$2:$E$90,'User Engagement'!$A100,Visits!$T$2:$T$90)</f>
        <v>15</v>
      </c>
      <c r="R100" s="4">
        <f>SUMIFS(Visits!$T$2:$T$90,Visits!$E$2:$E$90,'User Engagement'!$A100,Visits!$AF$2:$AF$90,"&gt;3/28/24")</f>
        <v>15</v>
      </c>
      <c r="S100" s="13">
        <f t="shared" si="11"/>
        <v>15</v>
      </c>
      <c r="T100" s="13">
        <f t="shared" si="12"/>
        <v>15</v>
      </c>
    </row>
    <row r="101" spans="1:20" ht="15.95">
      <c r="A101" t="str">
        <f>Users!A99</f>
        <v>yskinoue0127@gmail.com</v>
      </c>
      <c r="B101" s="23"/>
      <c r="C101" s="23"/>
      <c r="D101" s="1" cm="1">
        <f t="array" ref="D101">MAX(_xlfn._xlws.FILTER(Visits!AF:AF,Visits!E:E='User Engagement'!A101))</f>
        <v>45501</v>
      </c>
      <c r="E101">
        <f>COUNTIF(Visits!$E$2:$E$993,'User Engagement'!$A101)</f>
        <v>4</v>
      </c>
      <c r="F101">
        <f>COUNTIFS(Visits!$E$2:$E$993,'User Engagement'!$A102,Visits!$AF$2:$AF$993,"&gt;"&amp;($B$1-7))</f>
        <v>2</v>
      </c>
      <c r="G101">
        <f>COUNTIFS(Visits!$E$2:$E$993,'User Engagement'!$A101,Visits!$AF$2:$AF$993,"&gt;"&amp;($B$1-30))</f>
        <v>4</v>
      </c>
      <c r="H101">
        <f>COUNTIFS(Visits!$E$2:$E$993,$A101,Visits!$AF$2:$AF$993,"&gt;"&amp;($B$1-60))-G101</f>
        <v>0</v>
      </c>
      <c r="I101">
        <f>COUNTIFS(Visits!$AG:$AG,'New Dashboard'!$A$22,Visits!$E:$E,'User Engagement'!$A101)</f>
        <v>2</v>
      </c>
      <c r="J101">
        <f>COUNTIFS(Visits!$AG:$AG,'New Dashboard'!$A$23,Visits!$E:$E,'User Engagement'!$A101)</f>
        <v>0</v>
      </c>
      <c r="K101">
        <f>COUNTIFS(Visits!$AG:$AG,'New Dashboard'!$A$24,Visits!$E:$E,'User Engagement'!$A101)</f>
        <v>2</v>
      </c>
      <c r="L101">
        <f>COUNTIFS(Visits!$AG:$AG,'New Dashboard'!$A$25,Visits!$E:$E,'User Engagement'!$A101)</f>
        <v>0</v>
      </c>
      <c r="M101">
        <f t="shared" si="14"/>
        <v>0</v>
      </c>
      <c r="N101">
        <f t="shared" si="15"/>
        <v>1</v>
      </c>
      <c r="O101">
        <f t="shared" si="13"/>
        <v>0</v>
      </c>
      <c r="P101">
        <f t="shared" si="10"/>
        <v>1</v>
      </c>
      <c r="Q101" s="4">
        <f>SUMIF(Visits!$E$2:$E$90,'User Engagement'!$A101,Visits!$T$2:$T$90)</f>
        <v>0</v>
      </c>
      <c r="R101" s="4">
        <f>SUMIFS(Visits!$T$2:$T$90,Visits!$E$2:$E$90,'User Engagement'!$A101,Visits!$AF$2:$AF$90,"&gt;3/28/24")</f>
        <v>0</v>
      </c>
      <c r="S101" s="13">
        <f t="shared" si="11"/>
        <v>0</v>
      </c>
      <c r="T101" s="13">
        <f t="shared" si="12"/>
        <v>0</v>
      </c>
    </row>
    <row r="102" spans="1:20" ht="15.95">
      <c r="A102" t="str">
        <f>Users!A100</f>
        <v>zinab.rama@gmail.com</v>
      </c>
      <c r="B102" s="23"/>
      <c r="C102" s="23"/>
      <c r="D102" s="1" cm="1">
        <f t="array" ref="D102">MAX(_xlfn._xlws.FILTER(Visits!AF:AF,Visits!E:E='User Engagement'!A102))</f>
        <v>45402</v>
      </c>
      <c r="E102">
        <f>COUNTIF(Visits!$E$2:$E$993,'User Engagement'!$A102)</f>
        <v>2</v>
      </c>
      <c r="F102">
        <f>COUNTIFS(Visits!$E$2:$E$993,'User Engagement'!$A103,Visits!$AF$2:$AF$993,"&gt;"&amp;($B$1-7))</f>
        <v>2</v>
      </c>
      <c r="G102">
        <f>COUNTIFS(Visits!$E$2:$E$993,'User Engagement'!$A102,Visits!$AF$2:$AF$993,"&gt;"&amp;($B$1-30))</f>
        <v>2</v>
      </c>
      <c r="H102">
        <f>COUNTIFS(Visits!$E$2:$E$993,$A102,Visits!$AF$2:$AF$993,"&gt;"&amp;($B$1-60))-G102</f>
        <v>0</v>
      </c>
      <c r="I102">
        <f>COUNTIFS(Visits!$AG:$AG,'New Dashboard'!$A$22,Visits!$E:$E,'User Engagement'!$A102)</f>
        <v>0</v>
      </c>
      <c r="J102">
        <f>COUNTIFS(Visits!$AG:$AG,'New Dashboard'!$A$23,Visits!$E:$E,'User Engagement'!$A102)</f>
        <v>0</v>
      </c>
      <c r="K102">
        <f>COUNTIFS(Visits!$AG:$AG,'New Dashboard'!$A$24,Visits!$E:$E,'User Engagement'!$A102)</f>
        <v>0</v>
      </c>
      <c r="L102">
        <f>COUNTIFS(Visits!$AG:$AG,'New Dashboard'!$A$25,Visits!$E:$E,'User Engagement'!$A102)</f>
        <v>2</v>
      </c>
      <c r="M102">
        <f t="shared" si="14"/>
        <v>1</v>
      </c>
      <c r="N102">
        <f t="shared" si="15"/>
        <v>1</v>
      </c>
      <c r="O102">
        <f t="shared" si="13"/>
        <v>0</v>
      </c>
      <c r="P102">
        <f t="shared" si="10"/>
        <v>0</v>
      </c>
      <c r="Q102" s="4">
        <f>SUMIF(Visits!$E$2:$E$90,'User Engagement'!$A102,Visits!$T$2:$T$90)</f>
        <v>15</v>
      </c>
      <c r="R102" s="4">
        <f>SUMIFS(Visits!$T$2:$T$90,Visits!$E$2:$E$90,'User Engagement'!$A102,Visits!$AF$2:$AF$90,"&gt;3/28/24")</f>
        <v>15</v>
      </c>
      <c r="S102" s="13">
        <f t="shared" si="11"/>
        <v>7.5</v>
      </c>
      <c r="T102" s="13">
        <f t="shared" si="12"/>
        <v>7.5</v>
      </c>
    </row>
    <row r="103" spans="1:20" ht="15.95">
      <c r="A103" t="str">
        <f>Users!A101</f>
        <v>Shulliclintondavis@gmail.com</v>
      </c>
      <c r="B103" s="23"/>
      <c r="C103" s="23"/>
      <c r="D103" s="1" cm="1">
        <f t="array" ref="D103">MAX(_xlfn._xlws.FILTER(Visits!AF:AF,Visits!E:E='User Engagement'!A103))</f>
        <v>45492</v>
      </c>
      <c r="E103">
        <f>COUNTIF(Visits!$E$2:$E$993,'User Engagement'!$A103)</f>
        <v>2</v>
      </c>
      <c r="F103">
        <f>COUNTIFS(Visits!$E$2:$E$993,'User Engagement'!$A104,Visits!$AF$2:$AF$993,"&gt;"&amp;($B$1-7))</f>
        <v>1</v>
      </c>
      <c r="G103">
        <f>COUNTIFS(Visits!$E$2:$E$993,'User Engagement'!$A103,Visits!$AF$2:$AF$993,"&gt;"&amp;($B$1-30))</f>
        <v>2</v>
      </c>
      <c r="H103">
        <f>COUNTIFS(Visits!$E$2:$E$993,$A103,Visits!$AF$2:$AF$993,"&gt;"&amp;($B$1-60))-G103</f>
        <v>0</v>
      </c>
      <c r="I103">
        <f>COUNTIFS(Visits!$AG:$AG,'New Dashboard'!$A$22,Visits!$E:$E,'User Engagement'!$A103)</f>
        <v>1</v>
      </c>
      <c r="J103">
        <f>COUNTIFS(Visits!$AG:$AG,'New Dashboard'!$A$23,Visits!$E:$E,'User Engagement'!$A103)</f>
        <v>1</v>
      </c>
      <c r="K103">
        <f>COUNTIFS(Visits!$AG:$AG,'New Dashboard'!$A$24,Visits!$E:$E,'User Engagement'!$A103)</f>
        <v>0</v>
      </c>
      <c r="L103">
        <f>COUNTIFS(Visits!$AG:$AG,'New Dashboard'!$A$25,Visits!$E:$E,'User Engagement'!$A103)</f>
        <v>0</v>
      </c>
      <c r="M103">
        <f t="shared" si="14"/>
        <v>0</v>
      </c>
      <c r="N103">
        <f t="shared" si="15"/>
        <v>1</v>
      </c>
      <c r="O103">
        <f t="shared" si="13"/>
        <v>0</v>
      </c>
      <c r="P103">
        <f t="shared" si="10"/>
        <v>0</v>
      </c>
      <c r="Q103" s="4">
        <f>SUMIF(Visits!$E$2:$E$90,'User Engagement'!$A103,Visits!$T$2:$T$90)</f>
        <v>0</v>
      </c>
      <c r="R103" s="4">
        <f>SUMIFS(Visits!$T$2:$T$90,Visits!$E$2:$E$90,'User Engagement'!$A103,Visits!$AF$2:$AF$90,"&gt;3/28/24")</f>
        <v>0</v>
      </c>
      <c r="S103" s="13">
        <f t="shared" si="11"/>
        <v>0</v>
      </c>
      <c r="T103" s="13">
        <f t="shared" si="12"/>
        <v>0</v>
      </c>
    </row>
    <row r="104" spans="1:20" ht="15.95">
      <c r="A104" t="str">
        <f>Users!A102</f>
        <v>u.gaukhar@gmail.com</v>
      </c>
      <c r="B104" s="23"/>
      <c r="C104" s="23"/>
      <c r="D104" s="1" cm="1">
        <f t="array" ref="D104">MAX(_xlfn._xlws.FILTER(Visits!AF:AF,Visits!E:E='User Engagement'!A104))</f>
        <v>45471.770833333336</v>
      </c>
      <c r="E104">
        <f>COUNTIF(Visits!$E$2:$E$993,'User Engagement'!$A104)</f>
        <v>1</v>
      </c>
      <c r="F104">
        <f>COUNTIFS(Visits!$E$2:$E$993,'User Engagement'!$A105,Visits!$AF$2:$AF$993,"&gt;"&amp;($B$1-7))</f>
        <v>1</v>
      </c>
      <c r="G104">
        <f>COUNTIFS(Visits!$E$2:$E$993,'User Engagement'!$A104,Visits!$AF$2:$AF$993,"&gt;"&amp;($B$1-30))</f>
        <v>1</v>
      </c>
      <c r="H104">
        <f>COUNTIFS(Visits!$E$2:$E$993,$A104,Visits!$AF$2:$AF$993,"&gt;"&amp;($B$1-60))-G104</f>
        <v>0</v>
      </c>
      <c r="I104">
        <f>COUNTIFS(Visits!$AG:$AG,'New Dashboard'!$A$22,Visits!$E:$E,'User Engagement'!$A104)</f>
        <v>0</v>
      </c>
      <c r="J104">
        <f>COUNTIFS(Visits!$AG:$AG,'New Dashboard'!$A$23,Visits!$E:$E,'User Engagement'!$A104)</f>
        <v>1</v>
      </c>
      <c r="K104">
        <f>COUNTIFS(Visits!$AG:$AG,'New Dashboard'!$A$24,Visits!$E:$E,'User Engagement'!$A104)</f>
        <v>0</v>
      </c>
      <c r="L104">
        <f>COUNTIFS(Visits!$AG:$AG,'New Dashboard'!$A$25,Visits!$E:$E,'User Engagement'!$A104)</f>
        <v>0</v>
      </c>
      <c r="M104">
        <f t="shared" si="14"/>
        <v>1</v>
      </c>
      <c r="N104">
        <f t="shared" si="15"/>
        <v>1</v>
      </c>
      <c r="O104">
        <f t="shared" si="13"/>
        <v>0</v>
      </c>
      <c r="P104">
        <f t="shared" si="10"/>
        <v>0</v>
      </c>
      <c r="Q104" s="4">
        <f>SUMIF(Visits!$E$2:$E$90,'User Engagement'!$A104,Visits!$T$2:$T$90)</f>
        <v>0</v>
      </c>
      <c r="R104" s="4">
        <f>SUMIFS(Visits!$T$2:$T$90,Visits!$E$2:$E$90,'User Engagement'!$A104,Visits!$AF$2:$AF$90,"&gt;3/28/24")</f>
        <v>0</v>
      </c>
      <c r="S104" s="13">
        <f t="shared" si="11"/>
        <v>0</v>
      </c>
      <c r="T104" s="13">
        <f t="shared" si="12"/>
        <v>0</v>
      </c>
    </row>
    <row r="105" spans="1:20" ht="15.95">
      <c r="A105" t="str">
        <f>Users!A103</f>
        <v>Angelov.Konstantin@gmail.com</v>
      </c>
      <c r="B105" s="23"/>
      <c r="C105" s="23"/>
      <c r="D105" s="1" cm="1">
        <f t="array" ref="D105">MAX(_xlfn._xlws.FILTER(Visits!AF:AF,Visits!E:E='User Engagement'!A105))</f>
        <v>45471.770833333336</v>
      </c>
      <c r="E105">
        <f>COUNTIF(Visits!$E$2:$E$993,'User Engagement'!$A105)</f>
        <v>1</v>
      </c>
      <c r="F105">
        <f>COUNTIFS(Visits!$E$2:$E$993,'User Engagement'!$A106,Visits!$AF$2:$AF$993,"&gt;"&amp;($B$1-7))</f>
        <v>1</v>
      </c>
      <c r="G105">
        <f>COUNTIFS(Visits!$E$2:$E$993,'User Engagement'!$A105,Visits!$AF$2:$AF$993,"&gt;"&amp;($B$1-30))</f>
        <v>1</v>
      </c>
      <c r="H105">
        <f>COUNTIFS(Visits!$E$2:$E$993,$A105,Visits!$AF$2:$AF$993,"&gt;"&amp;($B$1-60))-G105</f>
        <v>0</v>
      </c>
      <c r="I105">
        <f>COUNTIFS(Visits!$AG:$AG,'New Dashboard'!$A$22,Visits!$E:$E,'User Engagement'!$A105)</f>
        <v>0</v>
      </c>
      <c r="J105">
        <f>COUNTIFS(Visits!$AG:$AG,'New Dashboard'!$A$23,Visits!$E:$E,'User Engagement'!$A105)</f>
        <v>1</v>
      </c>
      <c r="K105">
        <f>COUNTIFS(Visits!$AG:$AG,'New Dashboard'!$A$24,Visits!$E:$E,'User Engagement'!$A105)</f>
        <v>0</v>
      </c>
      <c r="L105">
        <f>COUNTIFS(Visits!$AG:$AG,'New Dashboard'!$A$25,Visits!$E:$E,'User Engagement'!$A105)</f>
        <v>0</v>
      </c>
      <c r="M105">
        <f t="shared" si="14"/>
        <v>1</v>
      </c>
      <c r="N105">
        <f t="shared" si="15"/>
        <v>1</v>
      </c>
      <c r="O105">
        <f t="shared" si="13"/>
        <v>0</v>
      </c>
      <c r="P105">
        <f t="shared" si="10"/>
        <v>0</v>
      </c>
      <c r="Q105" s="4">
        <f>SUMIF(Visits!$E$2:$E$90,'User Engagement'!$A105,Visits!$T$2:$T$90)</f>
        <v>0</v>
      </c>
      <c r="R105" s="4">
        <f>SUMIFS(Visits!$T$2:$T$90,Visits!$E$2:$E$90,'User Engagement'!$A105,Visits!$AF$2:$AF$90,"&gt;3/28/24")</f>
        <v>0</v>
      </c>
      <c r="S105" s="13">
        <f t="shared" si="11"/>
        <v>0</v>
      </c>
      <c r="T105" s="13">
        <f t="shared" si="12"/>
        <v>0</v>
      </c>
    </row>
    <row r="106" spans="1:20" ht="15.95">
      <c r="A106" t="str">
        <f>Users!A104</f>
        <v>kezheneva@gmail.com</v>
      </c>
      <c r="B106" s="23"/>
      <c r="C106" s="23"/>
      <c r="D106" s="1" cm="1">
        <f t="array" ref="D106">MAX(_xlfn._xlws.FILTER(Visits!AF:AF,Visits!E:E='User Engagement'!A106))</f>
        <v>45471.770833333336</v>
      </c>
      <c r="E106">
        <f>COUNTIF(Visits!$E$2:$E$993,'User Engagement'!$A106)</f>
        <v>1</v>
      </c>
      <c r="F106">
        <f>COUNTIFS(Visits!$E$2:$E$993,'User Engagement'!$A107,Visits!$AF$2:$AF$993,"&gt;"&amp;($B$1-7))</f>
        <v>1</v>
      </c>
      <c r="G106">
        <f>COUNTIFS(Visits!$E$2:$E$993,'User Engagement'!$A106,Visits!$AF$2:$AF$993,"&gt;"&amp;($B$1-30))</f>
        <v>1</v>
      </c>
      <c r="H106">
        <f>COUNTIFS(Visits!$E$2:$E$993,$A106,Visits!$AF$2:$AF$993,"&gt;"&amp;($B$1-60))-G106</f>
        <v>0</v>
      </c>
      <c r="I106">
        <f>COUNTIFS(Visits!$AG:$AG,'New Dashboard'!$A$22,Visits!$E:$E,'User Engagement'!$A106)</f>
        <v>0</v>
      </c>
      <c r="J106">
        <f>COUNTIFS(Visits!$AG:$AG,'New Dashboard'!$A$23,Visits!$E:$E,'User Engagement'!$A106)</f>
        <v>1</v>
      </c>
      <c r="K106">
        <f>COUNTIFS(Visits!$AG:$AG,'New Dashboard'!$A$24,Visits!$E:$E,'User Engagement'!$A106)</f>
        <v>0</v>
      </c>
      <c r="L106">
        <f>COUNTIFS(Visits!$AG:$AG,'New Dashboard'!$A$25,Visits!$E:$E,'User Engagement'!$A106)</f>
        <v>0</v>
      </c>
      <c r="M106">
        <f t="shared" si="14"/>
        <v>1</v>
      </c>
      <c r="N106">
        <f t="shared" si="15"/>
        <v>1</v>
      </c>
      <c r="O106">
        <f t="shared" si="13"/>
        <v>0</v>
      </c>
      <c r="P106">
        <f t="shared" si="10"/>
        <v>0</v>
      </c>
      <c r="Q106" s="4">
        <f>SUMIF(Visits!$E$2:$E$90,'User Engagement'!$A106,Visits!$T$2:$T$90)</f>
        <v>0</v>
      </c>
      <c r="R106" s="4">
        <f>SUMIFS(Visits!$T$2:$T$90,Visits!$E$2:$E$90,'User Engagement'!$A106,Visits!$AF$2:$AF$90,"&gt;3/28/24")</f>
        <v>0</v>
      </c>
      <c r="S106" s="13">
        <f t="shared" si="11"/>
        <v>0</v>
      </c>
      <c r="T106" s="13">
        <f t="shared" si="12"/>
        <v>0</v>
      </c>
    </row>
    <row r="107" spans="1:20" ht="15.95">
      <c r="A107" t="str">
        <f>Users!A105</f>
        <v>liane.pereira123@gmail.com</v>
      </c>
      <c r="B107" s="23"/>
      <c r="C107" s="23"/>
      <c r="D107" s="1" cm="1">
        <f t="array" ref="D107">MAX(_xlfn._xlws.FILTER(Visits!AF:AF,Visits!E:E='User Engagement'!A107))</f>
        <v>45471.770833333336</v>
      </c>
      <c r="E107">
        <f>COUNTIF(Visits!$E$2:$E$993,'User Engagement'!$A107)</f>
        <v>1</v>
      </c>
      <c r="F107">
        <f>COUNTIFS(Visits!$E$2:$E$993,'User Engagement'!$A108,Visits!$AF$2:$AF$993,"&gt;"&amp;($B$1-7))</f>
        <v>1</v>
      </c>
      <c r="G107">
        <f>COUNTIFS(Visits!$E$2:$E$993,'User Engagement'!$A107,Visits!$AF$2:$AF$993,"&gt;"&amp;($B$1-30))</f>
        <v>1</v>
      </c>
      <c r="H107">
        <f>COUNTIFS(Visits!$E$2:$E$993,$A107,Visits!$AF$2:$AF$993,"&gt;"&amp;($B$1-60))-G107</f>
        <v>0</v>
      </c>
      <c r="I107">
        <f>COUNTIFS(Visits!$AG:$AG,'New Dashboard'!$A$22,Visits!$E:$E,'User Engagement'!$A107)</f>
        <v>0</v>
      </c>
      <c r="J107">
        <f>COUNTIFS(Visits!$AG:$AG,'New Dashboard'!$A$23,Visits!$E:$E,'User Engagement'!$A107)</f>
        <v>1</v>
      </c>
      <c r="K107">
        <f>COUNTIFS(Visits!$AG:$AG,'New Dashboard'!$A$24,Visits!$E:$E,'User Engagement'!$A107)</f>
        <v>0</v>
      </c>
      <c r="L107">
        <f>COUNTIFS(Visits!$AG:$AG,'New Dashboard'!$A$25,Visits!$E:$E,'User Engagement'!$A107)</f>
        <v>0</v>
      </c>
      <c r="M107">
        <f t="shared" si="14"/>
        <v>1</v>
      </c>
      <c r="N107">
        <f t="shared" si="15"/>
        <v>1</v>
      </c>
      <c r="O107">
        <f t="shared" si="13"/>
        <v>0</v>
      </c>
      <c r="P107">
        <f t="shared" si="10"/>
        <v>0</v>
      </c>
      <c r="Q107" s="4">
        <f>SUMIF(Visits!$E$2:$E$90,'User Engagement'!$A107,Visits!$T$2:$T$90)</f>
        <v>0</v>
      </c>
      <c r="R107" s="4">
        <f>SUMIFS(Visits!$T$2:$T$90,Visits!$E$2:$E$90,'User Engagement'!$A107,Visits!$AF$2:$AF$90,"&gt;3/28/24")</f>
        <v>0</v>
      </c>
      <c r="S107" s="13">
        <f t="shared" si="11"/>
        <v>0</v>
      </c>
      <c r="T107" s="13">
        <f t="shared" si="12"/>
        <v>0</v>
      </c>
    </row>
    <row r="108" spans="1:20" ht="15.95">
      <c r="A108" t="str">
        <f>Users!A106</f>
        <v>ellangwodo@gmail.com</v>
      </c>
      <c r="B108" s="23"/>
      <c r="C108" s="23"/>
      <c r="D108" s="1" cm="1">
        <f t="array" ref="D108">MAX(_xlfn._xlws.FILTER(Visits!AF:AF,Visits!E:E='User Engagement'!A108))</f>
        <v>45451.583333333336</v>
      </c>
      <c r="E108">
        <f>COUNTIF(Visits!$E$2:$E$993,'User Engagement'!$A108)</f>
        <v>1</v>
      </c>
      <c r="F108">
        <f>COUNTIFS(Visits!$E$2:$E$993,'User Engagement'!$A109,Visits!$AF$2:$AF$993,"&gt;"&amp;($B$1-7))</f>
        <v>1</v>
      </c>
      <c r="G108">
        <f>COUNTIFS(Visits!$E$2:$E$993,'User Engagement'!$A108,Visits!$AF$2:$AF$993,"&gt;"&amp;($B$1-30))</f>
        <v>1</v>
      </c>
      <c r="H108">
        <f>COUNTIFS(Visits!$E$2:$E$993,$A108,Visits!$AF$2:$AF$993,"&gt;"&amp;($B$1-60))-G108</f>
        <v>0</v>
      </c>
      <c r="I108">
        <f>COUNTIFS(Visits!$AG:$AG,'New Dashboard'!$A$22,Visits!$E:$E,'User Engagement'!$A108)</f>
        <v>0</v>
      </c>
      <c r="J108">
        <f>COUNTIFS(Visits!$AG:$AG,'New Dashboard'!$A$23,Visits!$E:$E,'User Engagement'!$A108)</f>
        <v>1</v>
      </c>
      <c r="K108">
        <f>COUNTIFS(Visits!$AG:$AG,'New Dashboard'!$A$24,Visits!$E:$E,'User Engagement'!$A108)</f>
        <v>0</v>
      </c>
      <c r="L108">
        <f>COUNTIFS(Visits!$AG:$AG,'New Dashboard'!$A$25,Visits!$E:$E,'User Engagement'!$A108)</f>
        <v>0</v>
      </c>
      <c r="M108">
        <f t="shared" si="14"/>
        <v>1</v>
      </c>
      <c r="N108">
        <f t="shared" si="15"/>
        <v>1</v>
      </c>
      <c r="O108">
        <f t="shared" si="13"/>
        <v>0</v>
      </c>
      <c r="P108">
        <f t="shared" si="10"/>
        <v>0</v>
      </c>
      <c r="Q108" s="4">
        <f>SUMIF(Visits!$E$2:$E$90,'User Engagement'!$A108,Visits!$T$2:$T$90)</f>
        <v>0</v>
      </c>
      <c r="R108" s="4">
        <f>SUMIFS(Visits!$T$2:$T$90,Visits!$E$2:$E$90,'User Engagement'!$A108,Visits!$AF$2:$AF$90,"&gt;3/28/24")</f>
        <v>0</v>
      </c>
      <c r="S108" s="13">
        <f t="shared" si="11"/>
        <v>0</v>
      </c>
      <c r="T108" s="13">
        <f t="shared" si="12"/>
        <v>0</v>
      </c>
    </row>
    <row r="109" spans="1:20" ht="15.95">
      <c r="A109" t="str">
        <f>Users!A107</f>
        <v>e_squires@hotmail.com</v>
      </c>
      <c r="B109" s="23"/>
      <c r="C109" s="23"/>
      <c r="D109" s="1" cm="1">
        <f t="array" ref="D109">MAX(_xlfn._xlws.FILTER(Visits!AF:AF,Visits!E:E='User Engagement'!A109))</f>
        <v>45451.583333333336</v>
      </c>
      <c r="E109">
        <f>COUNTIF(Visits!$E$2:$E$993,'User Engagement'!$A109)</f>
        <v>1</v>
      </c>
      <c r="F109">
        <f>COUNTIFS(Visits!$E$2:$E$993,'User Engagement'!$A110,Visits!$AF$2:$AF$993,"&gt;"&amp;($B$1-7))</f>
        <v>1</v>
      </c>
      <c r="G109">
        <f>COUNTIFS(Visits!$E$2:$E$993,'User Engagement'!$A109,Visits!$AF$2:$AF$993,"&gt;"&amp;($B$1-30))</f>
        <v>1</v>
      </c>
      <c r="H109">
        <f>COUNTIFS(Visits!$E$2:$E$993,$A109,Visits!$AF$2:$AF$993,"&gt;"&amp;($B$1-60))-G109</f>
        <v>0</v>
      </c>
      <c r="I109">
        <f>COUNTIFS(Visits!$AG:$AG,'New Dashboard'!$A$22,Visits!$E:$E,'User Engagement'!$A109)</f>
        <v>0</v>
      </c>
      <c r="J109">
        <f>COUNTIFS(Visits!$AG:$AG,'New Dashboard'!$A$23,Visits!$E:$E,'User Engagement'!$A109)</f>
        <v>1</v>
      </c>
      <c r="K109">
        <f>COUNTIFS(Visits!$AG:$AG,'New Dashboard'!$A$24,Visits!$E:$E,'User Engagement'!$A109)</f>
        <v>0</v>
      </c>
      <c r="L109">
        <f>COUNTIFS(Visits!$AG:$AG,'New Dashboard'!$A$25,Visits!$E:$E,'User Engagement'!$A109)</f>
        <v>0</v>
      </c>
      <c r="M109">
        <f t="shared" si="14"/>
        <v>1</v>
      </c>
      <c r="N109">
        <f t="shared" si="15"/>
        <v>1</v>
      </c>
      <c r="O109">
        <f t="shared" si="13"/>
        <v>0</v>
      </c>
      <c r="P109">
        <f t="shared" si="10"/>
        <v>0</v>
      </c>
      <c r="Q109" s="4">
        <f>SUMIF(Visits!$E$2:$E$90,'User Engagement'!$A109,Visits!$T$2:$T$90)</f>
        <v>0</v>
      </c>
      <c r="R109" s="4">
        <f>SUMIFS(Visits!$T$2:$T$90,Visits!$E$2:$E$90,'User Engagement'!$A109,Visits!$AF$2:$AF$90,"&gt;3/28/24")</f>
        <v>0</v>
      </c>
      <c r="S109" s="13">
        <f t="shared" si="11"/>
        <v>0</v>
      </c>
      <c r="T109" s="13">
        <f t="shared" si="12"/>
        <v>0</v>
      </c>
    </row>
    <row r="110" spans="1:20" ht="15.95">
      <c r="A110" t="str">
        <f>Users!A108</f>
        <v>pelconsultingwork@gmail.com</v>
      </c>
      <c r="B110" s="23"/>
      <c r="C110" s="23"/>
      <c r="D110" s="1" cm="1">
        <f t="array" ref="D110">MAX(_xlfn._xlws.FILTER(Visits!AF:AF,Visits!E:E='User Engagement'!A110))</f>
        <v>45442.770833333336</v>
      </c>
      <c r="E110">
        <f>COUNTIF(Visits!$E$2:$E$993,'User Engagement'!$A110)</f>
        <v>1</v>
      </c>
      <c r="F110">
        <f>COUNTIFS(Visits!$E$2:$E$993,'User Engagement'!$A111,Visits!$AF$2:$AF$993,"&gt;"&amp;($B$1-7))</f>
        <v>2</v>
      </c>
      <c r="G110">
        <f>COUNTIFS(Visits!$E$2:$E$993,'User Engagement'!$A110,Visits!$AF$2:$AF$993,"&gt;"&amp;($B$1-30))</f>
        <v>1</v>
      </c>
      <c r="H110">
        <f>COUNTIFS(Visits!$E$2:$E$993,$A110,Visits!$AF$2:$AF$993,"&gt;"&amp;($B$1-60))-G110</f>
        <v>0</v>
      </c>
      <c r="I110">
        <f>COUNTIFS(Visits!$AG:$AG,'New Dashboard'!$A$22,Visits!$E:$E,'User Engagement'!$A110)</f>
        <v>0</v>
      </c>
      <c r="J110">
        <f>COUNTIFS(Visits!$AG:$AG,'New Dashboard'!$A$23,Visits!$E:$E,'User Engagement'!$A110)</f>
        <v>0</v>
      </c>
      <c r="K110">
        <f>COUNTIFS(Visits!$AG:$AG,'New Dashboard'!$A$24,Visits!$E:$E,'User Engagement'!$A110)</f>
        <v>1</v>
      </c>
      <c r="L110">
        <f>COUNTIFS(Visits!$AG:$AG,'New Dashboard'!$A$25,Visits!$E:$E,'User Engagement'!$A110)</f>
        <v>0</v>
      </c>
      <c r="M110">
        <f t="shared" si="14"/>
        <v>0</v>
      </c>
      <c r="N110">
        <f t="shared" si="15"/>
        <v>1</v>
      </c>
      <c r="O110">
        <f t="shared" si="13"/>
        <v>0</v>
      </c>
      <c r="P110">
        <f t="shared" si="10"/>
        <v>0</v>
      </c>
      <c r="Q110" s="4">
        <f>SUMIF(Visits!$E$2:$E$90,'User Engagement'!$A110,Visits!$T$2:$T$90)</f>
        <v>0</v>
      </c>
      <c r="R110" s="4">
        <f>SUMIFS(Visits!$T$2:$T$90,Visits!$E$2:$E$90,'User Engagement'!$A110,Visits!$AF$2:$AF$90,"&gt;3/28/24")</f>
        <v>0</v>
      </c>
      <c r="S110" s="13">
        <f t="shared" si="11"/>
        <v>0</v>
      </c>
      <c r="T110" s="13">
        <f t="shared" si="12"/>
        <v>0</v>
      </c>
    </row>
    <row r="111" spans="1:20" ht="15.95">
      <c r="A111" t="str">
        <f>Users!A109</f>
        <v>aaliyahyates1738@gmail.com</v>
      </c>
      <c r="B111" s="23"/>
      <c r="C111" s="23"/>
      <c r="D111" s="1" cm="1">
        <f t="array" ref="D111">MAX(_xlfn._xlws.FILTER(Visits!AF:AF,Visits!E:E='User Engagement'!A111))</f>
        <v>45487</v>
      </c>
      <c r="E111">
        <f>COUNTIF(Visits!$E$2:$E$993,'User Engagement'!$A111)</f>
        <v>2</v>
      </c>
      <c r="F111">
        <f>COUNTIFS(Visits!$E$2:$E$993,'User Engagement'!$A112,Visits!$AF$2:$AF$993,"&gt;"&amp;($B$1-7))</f>
        <v>1</v>
      </c>
      <c r="G111">
        <f>COUNTIFS(Visits!$E$2:$E$993,'User Engagement'!$A111,Visits!$AF$2:$AF$993,"&gt;"&amp;($B$1-30))</f>
        <v>2</v>
      </c>
      <c r="H111">
        <f>COUNTIFS(Visits!$E$2:$E$993,$A111,Visits!$AF$2:$AF$993,"&gt;"&amp;($B$1-60))-G111</f>
        <v>0</v>
      </c>
      <c r="I111">
        <f>COUNTIFS(Visits!$AG:$AG,'New Dashboard'!$A$22,Visits!$E:$E,'User Engagement'!$A111)</f>
        <v>1</v>
      </c>
      <c r="J111">
        <f>COUNTIFS(Visits!$AG:$AG,'New Dashboard'!$A$23,Visits!$E:$E,'User Engagement'!$A111)</f>
        <v>1</v>
      </c>
      <c r="K111">
        <f>COUNTIFS(Visits!$AG:$AG,'New Dashboard'!$A$24,Visits!$E:$E,'User Engagement'!$A111)</f>
        <v>0</v>
      </c>
      <c r="L111">
        <f>COUNTIFS(Visits!$AG:$AG,'New Dashboard'!$A$25,Visits!$E:$E,'User Engagement'!$A111)</f>
        <v>0</v>
      </c>
      <c r="M111">
        <f t="shared" si="14"/>
        <v>0</v>
      </c>
      <c r="N111">
        <f t="shared" si="15"/>
        <v>1</v>
      </c>
      <c r="O111">
        <f t="shared" si="13"/>
        <v>0</v>
      </c>
      <c r="P111">
        <f t="shared" si="10"/>
        <v>0</v>
      </c>
      <c r="Q111" s="4">
        <f>SUMIF(Visits!$E$2:$E$90,'User Engagement'!$A111,Visits!$T$2:$T$90)</f>
        <v>0</v>
      </c>
      <c r="R111" s="4">
        <f>SUMIFS(Visits!$T$2:$T$90,Visits!$E$2:$E$90,'User Engagement'!$A111,Visits!$AF$2:$AF$90,"&gt;3/28/24")</f>
        <v>0</v>
      </c>
      <c r="S111" s="13">
        <f t="shared" si="11"/>
        <v>0</v>
      </c>
      <c r="T111" s="13">
        <f t="shared" si="12"/>
        <v>0</v>
      </c>
    </row>
    <row r="112" spans="1:20" ht="15.95">
      <c r="A112" t="str">
        <f>Users!A110</f>
        <v>chiharu.t.i@nifty.com</v>
      </c>
      <c r="B112" s="23"/>
      <c r="C112" s="23"/>
      <c r="D112" s="1" cm="1">
        <f t="array" ref="D112">MAX(_xlfn._xlws.FILTER(Visits!AF:AF,Visits!E:E='User Engagement'!A112))</f>
        <v>45466.583333333336</v>
      </c>
      <c r="E112">
        <f>COUNTIF(Visits!$E$2:$E$993,'User Engagement'!$A112)</f>
        <v>1</v>
      </c>
      <c r="F112">
        <f>COUNTIFS(Visits!$E$2:$E$993,'User Engagement'!$A113,Visits!$AF$2:$AF$993,"&gt;"&amp;($B$1-7))</f>
        <v>1</v>
      </c>
      <c r="G112">
        <f>COUNTIFS(Visits!$E$2:$E$993,'User Engagement'!$A112,Visits!$AF$2:$AF$993,"&gt;"&amp;($B$1-30))</f>
        <v>1</v>
      </c>
      <c r="H112">
        <f>COUNTIFS(Visits!$E$2:$E$993,$A112,Visits!$AF$2:$AF$993,"&gt;"&amp;($B$1-60))-G112</f>
        <v>0</v>
      </c>
      <c r="I112">
        <f>COUNTIFS(Visits!$AG:$AG,'New Dashboard'!$A$22,Visits!$E:$E,'User Engagement'!$A112)</f>
        <v>0</v>
      </c>
      <c r="J112">
        <f>COUNTIFS(Visits!$AG:$AG,'New Dashboard'!$A$23,Visits!$E:$E,'User Engagement'!$A112)</f>
        <v>1</v>
      </c>
      <c r="K112">
        <f>COUNTIFS(Visits!$AG:$AG,'New Dashboard'!$A$24,Visits!$E:$E,'User Engagement'!$A112)</f>
        <v>0</v>
      </c>
      <c r="L112">
        <f>COUNTIFS(Visits!$AG:$AG,'New Dashboard'!$A$25,Visits!$E:$E,'User Engagement'!$A112)</f>
        <v>0</v>
      </c>
      <c r="M112">
        <f t="shared" si="14"/>
        <v>1</v>
      </c>
      <c r="N112">
        <f t="shared" si="15"/>
        <v>1</v>
      </c>
      <c r="O112">
        <f t="shared" si="13"/>
        <v>0</v>
      </c>
      <c r="P112">
        <f t="shared" si="10"/>
        <v>0</v>
      </c>
      <c r="Q112" s="4">
        <f>SUMIF(Visits!$E$2:$E$90,'User Engagement'!$A112,Visits!$T$2:$T$90)</f>
        <v>0</v>
      </c>
      <c r="R112" s="4">
        <f>SUMIFS(Visits!$T$2:$T$90,Visits!$E$2:$E$90,'User Engagement'!$A112,Visits!$AF$2:$AF$90,"&gt;3/28/24")</f>
        <v>0</v>
      </c>
      <c r="S112" s="13">
        <f t="shared" si="11"/>
        <v>0</v>
      </c>
      <c r="T112" s="13">
        <f t="shared" si="12"/>
        <v>0</v>
      </c>
    </row>
    <row r="113" spans="1:20" ht="15.95">
      <c r="A113" t="str">
        <f>Users!A111</f>
        <v>dmerrony@btinternet.com</v>
      </c>
      <c r="B113" s="23"/>
      <c r="C113" s="23"/>
      <c r="D113" s="1" cm="1">
        <f t="array" ref="D113">MAX(_xlfn._xlws.FILTER(Visits!AF:AF,Visits!E:E='User Engagement'!A113))</f>
        <v>45473.583333333336</v>
      </c>
      <c r="E113">
        <f>COUNTIF(Visits!$E$2:$E$993,'User Engagement'!$A113)</f>
        <v>1</v>
      </c>
      <c r="F113">
        <f>COUNTIFS(Visits!$E$2:$E$993,'User Engagement'!$A114,Visits!$AF$2:$AF$993,"&gt;"&amp;($B$1-7))</f>
        <v>2</v>
      </c>
      <c r="G113">
        <f>COUNTIFS(Visits!$E$2:$E$993,'User Engagement'!$A113,Visits!$AF$2:$AF$993,"&gt;"&amp;($B$1-30))</f>
        <v>1</v>
      </c>
      <c r="H113">
        <f>COUNTIFS(Visits!$E$2:$E$993,$A113,Visits!$AF$2:$AF$993,"&gt;"&amp;($B$1-60))-G113</f>
        <v>0</v>
      </c>
      <c r="I113">
        <f>COUNTIFS(Visits!$AG:$AG,'New Dashboard'!$A$22,Visits!$E:$E,'User Engagement'!$A113)</f>
        <v>0</v>
      </c>
      <c r="J113">
        <f>COUNTIFS(Visits!$AG:$AG,'New Dashboard'!$A$23,Visits!$E:$E,'User Engagement'!$A113)</f>
        <v>1</v>
      </c>
      <c r="K113">
        <f>COUNTIFS(Visits!$AG:$AG,'New Dashboard'!$A$24,Visits!$E:$E,'User Engagement'!$A113)</f>
        <v>0</v>
      </c>
      <c r="L113">
        <f>COUNTIFS(Visits!$AG:$AG,'New Dashboard'!$A$25,Visits!$E:$E,'User Engagement'!$A113)</f>
        <v>0</v>
      </c>
      <c r="M113">
        <f t="shared" si="14"/>
        <v>0</v>
      </c>
      <c r="N113">
        <f t="shared" si="15"/>
        <v>1</v>
      </c>
      <c r="O113">
        <f t="shared" si="13"/>
        <v>0</v>
      </c>
      <c r="P113">
        <f t="shared" si="10"/>
        <v>0</v>
      </c>
      <c r="Q113" s="4">
        <f>SUMIF(Visits!$E$2:$E$90,'User Engagement'!$A113,Visits!$T$2:$T$90)</f>
        <v>0</v>
      </c>
      <c r="R113" s="4">
        <f>SUMIFS(Visits!$T$2:$T$90,Visits!$E$2:$E$90,'User Engagement'!$A113,Visits!$AF$2:$AF$90,"&gt;3/28/24")</f>
        <v>0</v>
      </c>
      <c r="S113" s="13">
        <f t="shared" si="11"/>
        <v>0</v>
      </c>
      <c r="T113" s="13">
        <f t="shared" si="12"/>
        <v>0</v>
      </c>
    </row>
    <row r="114" spans="1:20" ht="15.95">
      <c r="A114" t="str">
        <f>Users!A112</f>
        <v>win_man45@hotmail.com</v>
      </c>
      <c r="B114" s="23"/>
      <c r="C114" s="23"/>
      <c r="D114" s="1" cm="1">
        <f t="array" ref="D114">MAX(_xlfn._xlws.FILTER(Visits!AF:AF,Visits!E:E='User Engagement'!A114))</f>
        <v>45473.583333333336</v>
      </c>
      <c r="E114">
        <f>COUNTIF(Visits!$E$2:$E$993,'User Engagement'!$A114)</f>
        <v>2</v>
      </c>
      <c r="F114">
        <f>COUNTIFS(Visits!$E$2:$E$993,'User Engagement'!$A115,Visits!$AF$2:$AF$993,"&gt;"&amp;($B$1-7))</f>
        <v>1</v>
      </c>
      <c r="G114">
        <f>COUNTIFS(Visits!$E$2:$E$993,'User Engagement'!$A114,Visits!$AF$2:$AF$993,"&gt;"&amp;($B$1-30))</f>
        <v>2</v>
      </c>
      <c r="H114">
        <f>COUNTIFS(Visits!$E$2:$E$993,$A114,Visits!$AF$2:$AF$993,"&gt;"&amp;($B$1-60))-G114</f>
        <v>0</v>
      </c>
      <c r="I114">
        <f>COUNTIFS(Visits!$AG:$AG,'New Dashboard'!$A$22,Visits!$E:$E,'User Engagement'!$A114)</f>
        <v>0</v>
      </c>
      <c r="J114">
        <f>COUNTIFS(Visits!$AG:$AG,'New Dashboard'!$A$23,Visits!$E:$E,'User Engagement'!$A114)</f>
        <v>2</v>
      </c>
      <c r="K114">
        <f>COUNTIFS(Visits!$AG:$AG,'New Dashboard'!$A$24,Visits!$E:$E,'User Engagement'!$A114)</f>
        <v>0</v>
      </c>
      <c r="L114">
        <f>COUNTIFS(Visits!$AG:$AG,'New Dashboard'!$A$25,Visits!$E:$E,'User Engagement'!$A114)</f>
        <v>0</v>
      </c>
      <c r="M114">
        <f t="shared" si="14"/>
        <v>0</v>
      </c>
      <c r="N114">
        <f t="shared" si="15"/>
        <v>1</v>
      </c>
      <c r="O114">
        <f t="shared" si="13"/>
        <v>0</v>
      </c>
      <c r="P114">
        <f t="shared" si="10"/>
        <v>0</v>
      </c>
      <c r="Q114" s="4">
        <f>SUMIF(Visits!$E$2:$E$90,'User Engagement'!$A114,Visits!$T$2:$T$90)</f>
        <v>0</v>
      </c>
      <c r="R114" s="4">
        <f>SUMIFS(Visits!$T$2:$T$90,Visits!$E$2:$E$90,'User Engagement'!$A114,Visits!$AF$2:$AF$90,"&gt;3/28/24")</f>
        <v>0</v>
      </c>
      <c r="S114" s="13">
        <f t="shared" si="11"/>
        <v>0</v>
      </c>
      <c r="T114" s="13">
        <f t="shared" si="12"/>
        <v>0</v>
      </c>
    </row>
    <row r="115" spans="1:20" ht="15.95">
      <c r="A115" t="str">
        <f>Users!A113</f>
        <v>akhil1189@gmail.com</v>
      </c>
      <c r="B115" s="23"/>
      <c r="C115" s="23"/>
      <c r="D115" s="1" cm="1">
        <f t="array" ref="D115">MAX(_xlfn._xlws.FILTER(Visits!AF:AF,Visits!E:E='User Engagement'!A115))</f>
        <v>45484</v>
      </c>
      <c r="E115">
        <f>COUNTIF(Visits!$E$2:$E$993,'User Engagement'!$A115)</f>
        <v>1</v>
      </c>
      <c r="F115">
        <f>COUNTIFS(Visits!$E$2:$E$993,'User Engagement'!$A116,Visits!$AF$2:$AF$993,"&gt;"&amp;($B$1-7))</f>
        <v>1</v>
      </c>
      <c r="G115">
        <f>COUNTIFS(Visits!$E$2:$E$993,'User Engagement'!$A115,Visits!$AF$2:$AF$993,"&gt;"&amp;($B$1-30))</f>
        <v>1</v>
      </c>
      <c r="H115">
        <f>COUNTIFS(Visits!$E$2:$E$993,$A115,Visits!$AF$2:$AF$993,"&gt;"&amp;($B$1-60))-G115</f>
        <v>0</v>
      </c>
      <c r="I115">
        <f>COUNTIFS(Visits!$AG:$AG,'New Dashboard'!$A$22,Visits!$E:$E,'User Engagement'!$A115)</f>
        <v>1</v>
      </c>
      <c r="J115">
        <f>COUNTIFS(Visits!$AG:$AG,'New Dashboard'!$A$23,Visits!$E:$E,'User Engagement'!$A115)</f>
        <v>0</v>
      </c>
      <c r="K115">
        <f>COUNTIFS(Visits!$AG:$AG,'New Dashboard'!$A$24,Visits!$E:$E,'User Engagement'!$A115)</f>
        <v>0</v>
      </c>
      <c r="L115">
        <f>COUNTIFS(Visits!$AG:$AG,'New Dashboard'!$A$25,Visits!$E:$E,'User Engagement'!$A115)</f>
        <v>0</v>
      </c>
      <c r="M115">
        <f t="shared" si="14"/>
        <v>1</v>
      </c>
      <c r="N115">
        <f t="shared" si="15"/>
        <v>1</v>
      </c>
      <c r="O115">
        <f t="shared" si="13"/>
        <v>0</v>
      </c>
      <c r="P115">
        <f t="shared" si="10"/>
        <v>0</v>
      </c>
      <c r="Q115" s="4">
        <f>SUMIF(Visits!$E$2:$E$90,'User Engagement'!$A115,Visits!$T$2:$T$90)</f>
        <v>0</v>
      </c>
      <c r="R115" s="4">
        <f>SUMIFS(Visits!$T$2:$T$90,Visits!$E$2:$E$90,'User Engagement'!$A115,Visits!$AF$2:$AF$90,"&gt;3/28/24")</f>
        <v>0</v>
      </c>
      <c r="S115" s="13">
        <f t="shared" si="11"/>
        <v>0</v>
      </c>
      <c r="T115" s="13">
        <f t="shared" si="12"/>
        <v>0</v>
      </c>
    </row>
    <row r="116" spans="1:20" ht="15.95">
      <c r="A116" t="str">
        <f>Users!A114</f>
        <v>annesandesu@yahoo.com</v>
      </c>
      <c r="B116" s="23"/>
      <c r="C116" s="23"/>
      <c r="D116" s="1" cm="1">
        <f t="array" ref="D116">MAX(_xlfn._xlws.FILTER(Visits!AF:AF,Visits!E:E='User Engagement'!A116))</f>
        <v>45484</v>
      </c>
      <c r="E116">
        <f>COUNTIF(Visits!$E$2:$E$993,'User Engagement'!$A116)</f>
        <v>1</v>
      </c>
      <c r="F116">
        <f>COUNTIFS(Visits!$E$2:$E$993,'User Engagement'!$A117,Visits!$AF$2:$AF$993,"&gt;"&amp;($B$1-7))</f>
        <v>1</v>
      </c>
      <c r="G116">
        <f>COUNTIFS(Visits!$E$2:$E$993,'User Engagement'!$A116,Visits!$AF$2:$AF$993,"&gt;"&amp;($B$1-30))</f>
        <v>1</v>
      </c>
      <c r="H116">
        <f>COUNTIFS(Visits!$E$2:$E$993,$A116,Visits!$AF$2:$AF$993,"&gt;"&amp;($B$1-60))-G116</f>
        <v>0</v>
      </c>
      <c r="I116">
        <f>COUNTIFS(Visits!$AG:$AG,'New Dashboard'!$A$22,Visits!$E:$E,'User Engagement'!$A116)</f>
        <v>1</v>
      </c>
      <c r="J116">
        <f>COUNTIFS(Visits!$AG:$AG,'New Dashboard'!$A$23,Visits!$E:$E,'User Engagement'!$A116)</f>
        <v>0</v>
      </c>
      <c r="K116">
        <f>COUNTIFS(Visits!$AG:$AG,'New Dashboard'!$A$24,Visits!$E:$E,'User Engagement'!$A116)</f>
        <v>0</v>
      </c>
      <c r="L116">
        <f>COUNTIFS(Visits!$AG:$AG,'New Dashboard'!$A$25,Visits!$E:$E,'User Engagement'!$A116)</f>
        <v>0</v>
      </c>
      <c r="M116">
        <f t="shared" si="14"/>
        <v>1</v>
      </c>
      <c r="N116">
        <f t="shared" si="15"/>
        <v>1</v>
      </c>
      <c r="O116">
        <f t="shared" si="13"/>
        <v>0</v>
      </c>
      <c r="P116">
        <f t="shared" si="10"/>
        <v>0</v>
      </c>
      <c r="Q116" s="4">
        <f>SUMIF(Visits!$E$2:$E$90,'User Engagement'!$A116,Visits!$T$2:$T$90)</f>
        <v>0</v>
      </c>
      <c r="R116" s="4">
        <f>SUMIFS(Visits!$T$2:$T$90,Visits!$E$2:$E$90,'User Engagement'!$A116,Visits!$AF$2:$AF$90,"&gt;3/28/24")</f>
        <v>0</v>
      </c>
      <c r="S116" s="13">
        <f t="shared" si="11"/>
        <v>0</v>
      </c>
      <c r="T116" s="13">
        <f t="shared" si="12"/>
        <v>0</v>
      </c>
    </row>
    <row r="117" spans="1:20" ht="15.95">
      <c r="A117" t="str">
        <f>Users!A115</f>
        <v>karismclarty@hotmail.com</v>
      </c>
      <c r="B117" s="23"/>
      <c r="C117" s="23"/>
      <c r="D117" s="1" cm="1">
        <f t="array" ref="D117">MAX(_xlfn._xlws.FILTER(Visits!AF:AF,Visits!E:E='User Engagement'!A117))</f>
        <v>45480.583333333336</v>
      </c>
      <c r="E117">
        <f>COUNTIF(Visits!$E$2:$E$993,'User Engagement'!$A117)</f>
        <v>1</v>
      </c>
      <c r="F117">
        <f>COUNTIFS(Visits!$E$2:$E$993,'User Engagement'!$A118,Visits!$AF$2:$AF$993,"&gt;"&amp;($B$1-7))</f>
        <v>1</v>
      </c>
      <c r="G117">
        <f>COUNTIFS(Visits!$E$2:$E$993,'User Engagement'!$A117,Visits!$AF$2:$AF$993,"&gt;"&amp;($B$1-30))</f>
        <v>1</v>
      </c>
      <c r="H117">
        <f>COUNTIFS(Visits!$E$2:$E$993,$A117,Visits!$AF$2:$AF$993,"&gt;"&amp;($B$1-60))-G117</f>
        <v>0</v>
      </c>
      <c r="I117">
        <f>COUNTIFS(Visits!$AG:$AG,'New Dashboard'!$A$22,Visits!$E:$E,'User Engagement'!$A117)</f>
        <v>1</v>
      </c>
      <c r="J117">
        <f>COUNTIFS(Visits!$AG:$AG,'New Dashboard'!$A$23,Visits!$E:$E,'User Engagement'!$A117)</f>
        <v>0</v>
      </c>
      <c r="K117">
        <f>COUNTIFS(Visits!$AG:$AG,'New Dashboard'!$A$24,Visits!$E:$E,'User Engagement'!$A117)</f>
        <v>0</v>
      </c>
      <c r="L117">
        <f>COUNTIFS(Visits!$AG:$AG,'New Dashboard'!$A$25,Visits!$E:$E,'User Engagement'!$A117)</f>
        <v>0</v>
      </c>
      <c r="M117">
        <f t="shared" si="14"/>
        <v>1</v>
      </c>
      <c r="N117">
        <f t="shared" si="15"/>
        <v>1</v>
      </c>
      <c r="O117">
        <f t="shared" si="13"/>
        <v>0</v>
      </c>
      <c r="P117">
        <f t="shared" si="10"/>
        <v>0</v>
      </c>
      <c r="Q117" s="4">
        <f>SUMIF(Visits!$E$2:$E$90,'User Engagement'!$A117,Visits!$T$2:$T$90)</f>
        <v>0</v>
      </c>
      <c r="R117" s="4">
        <f>SUMIFS(Visits!$T$2:$T$90,Visits!$E$2:$E$90,'User Engagement'!$A117,Visits!$AF$2:$AF$90,"&gt;3/28/24")</f>
        <v>0</v>
      </c>
      <c r="S117" s="13">
        <f t="shared" si="11"/>
        <v>0</v>
      </c>
      <c r="T117" s="13">
        <f t="shared" si="12"/>
        <v>0</v>
      </c>
    </row>
    <row r="118" spans="1:20" ht="15.95">
      <c r="A118" t="str">
        <f>Users!A116</f>
        <v>n87wqqymwb@privaterelay.appleid.com</v>
      </c>
      <c r="B118" s="23"/>
      <c r="C118" s="23"/>
      <c r="D118" s="1" cm="1">
        <f t="array" ref="D118">MAX(_xlfn._xlws.FILTER(Visits!AF:AF,Visits!E:E='User Engagement'!A118))</f>
        <v>45480.583333333336</v>
      </c>
      <c r="E118">
        <f>COUNTIF(Visits!$E$2:$E$993,'User Engagement'!$A118)</f>
        <v>1</v>
      </c>
      <c r="F118">
        <f>COUNTIFS(Visits!$E$2:$E$993,'User Engagement'!$A119,Visits!$AF$2:$AF$993,"&gt;"&amp;($B$1-7))</f>
        <v>1</v>
      </c>
      <c r="G118">
        <f>COUNTIFS(Visits!$E$2:$E$993,'User Engagement'!$A118,Visits!$AF$2:$AF$993,"&gt;"&amp;($B$1-30))</f>
        <v>1</v>
      </c>
      <c r="H118">
        <f>COUNTIFS(Visits!$E$2:$E$993,$A118,Visits!$AF$2:$AF$993,"&gt;"&amp;($B$1-60))-G118</f>
        <v>0</v>
      </c>
      <c r="I118">
        <f>COUNTIFS(Visits!$AG:$AG,'New Dashboard'!$A$22,Visits!$E:$E,'User Engagement'!$A118)</f>
        <v>1</v>
      </c>
      <c r="J118">
        <f>COUNTIFS(Visits!$AG:$AG,'New Dashboard'!$A$23,Visits!$E:$E,'User Engagement'!$A118)</f>
        <v>0</v>
      </c>
      <c r="K118">
        <f>COUNTIFS(Visits!$AG:$AG,'New Dashboard'!$A$24,Visits!$E:$E,'User Engagement'!$A118)</f>
        <v>0</v>
      </c>
      <c r="L118">
        <f>COUNTIFS(Visits!$AG:$AG,'New Dashboard'!$A$25,Visits!$E:$E,'User Engagement'!$A118)</f>
        <v>0</v>
      </c>
      <c r="M118">
        <f t="shared" si="14"/>
        <v>1</v>
      </c>
      <c r="N118">
        <f t="shared" si="15"/>
        <v>1</v>
      </c>
      <c r="O118">
        <f t="shared" si="13"/>
        <v>0</v>
      </c>
      <c r="P118">
        <f t="shared" si="10"/>
        <v>0</v>
      </c>
      <c r="Q118" s="4">
        <f>SUMIF(Visits!$E$2:$E$90,'User Engagement'!$A118,Visits!$T$2:$T$90)</f>
        <v>0</v>
      </c>
      <c r="R118" s="4">
        <f>SUMIFS(Visits!$T$2:$T$90,Visits!$E$2:$E$90,'User Engagement'!$A118,Visits!$AF$2:$AF$90,"&gt;3/28/24")</f>
        <v>0</v>
      </c>
      <c r="S118" s="13">
        <f t="shared" si="11"/>
        <v>0</v>
      </c>
      <c r="T118" s="13">
        <f t="shared" si="12"/>
        <v>0</v>
      </c>
    </row>
    <row r="119" spans="1:20" ht="15.95">
      <c r="A119" t="str">
        <f>Users!A117</f>
        <v>haixiangzhu@hotmail.com</v>
      </c>
      <c r="B119" s="23"/>
      <c r="C119" s="23"/>
      <c r="D119" s="1" cm="1">
        <f t="array" ref="D119">MAX(_xlfn._xlws.FILTER(Visits!AF:AF,Visits!E:E='User Engagement'!A119))</f>
        <v>45480.583333333336</v>
      </c>
      <c r="E119">
        <f>COUNTIF(Visits!$E$2:$E$993,'User Engagement'!$A119)</f>
        <v>1</v>
      </c>
      <c r="F119">
        <f>COUNTIFS(Visits!$E$2:$E$993,'User Engagement'!$A120,Visits!$AF$2:$AF$993,"&gt;"&amp;($B$1-7))</f>
        <v>4</v>
      </c>
      <c r="G119">
        <f>COUNTIFS(Visits!$E$2:$E$993,'User Engagement'!$A119,Visits!$AF$2:$AF$993,"&gt;"&amp;($B$1-30))</f>
        <v>1</v>
      </c>
      <c r="H119">
        <f>COUNTIFS(Visits!$E$2:$E$993,$A119,Visits!$AF$2:$AF$993,"&gt;"&amp;($B$1-60))-G119</f>
        <v>0</v>
      </c>
      <c r="I119">
        <f>COUNTIFS(Visits!$AG:$AG,'New Dashboard'!$A$22,Visits!$E:$E,'User Engagement'!$A119)</f>
        <v>1</v>
      </c>
      <c r="J119">
        <f>COUNTIFS(Visits!$AG:$AG,'New Dashboard'!$A$23,Visits!$E:$E,'User Engagement'!$A119)</f>
        <v>0</v>
      </c>
      <c r="K119">
        <f>COUNTIFS(Visits!$AG:$AG,'New Dashboard'!$A$24,Visits!$E:$E,'User Engagement'!$A119)</f>
        <v>0</v>
      </c>
      <c r="L119">
        <f>COUNTIFS(Visits!$AG:$AG,'New Dashboard'!$A$25,Visits!$E:$E,'User Engagement'!$A119)</f>
        <v>0</v>
      </c>
      <c r="M119">
        <f t="shared" si="14"/>
        <v>0</v>
      </c>
      <c r="N119">
        <f t="shared" si="15"/>
        <v>1</v>
      </c>
      <c r="O119">
        <f t="shared" si="13"/>
        <v>0</v>
      </c>
      <c r="P119">
        <f t="shared" si="10"/>
        <v>0</v>
      </c>
      <c r="Q119" s="4">
        <f>SUMIF(Visits!$E$2:$E$90,'User Engagement'!$A119,Visits!$T$2:$T$90)</f>
        <v>0</v>
      </c>
      <c r="R119" s="4">
        <f>SUMIFS(Visits!$T$2:$T$90,Visits!$E$2:$E$90,'User Engagement'!$A119,Visits!$AF$2:$AF$90,"&gt;3/28/24")</f>
        <v>0</v>
      </c>
      <c r="S119" s="13">
        <f t="shared" si="11"/>
        <v>0</v>
      </c>
      <c r="T119" s="13">
        <f t="shared" si="12"/>
        <v>0</v>
      </c>
    </row>
    <row r="120" spans="1:20" ht="15.95">
      <c r="A120" t="str">
        <f>Users!A118</f>
        <v>priyankagarg2605@gmail.com</v>
      </c>
      <c r="B120" s="23"/>
      <c r="C120" s="23"/>
      <c r="D120" s="1" cm="1">
        <f t="array" ref="D120">MAX(_xlfn._xlws.FILTER(Visits!AF:AF,Visits!E:E='User Engagement'!A120))</f>
        <v>45506</v>
      </c>
      <c r="E120">
        <f>COUNTIF(Visits!$E$2:$E$993,'User Engagement'!$A120)</f>
        <v>4</v>
      </c>
      <c r="F120">
        <f>COUNTIFS(Visits!$E$2:$E$993,'User Engagement'!$A121,Visits!$AF$2:$AF$993,"&gt;"&amp;($B$1-7))</f>
        <v>3</v>
      </c>
      <c r="G120">
        <f>COUNTIFS(Visits!$E$2:$E$993,'User Engagement'!$A120,Visits!$AF$2:$AF$993,"&gt;"&amp;($B$1-30))</f>
        <v>4</v>
      </c>
      <c r="H120">
        <f>COUNTIFS(Visits!$E$2:$E$993,$A120,Visits!$AF$2:$AF$993,"&gt;"&amp;($B$1-60))-G120</f>
        <v>0</v>
      </c>
      <c r="I120">
        <f>COUNTIFS(Visits!$AG:$AG,'New Dashboard'!$A$22,Visits!$E:$E,'User Engagement'!$A120)</f>
        <v>3</v>
      </c>
      <c r="J120">
        <f>COUNTIFS(Visits!$AG:$AG,'New Dashboard'!$A$23,Visits!$E:$E,'User Engagement'!$A120)</f>
        <v>0</v>
      </c>
      <c r="K120">
        <f>COUNTIFS(Visits!$AG:$AG,'New Dashboard'!$A$24,Visits!$E:$E,'User Engagement'!$A120)</f>
        <v>0</v>
      </c>
      <c r="L120">
        <f>COUNTIFS(Visits!$AG:$AG,'New Dashboard'!$A$25,Visits!$E:$E,'User Engagement'!$A120)</f>
        <v>0</v>
      </c>
      <c r="M120">
        <f t="shared" si="14"/>
        <v>0</v>
      </c>
      <c r="N120">
        <f t="shared" si="15"/>
        <v>1</v>
      </c>
      <c r="O120">
        <f t="shared" si="13"/>
        <v>0</v>
      </c>
      <c r="P120">
        <f t="shared" si="10"/>
        <v>1</v>
      </c>
      <c r="Q120" s="4">
        <f>SUMIF(Visits!$E$2:$E$90,'User Engagement'!$A120,Visits!$T$2:$T$90)</f>
        <v>0</v>
      </c>
      <c r="R120" s="4">
        <f>SUMIFS(Visits!$T$2:$T$90,Visits!$E$2:$E$90,'User Engagement'!$A120,Visits!$AF$2:$AF$90,"&gt;3/28/24")</f>
        <v>0</v>
      </c>
      <c r="S120" s="13">
        <f t="shared" si="11"/>
        <v>0</v>
      </c>
      <c r="T120" s="13">
        <f t="shared" si="12"/>
        <v>0</v>
      </c>
    </row>
    <row r="121" spans="1:20" ht="15.95">
      <c r="A121" t="str">
        <f>Users!A119</f>
        <v>kaolinokaimana@gmail.com</v>
      </c>
      <c r="B121" s="23"/>
      <c r="C121" s="23"/>
      <c r="D121" s="1" cm="1">
        <f t="array" ref="D121">MAX(_xlfn._xlws.FILTER(Visits!AF:AF,Visits!E:E='User Engagement'!A121))</f>
        <v>45492</v>
      </c>
      <c r="E121">
        <f>COUNTIF(Visits!$E$2:$E$993,'User Engagement'!$A121)</f>
        <v>3</v>
      </c>
      <c r="F121">
        <f>COUNTIFS(Visits!$E$2:$E$993,'User Engagement'!$A122,Visits!$AF$2:$AF$993,"&gt;"&amp;($B$1-7))</f>
        <v>1</v>
      </c>
      <c r="G121">
        <f>COUNTIFS(Visits!$E$2:$E$993,'User Engagement'!$A121,Visits!$AF$2:$AF$993,"&gt;"&amp;($B$1-30))</f>
        <v>3</v>
      </c>
      <c r="H121">
        <f>COUNTIFS(Visits!$E$2:$E$993,$A121,Visits!$AF$2:$AF$993,"&gt;"&amp;($B$1-60))-G121</f>
        <v>0</v>
      </c>
      <c r="I121">
        <f>COUNTIFS(Visits!$AG:$AG,'New Dashboard'!$A$22,Visits!$E:$E,'User Engagement'!$A121)</f>
        <v>3</v>
      </c>
      <c r="J121">
        <f>COUNTIFS(Visits!$AG:$AG,'New Dashboard'!$A$23,Visits!$E:$E,'User Engagement'!$A121)</f>
        <v>0</v>
      </c>
      <c r="K121">
        <f>COUNTIFS(Visits!$AG:$AG,'New Dashboard'!$A$24,Visits!$E:$E,'User Engagement'!$A121)</f>
        <v>0</v>
      </c>
      <c r="L121">
        <f>COUNTIFS(Visits!$AG:$AG,'New Dashboard'!$A$25,Visits!$E:$E,'User Engagement'!$A121)</f>
        <v>0</v>
      </c>
      <c r="M121">
        <f t="shared" si="14"/>
        <v>0</v>
      </c>
      <c r="N121">
        <f t="shared" si="15"/>
        <v>1</v>
      </c>
      <c r="O121">
        <f t="shared" si="13"/>
        <v>0</v>
      </c>
      <c r="P121">
        <f t="shared" si="10"/>
        <v>1</v>
      </c>
      <c r="Q121" s="4">
        <f>SUMIF(Visits!$E$2:$E$90,'User Engagement'!$A121,Visits!$T$2:$T$90)</f>
        <v>0</v>
      </c>
      <c r="R121" s="4">
        <f>SUMIFS(Visits!$T$2:$T$90,Visits!$E$2:$E$90,'User Engagement'!$A121,Visits!$AF$2:$AF$90,"&gt;3/28/24")</f>
        <v>0</v>
      </c>
      <c r="S121" s="13">
        <f t="shared" si="11"/>
        <v>0</v>
      </c>
      <c r="T121" s="13">
        <f t="shared" si="12"/>
        <v>0</v>
      </c>
    </row>
    <row r="122" spans="1:20" ht="15.95">
      <c r="A122" t="str">
        <f>Users!A120</f>
        <v>danieldmello2002@yahoo.com</v>
      </c>
      <c r="B122" s="23"/>
      <c r="C122" s="23"/>
      <c r="D122" s="1" cm="1">
        <f t="array" ref="D122">MAX(_xlfn._xlws.FILTER(Visits!AF:AF,Visits!E:E='User Engagement'!A122))</f>
        <v>45499</v>
      </c>
      <c r="E122">
        <f>COUNTIF(Visits!$E$2:$E$993,'User Engagement'!$A122)</f>
        <v>1</v>
      </c>
      <c r="F122">
        <f>COUNTIFS(Visits!$E$2:$E$993,'User Engagement'!$A123,Visits!$AF$2:$AF$993,"&gt;"&amp;($B$1-7))</f>
        <v>1</v>
      </c>
      <c r="G122">
        <f>COUNTIFS(Visits!$E$2:$E$993,'User Engagement'!$A122,Visits!$AF$2:$AF$993,"&gt;"&amp;($B$1-30))</f>
        <v>1</v>
      </c>
      <c r="H122">
        <f>COUNTIFS(Visits!$E$2:$E$993,$A122,Visits!$AF$2:$AF$993,"&gt;"&amp;($B$1-60))-G122</f>
        <v>0</v>
      </c>
      <c r="I122">
        <f>COUNTIFS(Visits!$AG:$AG,'New Dashboard'!$A$22,Visits!$E:$E,'User Engagement'!$A122)</f>
        <v>1</v>
      </c>
      <c r="J122">
        <f>COUNTIFS(Visits!$AG:$AG,'New Dashboard'!$A$23,Visits!$E:$E,'User Engagement'!$A122)</f>
        <v>0</v>
      </c>
      <c r="K122">
        <f>COUNTIFS(Visits!$AG:$AG,'New Dashboard'!$A$24,Visits!$E:$E,'User Engagement'!$A122)</f>
        <v>0</v>
      </c>
      <c r="L122">
        <f>COUNTIFS(Visits!$AG:$AG,'New Dashboard'!$A$25,Visits!$E:$E,'User Engagement'!$A122)</f>
        <v>0</v>
      </c>
      <c r="M122">
        <f t="shared" si="14"/>
        <v>1</v>
      </c>
      <c r="N122">
        <f t="shared" si="15"/>
        <v>1</v>
      </c>
      <c r="O122">
        <f t="shared" si="13"/>
        <v>0</v>
      </c>
      <c r="P122">
        <f t="shared" si="10"/>
        <v>0</v>
      </c>
      <c r="Q122" s="4">
        <f>SUMIF(Visits!$E$2:$E$90,'User Engagement'!$A122,Visits!$T$2:$T$90)</f>
        <v>0</v>
      </c>
      <c r="R122" s="4">
        <f>SUMIFS(Visits!$T$2:$T$90,Visits!$E$2:$E$90,'User Engagement'!$A122,Visits!$AF$2:$AF$90,"&gt;3/28/24")</f>
        <v>0</v>
      </c>
      <c r="S122" s="13">
        <f t="shared" si="11"/>
        <v>0</v>
      </c>
      <c r="T122" s="13">
        <f t="shared" si="12"/>
        <v>0</v>
      </c>
    </row>
    <row r="123" spans="1:20" ht="15.95">
      <c r="A123" t="str">
        <f>Users!A121</f>
        <v>visitor-sayan</v>
      </c>
      <c r="B123" s="23"/>
      <c r="C123" s="23"/>
      <c r="D123" s="1" cm="1">
        <f t="array" ref="D123">MAX(_xlfn._xlws.FILTER(Visits!AF:AF,Visits!E:E='User Engagement'!A123))</f>
        <v>45499</v>
      </c>
      <c r="E123">
        <f>COUNTIF(Visits!$E$2:$E$993,'User Engagement'!$A123)</f>
        <v>1</v>
      </c>
      <c r="F123">
        <f>COUNTIFS(Visits!$E$2:$E$993,'User Engagement'!$A124,Visits!$AF$2:$AF$993,"&gt;"&amp;($B$1-7))</f>
        <v>1</v>
      </c>
      <c r="G123">
        <f>COUNTIFS(Visits!$E$2:$E$993,'User Engagement'!$A123,Visits!$AF$2:$AF$993,"&gt;"&amp;($B$1-30))</f>
        <v>1</v>
      </c>
      <c r="H123">
        <f>COUNTIFS(Visits!$E$2:$E$993,$A123,Visits!$AF$2:$AF$993,"&gt;"&amp;($B$1-60))-G123</f>
        <v>0</v>
      </c>
      <c r="I123">
        <f>COUNTIFS(Visits!$AG:$AG,'New Dashboard'!$A$22,Visits!$E:$E,'User Engagement'!$A123)</f>
        <v>1</v>
      </c>
      <c r="J123">
        <f>COUNTIFS(Visits!$AG:$AG,'New Dashboard'!$A$23,Visits!$E:$E,'User Engagement'!$A123)</f>
        <v>0</v>
      </c>
      <c r="K123">
        <f>COUNTIFS(Visits!$AG:$AG,'New Dashboard'!$A$24,Visits!$E:$E,'User Engagement'!$A123)</f>
        <v>0</v>
      </c>
      <c r="L123">
        <f>COUNTIFS(Visits!$AG:$AG,'New Dashboard'!$A$25,Visits!$E:$E,'User Engagement'!$A123)</f>
        <v>0</v>
      </c>
      <c r="M123">
        <f t="shared" si="14"/>
        <v>1</v>
      </c>
      <c r="N123">
        <f t="shared" si="15"/>
        <v>1</v>
      </c>
      <c r="O123">
        <f t="shared" si="13"/>
        <v>0</v>
      </c>
      <c r="P123">
        <f t="shared" si="10"/>
        <v>0</v>
      </c>
      <c r="Q123" s="4">
        <f>SUMIF(Visits!$E$2:$E$90,'User Engagement'!$A123,Visits!$T$2:$T$90)</f>
        <v>0</v>
      </c>
      <c r="R123" s="4">
        <f>SUMIFS(Visits!$T$2:$T$90,Visits!$E$2:$E$90,'User Engagement'!$A123,Visits!$AF$2:$AF$90,"&gt;3/28/24")</f>
        <v>0</v>
      </c>
      <c r="S123" s="13">
        <f t="shared" si="11"/>
        <v>0</v>
      </c>
      <c r="T123" s="13">
        <f t="shared" si="12"/>
        <v>0</v>
      </c>
    </row>
    <row r="124" spans="1:20" ht="15.95">
      <c r="A124" t="str">
        <f>Users!A122</f>
        <v>visitor-leonie</v>
      </c>
      <c r="B124" s="23"/>
      <c r="C124" s="23"/>
      <c r="D124" s="1" cm="1">
        <f t="array" ref="D124">MAX(_xlfn._xlws.FILTER(Visits!AF:AF,Visits!E:E='User Engagement'!A124))</f>
        <v>45499</v>
      </c>
      <c r="E124">
        <f>COUNTIF(Visits!$E$2:$E$993,'User Engagement'!$A124)</f>
        <v>1</v>
      </c>
      <c r="F124">
        <f>COUNTIFS(Visits!$E$2:$E$993,'User Engagement'!$A125,Visits!$AF$2:$AF$993,"&gt;"&amp;($B$1-7))</f>
        <v>2</v>
      </c>
      <c r="G124">
        <f>COUNTIFS(Visits!$E$2:$E$993,'User Engagement'!$A124,Visits!$AF$2:$AF$993,"&gt;"&amp;($B$1-30))</f>
        <v>1</v>
      </c>
      <c r="H124">
        <f>COUNTIFS(Visits!$E$2:$E$993,$A124,Visits!$AF$2:$AF$993,"&gt;"&amp;($B$1-60))-G124</f>
        <v>0</v>
      </c>
      <c r="I124">
        <f>COUNTIFS(Visits!$AG:$AG,'New Dashboard'!$A$22,Visits!$E:$E,'User Engagement'!$A124)</f>
        <v>1</v>
      </c>
      <c r="J124">
        <f>COUNTIFS(Visits!$AG:$AG,'New Dashboard'!$A$23,Visits!$E:$E,'User Engagement'!$A124)</f>
        <v>0</v>
      </c>
      <c r="K124">
        <f>COUNTIFS(Visits!$AG:$AG,'New Dashboard'!$A$24,Visits!$E:$E,'User Engagement'!$A124)</f>
        <v>0</v>
      </c>
      <c r="L124">
        <f>COUNTIFS(Visits!$AG:$AG,'New Dashboard'!$A$25,Visits!$E:$E,'User Engagement'!$A124)</f>
        <v>0</v>
      </c>
      <c r="M124">
        <f t="shared" si="14"/>
        <v>0</v>
      </c>
      <c r="N124">
        <f t="shared" si="15"/>
        <v>1</v>
      </c>
      <c r="O124">
        <f t="shared" si="13"/>
        <v>0</v>
      </c>
      <c r="P124">
        <f t="shared" si="10"/>
        <v>0</v>
      </c>
      <c r="Q124" s="4">
        <f>SUMIF(Visits!$E$2:$E$90,'User Engagement'!$A124,Visits!$T$2:$T$90)</f>
        <v>0</v>
      </c>
      <c r="R124" s="4">
        <f>SUMIFS(Visits!$T$2:$T$90,Visits!$E$2:$E$90,'User Engagement'!$A124,Visits!$AF$2:$AF$90,"&gt;3/28/24")</f>
        <v>0</v>
      </c>
      <c r="S124" s="13">
        <f t="shared" si="11"/>
        <v>0</v>
      </c>
      <c r="T124" s="13">
        <f t="shared" si="12"/>
        <v>0</v>
      </c>
    </row>
    <row r="125" spans="1:20" ht="15.95">
      <c r="A125" t="str">
        <f>Users!A123</f>
        <v>mcdavze@gmail.com</v>
      </c>
      <c r="B125" s="23"/>
      <c r="C125" s="23"/>
      <c r="D125" s="1" cm="1">
        <f t="array" ref="D125">MAX(_xlfn._xlws.FILTER(Visits!AF:AF,Visits!E:E='User Engagement'!A125))</f>
        <v>45499</v>
      </c>
      <c r="E125">
        <f>COUNTIF(Visits!$E$2:$E$993,'User Engagement'!$A125)</f>
        <v>2</v>
      </c>
      <c r="F125">
        <f>COUNTIFS(Visits!$E$2:$E$993,'User Engagement'!$A126,Visits!$AF$2:$AF$993,"&gt;"&amp;($B$1-7))</f>
        <v>1</v>
      </c>
      <c r="G125">
        <f>COUNTIFS(Visits!$E$2:$E$993,'User Engagement'!$A125,Visits!$AF$2:$AF$993,"&gt;"&amp;($B$1-30))</f>
        <v>2</v>
      </c>
      <c r="H125">
        <f>COUNTIFS(Visits!$E$2:$E$993,$A125,Visits!$AF$2:$AF$993,"&gt;"&amp;($B$1-60))-G125</f>
        <v>0</v>
      </c>
      <c r="I125">
        <f>COUNTIFS(Visits!$AG:$AG,'New Dashboard'!$A$22,Visits!$E:$E,'User Engagement'!$A125)</f>
        <v>2</v>
      </c>
      <c r="J125">
        <f>COUNTIFS(Visits!$AG:$AG,'New Dashboard'!$A$23,Visits!$E:$E,'User Engagement'!$A125)</f>
        <v>0</v>
      </c>
      <c r="K125">
        <f>COUNTIFS(Visits!$AG:$AG,'New Dashboard'!$A$24,Visits!$E:$E,'User Engagement'!$A125)</f>
        <v>0</v>
      </c>
      <c r="L125">
        <f>COUNTIFS(Visits!$AG:$AG,'New Dashboard'!$A$25,Visits!$E:$E,'User Engagement'!$A125)</f>
        <v>0</v>
      </c>
      <c r="M125">
        <f t="shared" si="14"/>
        <v>0</v>
      </c>
      <c r="N125">
        <f t="shared" si="15"/>
        <v>1</v>
      </c>
      <c r="O125">
        <f t="shared" si="13"/>
        <v>0</v>
      </c>
      <c r="P125">
        <f t="shared" si="10"/>
        <v>0</v>
      </c>
      <c r="Q125" s="4">
        <f>SUMIF(Visits!$E$2:$E$90,'User Engagement'!$A125,Visits!$T$2:$T$90)</f>
        <v>0</v>
      </c>
      <c r="R125" s="4">
        <f>SUMIFS(Visits!$T$2:$T$90,Visits!$E$2:$E$90,'User Engagement'!$A125,Visits!$AF$2:$AF$90,"&gt;3/28/24")</f>
        <v>0</v>
      </c>
      <c r="S125" s="13">
        <f t="shared" si="11"/>
        <v>0</v>
      </c>
      <c r="T125" s="13">
        <f t="shared" si="12"/>
        <v>0</v>
      </c>
    </row>
    <row r="126" spans="1:20" ht="15.95">
      <c r="A126" t="str">
        <f>Users!A124</f>
        <v>cuberoaraya@gmail.com</v>
      </c>
      <c r="B126" s="23"/>
      <c r="C126" s="23"/>
      <c r="D126" s="1" cm="1">
        <f t="array" ref="D126">MAX(_xlfn._xlws.FILTER(Visits!AF:AF,Visits!E:E='User Engagement'!A126))</f>
        <v>45499</v>
      </c>
      <c r="E126">
        <f>COUNTIF(Visits!$E$2:$E$993,'User Engagement'!$A126)</f>
        <v>1</v>
      </c>
      <c r="F126">
        <f>COUNTIFS(Visits!$E$2:$E$993,'User Engagement'!$A127,Visits!$AF$2:$AF$993,"&gt;"&amp;($B$1-7))</f>
        <v>1</v>
      </c>
      <c r="G126">
        <f>COUNTIFS(Visits!$E$2:$E$993,'User Engagement'!$A126,Visits!$AF$2:$AF$993,"&gt;"&amp;($B$1-30))</f>
        <v>1</v>
      </c>
      <c r="H126">
        <f>COUNTIFS(Visits!$E$2:$E$993,$A126,Visits!$AF$2:$AF$993,"&gt;"&amp;($B$1-60))-G126</f>
        <v>0</v>
      </c>
      <c r="I126">
        <f>COUNTIFS(Visits!$AG:$AG,'New Dashboard'!$A$22,Visits!$E:$E,'User Engagement'!$A126)</f>
        <v>1</v>
      </c>
      <c r="J126">
        <f>COUNTIFS(Visits!$AG:$AG,'New Dashboard'!$A$23,Visits!$E:$E,'User Engagement'!$A126)</f>
        <v>0</v>
      </c>
      <c r="K126">
        <f>COUNTIFS(Visits!$AG:$AG,'New Dashboard'!$A$24,Visits!$E:$E,'User Engagement'!$A126)</f>
        <v>0</v>
      </c>
      <c r="L126">
        <f>COUNTIFS(Visits!$AG:$AG,'New Dashboard'!$A$25,Visits!$E:$E,'User Engagement'!$A126)</f>
        <v>0</v>
      </c>
      <c r="M126">
        <f t="shared" si="14"/>
        <v>1</v>
      </c>
      <c r="N126">
        <f t="shared" si="15"/>
        <v>1</v>
      </c>
      <c r="O126">
        <f t="shared" si="13"/>
        <v>0</v>
      </c>
      <c r="P126">
        <f t="shared" si="10"/>
        <v>0</v>
      </c>
      <c r="Q126" s="4">
        <f>SUMIF(Visits!$E$2:$E$90,'User Engagement'!$A126,Visits!$T$2:$T$90)</f>
        <v>0</v>
      </c>
      <c r="R126" s="4">
        <f>SUMIFS(Visits!$T$2:$T$90,Visits!$E$2:$E$90,'User Engagement'!$A126,Visits!$AF$2:$AF$90,"&gt;3/28/24")</f>
        <v>0</v>
      </c>
      <c r="S126" s="13">
        <f t="shared" si="11"/>
        <v>0</v>
      </c>
      <c r="T126" s="13">
        <f t="shared" si="12"/>
        <v>0</v>
      </c>
    </row>
    <row r="127" spans="1:20" ht="15.95">
      <c r="A127" t="str">
        <f>Users!A125</f>
        <v>Lesslyt@gmail.com</v>
      </c>
      <c r="B127" s="23"/>
      <c r="C127" s="23"/>
      <c r="D127" s="1" cm="1">
        <f t="array" ref="D127">MAX(_xlfn._xlws.FILTER(Visits!AF:AF,Visits!E:E='User Engagement'!A127))</f>
        <v>45499</v>
      </c>
      <c r="E127">
        <f>COUNTIF(Visits!$E$2:$E$993,'User Engagement'!$A127)</f>
        <v>1</v>
      </c>
      <c r="F127">
        <f>COUNTIFS(Visits!$E$2:$E$993,'User Engagement'!$A128,Visits!$AF$2:$AF$993,"&gt;"&amp;($B$1-7))</f>
        <v>1</v>
      </c>
      <c r="G127">
        <f>COUNTIFS(Visits!$E$2:$E$993,'User Engagement'!$A127,Visits!$AF$2:$AF$993,"&gt;"&amp;($B$1-30))</f>
        <v>1</v>
      </c>
      <c r="H127">
        <f>COUNTIFS(Visits!$E$2:$E$993,$A127,Visits!$AF$2:$AF$993,"&gt;"&amp;($B$1-60))-G127</f>
        <v>0</v>
      </c>
      <c r="I127">
        <f>COUNTIFS(Visits!$AG:$AG,'New Dashboard'!$A$22,Visits!$E:$E,'User Engagement'!$A127)</f>
        <v>1</v>
      </c>
      <c r="J127">
        <f>COUNTIFS(Visits!$AG:$AG,'New Dashboard'!$A$23,Visits!$E:$E,'User Engagement'!$A127)</f>
        <v>0</v>
      </c>
      <c r="K127">
        <f>COUNTIFS(Visits!$AG:$AG,'New Dashboard'!$A$24,Visits!$E:$E,'User Engagement'!$A127)</f>
        <v>0</v>
      </c>
      <c r="L127">
        <f>COUNTIFS(Visits!$AG:$AG,'New Dashboard'!$A$25,Visits!$E:$E,'User Engagement'!$A127)</f>
        <v>0</v>
      </c>
      <c r="M127">
        <f t="shared" si="14"/>
        <v>1</v>
      </c>
      <c r="N127">
        <f t="shared" si="15"/>
        <v>1</v>
      </c>
      <c r="O127">
        <f t="shared" si="13"/>
        <v>0</v>
      </c>
      <c r="P127">
        <f t="shared" si="10"/>
        <v>0</v>
      </c>
      <c r="Q127" s="4">
        <f>SUMIF(Visits!$E$2:$E$90,'User Engagement'!$A127,Visits!$T$2:$T$90)</f>
        <v>0</v>
      </c>
      <c r="R127" s="4">
        <f>SUMIFS(Visits!$T$2:$T$90,Visits!$E$2:$E$90,'User Engagement'!$A127,Visits!$AF$2:$AF$90,"&gt;3/28/24")</f>
        <v>0</v>
      </c>
      <c r="S127" s="13">
        <f t="shared" si="11"/>
        <v>0</v>
      </c>
      <c r="T127" s="13">
        <f t="shared" si="12"/>
        <v>0</v>
      </c>
    </row>
    <row r="128" spans="1:20" ht="15.95">
      <c r="A128" t="str">
        <f>Users!A125</f>
        <v>Lesslyt@gmail.com</v>
      </c>
      <c r="B128" s="23"/>
      <c r="C128" s="23"/>
      <c r="D128" s="1" cm="1">
        <f t="array" ref="D128">MAX(_xlfn._xlws.FILTER(Visits!AF:AF,Visits!E:E='User Engagement'!A128))</f>
        <v>45499</v>
      </c>
      <c r="E128">
        <f>COUNTIF(Visits!$E$2:$E$993,'User Engagement'!$A128)</f>
        <v>1</v>
      </c>
      <c r="F128">
        <f>COUNTIFS(Visits!$E$2:$E$993,'User Engagement'!$A129,Visits!$AF$2:$AF$993,"&gt;"&amp;($B$1-7))</f>
        <v>1</v>
      </c>
      <c r="G128">
        <f>COUNTIFS(Visits!$E$2:$E$993,'User Engagement'!$A128,Visits!$AF$2:$AF$993,"&gt;"&amp;($B$1-30))</f>
        <v>1</v>
      </c>
      <c r="H128">
        <f>COUNTIFS(Visits!$E$2:$E$993,$A128,Visits!$AF$2:$AF$993,"&gt;"&amp;($B$1-60))-G128</f>
        <v>0</v>
      </c>
      <c r="I128">
        <f>COUNTIFS(Visits!$AG:$AG,'New Dashboard'!$A$22,Visits!$E:$E,'User Engagement'!$A128)</f>
        <v>1</v>
      </c>
      <c r="J128">
        <f>COUNTIFS(Visits!$AG:$AG,'New Dashboard'!$A$23,Visits!$E:$E,'User Engagement'!$A128)</f>
        <v>0</v>
      </c>
      <c r="K128">
        <f>COUNTIFS(Visits!$AG:$AG,'New Dashboard'!$A$24,Visits!$E:$E,'User Engagement'!$A128)</f>
        <v>0</v>
      </c>
      <c r="L128">
        <f>COUNTIFS(Visits!$AG:$AG,'New Dashboard'!$A$25,Visits!$E:$E,'User Engagement'!$A128)</f>
        <v>0</v>
      </c>
      <c r="M128">
        <f t="shared" si="14"/>
        <v>1</v>
      </c>
      <c r="N128">
        <f t="shared" si="15"/>
        <v>1</v>
      </c>
      <c r="O128">
        <f t="shared" si="13"/>
        <v>0</v>
      </c>
      <c r="P128">
        <f t="shared" si="10"/>
        <v>0</v>
      </c>
      <c r="Q128" s="4">
        <f>SUMIF(Visits!$E$2:$E$90,'User Engagement'!$A128,Visits!$T$2:$T$90)</f>
        <v>0</v>
      </c>
      <c r="R128" s="4">
        <f>SUMIFS(Visits!$T$2:$T$90,Visits!$E$2:$E$90,'User Engagement'!$A128,Visits!$AF$2:$AF$90,"&gt;3/28/24")</f>
        <v>0</v>
      </c>
      <c r="S128" s="13">
        <f t="shared" si="11"/>
        <v>0</v>
      </c>
      <c r="T128" s="13">
        <f t="shared" si="12"/>
        <v>0</v>
      </c>
    </row>
    <row r="129" spans="1:20" ht="15.95">
      <c r="A129" t="str">
        <f>Users!A126</f>
        <v>chavezliliana@gmail.com</v>
      </c>
      <c r="B129" s="23"/>
      <c r="C129" s="23"/>
      <c r="D129" s="1" cm="1">
        <f t="array" ref="D129">MAX(_xlfn._xlws.FILTER(Visits!AF:AF,Visits!E:E='User Engagement'!A129))</f>
        <v>45499</v>
      </c>
      <c r="E129">
        <f>COUNTIF(Visits!$E$2:$E$993,'User Engagement'!$A129)</f>
        <v>1</v>
      </c>
      <c r="F129">
        <f>COUNTIFS(Visits!$E$2:$E$993,'User Engagement'!$A130,Visits!$AF$2:$AF$993,"&gt;"&amp;($B$1-7))</f>
        <v>1</v>
      </c>
      <c r="G129">
        <f>COUNTIFS(Visits!$E$2:$E$993,'User Engagement'!$A129,Visits!$AF$2:$AF$993,"&gt;"&amp;($B$1-30))</f>
        <v>1</v>
      </c>
      <c r="H129">
        <f>COUNTIFS(Visits!$E$2:$E$993,$A129,Visits!$AF$2:$AF$993,"&gt;"&amp;($B$1-60))-G129</f>
        <v>0</v>
      </c>
      <c r="I129">
        <f>COUNTIFS(Visits!$AG:$AG,'New Dashboard'!$A$22,Visits!$E:$E,'User Engagement'!$A129)</f>
        <v>1</v>
      </c>
      <c r="J129">
        <f>COUNTIFS(Visits!$AG:$AG,'New Dashboard'!$A$23,Visits!$E:$E,'User Engagement'!$A129)</f>
        <v>0</v>
      </c>
      <c r="K129">
        <f>COUNTIFS(Visits!$AG:$AG,'New Dashboard'!$A$24,Visits!$E:$E,'User Engagement'!$A129)</f>
        <v>0</v>
      </c>
      <c r="L129">
        <f>COUNTIFS(Visits!$AG:$AG,'New Dashboard'!$A$25,Visits!$E:$E,'User Engagement'!$A129)</f>
        <v>0</v>
      </c>
      <c r="M129">
        <f t="shared" si="14"/>
        <v>1</v>
      </c>
      <c r="N129">
        <f t="shared" si="15"/>
        <v>1</v>
      </c>
      <c r="O129">
        <f t="shared" si="13"/>
        <v>0</v>
      </c>
      <c r="P129">
        <f t="shared" si="10"/>
        <v>0</v>
      </c>
      <c r="Q129" s="4">
        <f>SUMIF(Visits!$E$2:$E$90,'User Engagement'!$A129,Visits!$T$2:$T$90)</f>
        <v>0</v>
      </c>
      <c r="R129" s="4">
        <f>SUMIFS(Visits!$T$2:$T$90,Visits!$E$2:$E$90,'User Engagement'!$A129,Visits!$AF$2:$AF$90,"&gt;3/28/24")</f>
        <v>0</v>
      </c>
      <c r="S129" s="13">
        <f t="shared" si="11"/>
        <v>0</v>
      </c>
      <c r="T129" s="13">
        <f t="shared" si="12"/>
        <v>0</v>
      </c>
    </row>
    <row r="130" spans="1:20" ht="15.95">
      <c r="A130" t="str">
        <f>Users!A127</f>
        <v>visitor-jay</v>
      </c>
      <c r="B130" s="23"/>
      <c r="C130" s="23"/>
      <c r="D130" s="1" cm="1">
        <f t="array" ref="D130">MAX(_xlfn._xlws.FILTER(Visits!AF:AF,Visits!E:E='User Engagement'!A130))</f>
        <v>45501</v>
      </c>
      <c r="E130">
        <f>COUNTIF(Visits!$E$2:$E$993,'User Engagement'!$A130)</f>
        <v>1</v>
      </c>
      <c r="F130">
        <f>COUNTIFS(Visits!$E$2:$E$993,'User Engagement'!$A131,Visits!$AF$2:$AF$993,"&gt;"&amp;($B$1-7))</f>
        <v>1</v>
      </c>
      <c r="G130">
        <f>COUNTIFS(Visits!$E$2:$E$993,'User Engagement'!$A130,Visits!$AF$2:$AF$993,"&gt;"&amp;($B$1-30))</f>
        <v>1</v>
      </c>
      <c r="H130">
        <f>COUNTIFS(Visits!$E$2:$E$993,$A130,Visits!$AF$2:$AF$993,"&gt;"&amp;($B$1-60))-G130</f>
        <v>0</v>
      </c>
      <c r="I130">
        <f>COUNTIFS(Visits!$AG:$AG,'New Dashboard'!$A$22,Visits!$E:$E,'User Engagement'!$A130)</f>
        <v>1</v>
      </c>
      <c r="J130">
        <f>COUNTIFS(Visits!$AG:$AG,'New Dashboard'!$A$23,Visits!$E:$E,'User Engagement'!$A130)</f>
        <v>0</v>
      </c>
      <c r="K130">
        <f>COUNTIFS(Visits!$AG:$AG,'New Dashboard'!$A$24,Visits!$E:$E,'User Engagement'!$A130)</f>
        <v>0</v>
      </c>
      <c r="L130">
        <f>COUNTIFS(Visits!$AG:$AG,'New Dashboard'!$A$25,Visits!$E:$E,'User Engagement'!$A130)</f>
        <v>0</v>
      </c>
      <c r="M130">
        <f t="shared" si="14"/>
        <v>1</v>
      </c>
      <c r="N130">
        <f t="shared" si="15"/>
        <v>1</v>
      </c>
      <c r="O130">
        <f t="shared" si="13"/>
        <v>0</v>
      </c>
      <c r="P130">
        <f t="shared" si="10"/>
        <v>0</v>
      </c>
      <c r="Q130" s="4">
        <f>SUMIF(Visits!$E$2:$E$90,'User Engagement'!$A130,Visits!$T$2:$T$90)</f>
        <v>0</v>
      </c>
      <c r="R130" s="4">
        <f>SUMIFS(Visits!$T$2:$T$90,Visits!$E$2:$E$90,'User Engagement'!$A130,Visits!$AF$2:$AF$90,"&gt;3/28/24")</f>
        <v>0</v>
      </c>
      <c r="S130" s="13">
        <f t="shared" si="11"/>
        <v>0</v>
      </c>
      <c r="T130" s="13">
        <f t="shared" si="12"/>
        <v>0</v>
      </c>
    </row>
    <row r="131" spans="1:20" ht="15.95">
      <c r="A131" t="str">
        <f>Users!A128</f>
        <v>visitor-jay-sister</v>
      </c>
      <c r="B131" s="23"/>
      <c r="C131" s="23"/>
      <c r="D131" s="1" cm="1">
        <f t="array" ref="D131">MAX(_xlfn._xlws.FILTER(Visits!AF:AF,Visits!E:E='User Engagement'!A131))</f>
        <v>45501</v>
      </c>
      <c r="E131">
        <f>COUNTIF(Visits!$E$2:$E$993,'User Engagement'!$A131)</f>
        <v>1</v>
      </c>
      <c r="F131">
        <f>COUNTIFS(Visits!$E$2:$E$993,'User Engagement'!$A132,Visits!$AF$2:$AF$993,"&gt;"&amp;($B$1-7))</f>
        <v>1</v>
      </c>
      <c r="G131">
        <f>COUNTIFS(Visits!$E$2:$E$993,'User Engagement'!$A131,Visits!$AF$2:$AF$993,"&gt;"&amp;($B$1-30))</f>
        <v>1</v>
      </c>
      <c r="H131">
        <f>COUNTIFS(Visits!$E$2:$E$993,$A131,Visits!$AF$2:$AF$993,"&gt;"&amp;($B$1-60))-G131</f>
        <v>0</v>
      </c>
      <c r="I131">
        <f>COUNTIFS(Visits!$AG:$AG,'New Dashboard'!$A$22,Visits!$E:$E,'User Engagement'!$A131)</f>
        <v>1</v>
      </c>
      <c r="J131">
        <f>COUNTIFS(Visits!$AG:$AG,'New Dashboard'!$A$23,Visits!$E:$E,'User Engagement'!$A131)</f>
        <v>0</v>
      </c>
      <c r="K131">
        <f>COUNTIFS(Visits!$AG:$AG,'New Dashboard'!$A$24,Visits!$E:$E,'User Engagement'!$A131)</f>
        <v>0</v>
      </c>
      <c r="L131">
        <f>COUNTIFS(Visits!$AG:$AG,'New Dashboard'!$A$25,Visits!$E:$E,'User Engagement'!$A131)</f>
        <v>0</v>
      </c>
      <c r="M131">
        <f t="shared" si="14"/>
        <v>1</v>
      </c>
      <c r="N131">
        <f t="shared" si="15"/>
        <v>1</v>
      </c>
      <c r="O131">
        <f t="shared" si="13"/>
        <v>0</v>
      </c>
      <c r="P131">
        <f t="shared" si="10"/>
        <v>0</v>
      </c>
      <c r="Q131" s="4">
        <f>SUMIF(Visits!$E$2:$E$90,'User Engagement'!$A131,Visits!$T$2:$T$90)</f>
        <v>0</v>
      </c>
      <c r="R131" s="4">
        <f>SUMIFS(Visits!$T$2:$T$90,Visits!$E$2:$E$90,'User Engagement'!$A131,Visits!$AF$2:$AF$90,"&gt;3/28/24")</f>
        <v>0</v>
      </c>
      <c r="S131" s="13">
        <f t="shared" si="11"/>
        <v>0</v>
      </c>
      <c r="T131" s="13">
        <f t="shared" si="12"/>
        <v>0</v>
      </c>
    </row>
    <row r="132" spans="1:20" ht="15.95">
      <c r="A132" t="str">
        <f>Users!A129</f>
        <v>alisa-no-email</v>
      </c>
      <c r="B132" s="23"/>
      <c r="C132" s="23"/>
      <c r="D132" s="1" cm="1">
        <f t="array" ref="D132">MAX(_xlfn._xlws.FILTER(Visits!AF:AF,Visits!E:E='User Engagement'!A132))</f>
        <v>45506</v>
      </c>
      <c r="E132">
        <f>COUNTIF(Visits!$E$2:$E$993,'User Engagement'!$A132)</f>
        <v>1</v>
      </c>
      <c r="F132">
        <f>COUNTIFS(Visits!$E$2:$E$993,'User Engagement'!$A133,Visits!$AF$2:$AF$993,"&gt;"&amp;($B$1-7))</f>
        <v>0</v>
      </c>
      <c r="G132">
        <f>COUNTIFS(Visits!$E$2:$E$993,'User Engagement'!$A132,Visits!$AF$2:$AF$993,"&gt;"&amp;($B$1-30))</f>
        <v>1</v>
      </c>
      <c r="H132">
        <f>COUNTIFS(Visits!$E$2:$E$993,$A132,Visits!$AF$2:$AF$993,"&gt;"&amp;($B$1-60))-G132</f>
        <v>0</v>
      </c>
      <c r="I132">
        <f>COUNTIFS(Visits!$AG:$AG,'New Dashboard'!$A$22,Visits!$E:$E,'User Engagement'!$A132)</f>
        <v>0</v>
      </c>
      <c r="J132">
        <f>COUNTIFS(Visits!$AG:$AG,'New Dashboard'!$A$23,Visits!$E:$E,'User Engagement'!$A132)</f>
        <v>0</v>
      </c>
      <c r="K132">
        <f>COUNTIFS(Visits!$AG:$AG,'New Dashboard'!$A$24,Visits!$E:$E,'User Engagement'!$A132)</f>
        <v>0</v>
      </c>
      <c r="L132">
        <f>COUNTIFS(Visits!$AG:$AG,'New Dashboard'!$A$25,Visits!$E:$E,'User Engagement'!$A132)</f>
        <v>0</v>
      </c>
      <c r="M132">
        <f t="shared" si="14"/>
        <v>0</v>
      </c>
      <c r="N132">
        <f t="shared" si="15"/>
        <v>1</v>
      </c>
      <c r="O132">
        <f t="shared" si="13"/>
        <v>0</v>
      </c>
      <c r="P132">
        <f t="shared" ref="P132:P195" si="16">IF(G132&gt;2,N132,0)</f>
        <v>0</v>
      </c>
      <c r="Q132" s="4">
        <f>SUMIF(Visits!$E$2:$E$90,'User Engagement'!$A132,Visits!$T$2:$T$90)</f>
        <v>0</v>
      </c>
      <c r="R132" s="4">
        <f>SUMIFS(Visits!$T$2:$T$90,Visits!$E$2:$E$90,'User Engagement'!$A132,Visits!$AF$2:$AF$90,"&gt;3/28/24")</f>
        <v>0</v>
      </c>
      <c r="S132" s="13">
        <f t="shared" ref="S132:S195" si="17">Q132/E132</f>
        <v>0</v>
      </c>
      <c r="T132" s="13">
        <f t="shared" ref="T132:T195" si="18">IFERROR(R132/G132,"n/a")</f>
        <v>0</v>
      </c>
    </row>
    <row r="133" spans="1:20" ht="15.95">
      <c r="A133">
        <f>Users!A130</f>
        <v>0</v>
      </c>
      <c r="B133" s="23"/>
      <c r="C133" s="23"/>
      <c r="D133" s="1" cm="1">
        <f t="array" ref="D133">MAX(_xlfn._xlws.FILTER(Visits!AF:AF,Visits!E:E='User Engagement'!A133))</f>
        <v>45434</v>
      </c>
      <c r="E133">
        <f>COUNTIF(Visits!$E$2:$E$993,'User Engagement'!$A133)</f>
        <v>0</v>
      </c>
      <c r="F133">
        <f>COUNTIFS(Visits!$E$2:$E$993,'User Engagement'!$A134,Visits!$AF$2:$AF$993,"&gt;"&amp;($B$1-7))</f>
        <v>0</v>
      </c>
      <c r="G133">
        <f>COUNTIFS(Visits!$E$2:$E$993,'User Engagement'!$A133,Visits!$AF$2:$AF$993,"&gt;"&amp;($B$1-30))</f>
        <v>0</v>
      </c>
      <c r="H133">
        <f>COUNTIFS(Visits!$E$2:$E$993,$A133,Visits!$AF$2:$AF$993,"&gt;"&amp;($B$1-60))-G133</f>
        <v>0</v>
      </c>
      <c r="I133">
        <f>COUNTIFS(Visits!$AG:$AG,'New Dashboard'!$A$22,Visits!$E:$E,'User Engagement'!$A133)</f>
        <v>0</v>
      </c>
      <c r="J133">
        <f>COUNTIFS(Visits!$AG:$AG,'New Dashboard'!$A$23,Visits!$E:$E,'User Engagement'!$A133)</f>
        <v>0</v>
      </c>
      <c r="K133">
        <f>COUNTIFS(Visits!$AG:$AG,'New Dashboard'!$A$24,Visits!$E:$E,'User Engagement'!$A133)</f>
        <v>0</v>
      </c>
      <c r="L133">
        <f>COUNTIFS(Visits!$AG:$AG,'New Dashboard'!$A$25,Visits!$E:$E,'User Engagement'!$A133)</f>
        <v>0</v>
      </c>
      <c r="M133">
        <f t="shared" si="14"/>
        <v>1</v>
      </c>
      <c r="N133">
        <f t="shared" si="15"/>
        <v>0</v>
      </c>
      <c r="O133">
        <f t="shared" si="13"/>
        <v>0</v>
      </c>
      <c r="P133">
        <f t="shared" si="16"/>
        <v>0</v>
      </c>
      <c r="Q133" s="4">
        <f>SUMIF(Visits!$E$2:$E$90,'User Engagement'!$A133,Visits!$T$2:$T$90)</f>
        <v>0</v>
      </c>
      <c r="R133" s="4">
        <f>SUMIFS(Visits!$T$2:$T$90,Visits!$E$2:$E$90,'User Engagement'!$A133,Visits!$AF$2:$AF$90,"&gt;3/28/24")</f>
        <v>0</v>
      </c>
      <c r="S133" s="13" t="e">
        <f t="shared" si="17"/>
        <v>#DIV/0!</v>
      </c>
      <c r="T133" s="13" t="str">
        <f t="shared" si="18"/>
        <v>n/a</v>
      </c>
    </row>
    <row r="134" spans="1:20" ht="15.95">
      <c r="A134">
        <f>Users!A131</f>
        <v>0</v>
      </c>
      <c r="B134" s="23"/>
      <c r="C134" s="23"/>
      <c r="D134" s="1" cm="1">
        <f t="array" ref="D134">MAX(_xlfn._xlws.FILTER(Visits!AF:AF,Visits!E:E='User Engagement'!A134))</f>
        <v>45434</v>
      </c>
      <c r="E134">
        <f>COUNTIF(Visits!$E$2:$E$993,'User Engagement'!$A134)</f>
        <v>0</v>
      </c>
      <c r="F134">
        <f>COUNTIFS(Visits!$E$2:$E$993,'User Engagement'!$A135,Visits!$AF$2:$AF$993,"&gt;"&amp;($B$1-7))</f>
        <v>0</v>
      </c>
      <c r="G134">
        <f>COUNTIFS(Visits!$E$2:$E$993,'User Engagement'!$A134,Visits!$AF$2:$AF$993,"&gt;"&amp;($B$1-30))</f>
        <v>0</v>
      </c>
      <c r="H134">
        <f>COUNTIFS(Visits!$E$2:$E$993,$A134,Visits!$AF$2:$AF$993,"&gt;"&amp;($B$1-60))-G134</f>
        <v>0</v>
      </c>
      <c r="I134">
        <f>COUNTIFS(Visits!$AG:$AG,'New Dashboard'!$A$22,Visits!$E:$E,'User Engagement'!$A134)</f>
        <v>0</v>
      </c>
      <c r="J134">
        <f>COUNTIFS(Visits!$AG:$AG,'New Dashboard'!$A$23,Visits!$E:$E,'User Engagement'!$A134)</f>
        <v>0</v>
      </c>
      <c r="K134">
        <f>COUNTIFS(Visits!$AG:$AG,'New Dashboard'!$A$24,Visits!$E:$E,'User Engagement'!$A134)</f>
        <v>0</v>
      </c>
      <c r="L134">
        <f>COUNTIFS(Visits!$AG:$AG,'New Dashboard'!$A$25,Visits!$E:$E,'User Engagement'!$A134)</f>
        <v>0</v>
      </c>
      <c r="M134">
        <f t="shared" si="14"/>
        <v>1</v>
      </c>
      <c r="N134">
        <f t="shared" si="15"/>
        <v>0</v>
      </c>
      <c r="O134">
        <f t="shared" si="15"/>
        <v>0</v>
      </c>
      <c r="P134">
        <f t="shared" si="16"/>
        <v>0</v>
      </c>
      <c r="Q134" s="4">
        <f>SUMIF(Visits!$E$2:$E$90,'User Engagement'!$A134,Visits!$T$2:$T$90)</f>
        <v>0</v>
      </c>
      <c r="R134" s="4">
        <f>SUMIFS(Visits!$T$2:$T$90,Visits!$E$2:$E$90,'User Engagement'!$A134,Visits!$AF$2:$AF$90,"&gt;3/28/24")</f>
        <v>0</v>
      </c>
      <c r="S134" s="13" t="e">
        <f t="shared" si="17"/>
        <v>#DIV/0!</v>
      </c>
      <c r="T134" s="13" t="str">
        <f t="shared" si="18"/>
        <v>n/a</v>
      </c>
    </row>
    <row r="135" spans="1:20" ht="15.95">
      <c r="A135">
        <f>Users!A132</f>
        <v>0</v>
      </c>
      <c r="B135" s="23"/>
      <c r="C135" s="23"/>
      <c r="D135" s="1" cm="1">
        <f t="array" ref="D135">MAX(_xlfn._xlws.FILTER(Visits!AF:AF,Visits!E:E='User Engagement'!A135))</f>
        <v>45434</v>
      </c>
      <c r="E135">
        <f>COUNTIF(Visits!$E$2:$E$993,'User Engagement'!$A135)</f>
        <v>0</v>
      </c>
      <c r="F135">
        <f>COUNTIFS(Visits!$E$2:$E$993,'User Engagement'!$A136,Visits!$AF$2:$AF$993,"&gt;"&amp;($B$1-7))</f>
        <v>0</v>
      </c>
      <c r="G135">
        <f>COUNTIFS(Visits!$E$2:$E$993,'User Engagement'!$A135,Visits!$AF$2:$AF$993,"&gt;"&amp;($B$1-30))</f>
        <v>0</v>
      </c>
      <c r="H135">
        <f>COUNTIFS(Visits!$E$2:$E$993,$A135,Visits!$AF$2:$AF$993,"&gt;"&amp;($B$1-60))-G135</f>
        <v>0</v>
      </c>
      <c r="I135">
        <f>COUNTIFS(Visits!$AG:$AG,'New Dashboard'!$A$22,Visits!$E:$E,'User Engagement'!$A135)</f>
        <v>0</v>
      </c>
      <c r="J135">
        <f>COUNTIFS(Visits!$AG:$AG,'New Dashboard'!$A$23,Visits!$E:$E,'User Engagement'!$A135)</f>
        <v>0</v>
      </c>
      <c r="K135">
        <f>COUNTIFS(Visits!$AG:$AG,'New Dashboard'!$A$24,Visits!$E:$E,'User Engagement'!$A135)</f>
        <v>0</v>
      </c>
      <c r="L135">
        <f>COUNTIFS(Visits!$AG:$AG,'New Dashboard'!$A$25,Visits!$E:$E,'User Engagement'!$A135)</f>
        <v>0</v>
      </c>
      <c r="M135">
        <f t="shared" si="14"/>
        <v>1</v>
      </c>
      <c r="N135">
        <f t="shared" si="15"/>
        <v>0</v>
      </c>
      <c r="O135">
        <f t="shared" si="15"/>
        <v>0</v>
      </c>
      <c r="P135">
        <f t="shared" si="16"/>
        <v>0</v>
      </c>
      <c r="Q135" s="4">
        <f>SUMIF(Visits!$E$2:$E$90,'User Engagement'!$A135,Visits!$T$2:$T$90)</f>
        <v>0</v>
      </c>
      <c r="R135" s="4">
        <f>SUMIFS(Visits!$T$2:$T$90,Visits!$E$2:$E$90,'User Engagement'!$A135,Visits!$AF$2:$AF$90,"&gt;3/28/24")</f>
        <v>0</v>
      </c>
      <c r="S135" s="13" t="e">
        <f t="shared" si="17"/>
        <v>#DIV/0!</v>
      </c>
      <c r="T135" s="13" t="str">
        <f t="shared" si="18"/>
        <v>n/a</v>
      </c>
    </row>
    <row r="136" spans="1:20" ht="15.95">
      <c r="A136">
        <f>Users!A133</f>
        <v>0</v>
      </c>
      <c r="B136" s="23"/>
      <c r="C136" s="23"/>
      <c r="D136" s="1" cm="1">
        <f t="array" ref="D136">MAX(_xlfn._xlws.FILTER(Visits!AF:AF,Visits!E:E='User Engagement'!A136))</f>
        <v>45434</v>
      </c>
      <c r="E136">
        <f>COUNTIF(Visits!$E$2:$E$993,'User Engagement'!$A136)</f>
        <v>0</v>
      </c>
      <c r="F136">
        <f>COUNTIFS(Visits!$E$2:$E$993,'User Engagement'!$A137,Visits!$AF$2:$AF$993,"&gt;"&amp;($B$1-7))</f>
        <v>0</v>
      </c>
      <c r="G136">
        <f>COUNTIFS(Visits!$E$2:$E$993,'User Engagement'!$A136,Visits!$AF$2:$AF$993,"&gt;"&amp;($B$1-30))</f>
        <v>0</v>
      </c>
      <c r="H136">
        <f>COUNTIFS(Visits!$E$2:$E$993,$A136,Visits!$AF$2:$AF$993,"&gt;"&amp;($B$1-60))-G136</f>
        <v>0</v>
      </c>
      <c r="I136">
        <f>COUNTIFS(Visits!$AG:$AG,'New Dashboard'!$A$22,Visits!$E:$E,'User Engagement'!$A136)</f>
        <v>0</v>
      </c>
      <c r="J136">
        <f>COUNTIFS(Visits!$AG:$AG,'New Dashboard'!$A$23,Visits!$E:$E,'User Engagement'!$A136)</f>
        <v>0</v>
      </c>
      <c r="K136">
        <f>COUNTIFS(Visits!$AG:$AG,'New Dashboard'!$A$24,Visits!$E:$E,'User Engagement'!$A136)</f>
        <v>0</v>
      </c>
      <c r="L136">
        <f>COUNTIFS(Visits!$AG:$AG,'New Dashboard'!$A$25,Visits!$E:$E,'User Engagement'!$A136)</f>
        <v>0</v>
      </c>
      <c r="M136">
        <f t="shared" si="14"/>
        <v>1</v>
      </c>
      <c r="N136">
        <f t="shared" si="15"/>
        <v>0</v>
      </c>
      <c r="O136">
        <f t="shared" si="15"/>
        <v>0</v>
      </c>
      <c r="P136">
        <f t="shared" si="16"/>
        <v>0</v>
      </c>
      <c r="Q136" s="4">
        <f>SUMIF(Visits!$E$2:$E$90,'User Engagement'!$A136,Visits!$T$2:$T$90)</f>
        <v>0</v>
      </c>
      <c r="R136" s="4">
        <f>SUMIFS(Visits!$T$2:$T$90,Visits!$E$2:$E$90,'User Engagement'!$A136,Visits!$AF$2:$AF$90,"&gt;3/28/24")</f>
        <v>0</v>
      </c>
      <c r="S136" s="13" t="e">
        <f t="shared" si="17"/>
        <v>#DIV/0!</v>
      </c>
      <c r="T136" s="13" t="str">
        <f t="shared" si="18"/>
        <v>n/a</v>
      </c>
    </row>
    <row r="137" spans="1:20" ht="15.95">
      <c r="A137">
        <f>Users!A134</f>
        <v>0</v>
      </c>
      <c r="B137" s="23"/>
      <c r="C137" s="23"/>
      <c r="D137" s="1" cm="1">
        <f t="array" ref="D137">MAX(_xlfn._xlws.FILTER(Visits!AF:AF,Visits!E:E='User Engagement'!A137))</f>
        <v>45434</v>
      </c>
      <c r="E137">
        <f>COUNTIF(Visits!$E$2:$E$993,'User Engagement'!$A137)</f>
        <v>0</v>
      </c>
      <c r="F137">
        <f>COUNTIFS(Visits!$E$2:$E$993,'User Engagement'!$A138,Visits!$AF$2:$AF$993,"&gt;"&amp;($B$1-7))</f>
        <v>0</v>
      </c>
      <c r="G137">
        <f>COUNTIFS(Visits!$E$2:$E$993,'User Engagement'!$A137,Visits!$AF$2:$AF$993,"&gt;"&amp;($B$1-30))</f>
        <v>0</v>
      </c>
      <c r="H137">
        <f>COUNTIFS(Visits!$E$2:$E$993,$A137,Visits!$AF$2:$AF$993,"&gt;"&amp;($B$1-60))-G137</f>
        <v>0</v>
      </c>
      <c r="I137">
        <f>COUNTIFS(Visits!$AG:$AG,'New Dashboard'!$A$22,Visits!$E:$E,'User Engagement'!$A137)</f>
        <v>0</v>
      </c>
      <c r="J137">
        <f>COUNTIFS(Visits!$AG:$AG,'New Dashboard'!$A$23,Visits!$E:$E,'User Engagement'!$A137)</f>
        <v>0</v>
      </c>
      <c r="K137">
        <f>COUNTIFS(Visits!$AG:$AG,'New Dashboard'!$A$24,Visits!$E:$E,'User Engagement'!$A137)</f>
        <v>0</v>
      </c>
      <c r="L137">
        <f>COUNTIFS(Visits!$AG:$AG,'New Dashboard'!$A$25,Visits!$E:$E,'User Engagement'!$A137)</f>
        <v>0</v>
      </c>
      <c r="M137">
        <f t="shared" si="14"/>
        <v>1</v>
      </c>
      <c r="N137">
        <f t="shared" si="15"/>
        <v>0</v>
      </c>
      <c r="O137">
        <f t="shared" si="15"/>
        <v>0</v>
      </c>
      <c r="P137">
        <f t="shared" si="16"/>
        <v>0</v>
      </c>
      <c r="Q137" s="4">
        <f>SUMIF(Visits!$E$2:$E$90,'User Engagement'!$A137,Visits!$T$2:$T$90)</f>
        <v>0</v>
      </c>
      <c r="R137" s="4">
        <f>SUMIFS(Visits!$T$2:$T$90,Visits!$E$2:$E$90,'User Engagement'!$A137,Visits!$AF$2:$AF$90,"&gt;3/28/24")</f>
        <v>0</v>
      </c>
      <c r="S137" s="13" t="e">
        <f t="shared" si="17"/>
        <v>#DIV/0!</v>
      </c>
      <c r="T137" s="13" t="str">
        <f t="shared" si="18"/>
        <v>n/a</v>
      </c>
    </row>
    <row r="138" spans="1:20" ht="15.95">
      <c r="A138">
        <f>Users!A135</f>
        <v>0</v>
      </c>
      <c r="B138" s="23"/>
      <c r="C138" s="23"/>
      <c r="D138" s="1" cm="1">
        <f t="array" ref="D138">MAX(_xlfn._xlws.FILTER(Visits!AF:AF,Visits!E:E='User Engagement'!A138))</f>
        <v>45434</v>
      </c>
      <c r="E138">
        <f>COUNTIF(Visits!$E$2:$E$993,'User Engagement'!$A138)</f>
        <v>0</v>
      </c>
      <c r="F138">
        <f>COUNTIFS(Visits!$E$2:$E$993,'User Engagement'!$A139,Visits!$AF$2:$AF$993,"&gt;"&amp;($B$1-7))</f>
        <v>0</v>
      </c>
      <c r="G138">
        <f>COUNTIFS(Visits!$E$2:$E$993,'User Engagement'!$A138,Visits!$AF$2:$AF$993,"&gt;"&amp;($B$1-30))</f>
        <v>0</v>
      </c>
      <c r="H138">
        <f>COUNTIFS(Visits!$E$2:$E$993,$A138,Visits!$AF$2:$AF$993,"&gt;"&amp;($B$1-60))-G138</f>
        <v>0</v>
      </c>
      <c r="I138">
        <f>COUNTIFS(Visits!$AG:$AG,'New Dashboard'!$A$22,Visits!$E:$E,'User Engagement'!$A138)</f>
        <v>0</v>
      </c>
      <c r="J138">
        <f>COUNTIFS(Visits!$AG:$AG,'New Dashboard'!$A$23,Visits!$E:$E,'User Engagement'!$A138)</f>
        <v>0</v>
      </c>
      <c r="K138">
        <f>COUNTIFS(Visits!$AG:$AG,'New Dashboard'!$A$24,Visits!$E:$E,'User Engagement'!$A138)</f>
        <v>0</v>
      </c>
      <c r="L138">
        <f>COUNTIFS(Visits!$AG:$AG,'New Dashboard'!$A$25,Visits!$E:$E,'User Engagement'!$A138)</f>
        <v>0</v>
      </c>
      <c r="M138">
        <f t="shared" ref="M138:M201" si="19">IF(E138-F138=0,1,0)</f>
        <v>1</v>
      </c>
      <c r="N138">
        <f t="shared" ref="N138:O201" si="20">IF(G138&gt;0,1,0)</f>
        <v>0</v>
      </c>
      <c r="O138">
        <f t="shared" si="20"/>
        <v>0</v>
      </c>
      <c r="P138">
        <f t="shared" si="16"/>
        <v>0</v>
      </c>
      <c r="Q138" s="4">
        <f>SUMIF(Visits!$E$2:$E$90,'User Engagement'!$A138,Visits!$T$2:$T$90)</f>
        <v>0</v>
      </c>
      <c r="R138" s="4">
        <f>SUMIFS(Visits!$T$2:$T$90,Visits!$E$2:$E$90,'User Engagement'!$A138,Visits!$AF$2:$AF$90,"&gt;3/28/24")</f>
        <v>0</v>
      </c>
      <c r="S138" s="13" t="e">
        <f t="shared" si="17"/>
        <v>#DIV/0!</v>
      </c>
      <c r="T138" s="13" t="str">
        <f t="shared" si="18"/>
        <v>n/a</v>
      </c>
    </row>
    <row r="139" spans="1:20" ht="15.95">
      <c r="A139">
        <f>Users!A136</f>
        <v>0</v>
      </c>
      <c r="B139" s="23"/>
      <c r="C139" s="23"/>
      <c r="D139" s="1" cm="1">
        <f t="array" ref="D139">MAX(_xlfn._xlws.FILTER(Visits!AF:AF,Visits!E:E='User Engagement'!A139))</f>
        <v>45434</v>
      </c>
      <c r="E139">
        <f>COUNTIF(Visits!$E$2:$E$993,'User Engagement'!$A139)</f>
        <v>0</v>
      </c>
      <c r="F139">
        <f>COUNTIFS(Visits!$E$2:$E$993,'User Engagement'!$A140,Visits!$AF$2:$AF$993,"&gt;"&amp;($B$1-7))</f>
        <v>0</v>
      </c>
      <c r="G139">
        <f>COUNTIFS(Visits!$E$2:$E$993,'User Engagement'!$A139,Visits!$AF$2:$AF$993,"&gt;"&amp;($B$1-30))</f>
        <v>0</v>
      </c>
      <c r="H139">
        <f>COUNTIFS(Visits!$E$2:$E$993,$A139,Visits!$AF$2:$AF$993,"&gt;"&amp;($B$1-60))-G139</f>
        <v>0</v>
      </c>
      <c r="I139">
        <f>COUNTIFS(Visits!$AG:$AG,'New Dashboard'!$A$22,Visits!$E:$E,'User Engagement'!$A139)</f>
        <v>0</v>
      </c>
      <c r="J139">
        <f>COUNTIFS(Visits!$AG:$AG,'New Dashboard'!$A$23,Visits!$E:$E,'User Engagement'!$A139)</f>
        <v>0</v>
      </c>
      <c r="K139">
        <f>COUNTIFS(Visits!$AG:$AG,'New Dashboard'!$A$24,Visits!$E:$E,'User Engagement'!$A139)</f>
        <v>0</v>
      </c>
      <c r="L139">
        <f>COUNTIFS(Visits!$AG:$AG,'New Dashboard'!$A$25,Visits!$E:$E,'User Engagement'!$A139)</f>
        <v>0</v>
      </c>
      <c r="M139">
        <f t="shared" si="19"/>
        <v>1</v>
      </c>
      <c r="N139">
        <f t="shared" si="20"/>
        <v>0</v>
      </c>
      <c r="O139">
        <f t="shared" si="20"/>
        <v>0</v>
      </c>
      <c r="P139">
        <f t="shared" si="16"/>
        <v>0</v>
      </c>
      <c r="Q139" s="4">
        <f>SUMIF(Visits!$E$2:$E$90,'User Engagement'!$A139,Visits!$T$2:$T$90)</f>
        <v>0</v>
      </c>
      <c r="R139" s="4">
        <f>SUMIFS(Visits!$T$2:$T$90,Visits!$E$2:$E$90,'User Engagement'!$A139,Visits!$AF$2:$AF$90,"&gt;3/28/24")</f>
        <v>0</v>
      </c>
      <c r="S139" s="13" t="e">
        <f t="shared" si="17"/>
        <v>#DIV/0!</v>
      </c>
      <c r="T139" s="13" t="str">
        <f t="shared" si="18"/>
        <v>n/a</v>
      </c>
    </row>
    <row r="140" spans="1:20" ht="15.95">
      <c r="A140">
        <f>Users!A137</f>
        <v>0</v>
      </c>
      <c r="B140" s="23"/>
      <c r="C140" s="23"/>
      <c r="D140" s="1" cm="1">
        <f t="array" ref="D140">MAX(_xlfn._xlws.FILTER(Visits!AF:AF,Visits!E:E='User Engagement'!A140))</f>
        <v>45434</v>
      </c>
      <c r="E140">
        <f>COUNTIF(Visits!$E$2:$E$993,'User Engagement'!$A140)</f>
        <v>0</v>
      </c>
      <c r="F140">
        <f>COUNTIFS(Visits!$E$2:$E$993,'User Engagement'!$A141,Visits!$AF$2:$AF$993,"&gt;"&amp;($B$1-7))</f>
        <v>0</v>
      </c>
      <c r="G140">
        <f>COUNTIFS(Visits!$E$2:$E$993,'User Engagement'!$A140,Visits!$AF$2:$AF$993,"&gt;"&amp;($B$1-30))</f>
        <v>0</v>
      </c>
      <c r="H140">
        <f>COUNTIFS(Visits!$E$2:$E$993,$A140,Visits!$AF$2:$AF$993,"&gt;"&amp;($B$1-60))-G140</f>
        <v>0</v>
      </c>
      <c r="I140">
        <f>COUNTIFS(Visits!$AG:$AG,'New Dashboard'!$A$22,Visits!$E:$E,'User Engagement'!$A140)</f>
        <v>0</v>
      </c>
      <c r="J140">
        <f>COUNTIFS(Visits!$AG:$AG,'New Dashboard'!$A$23,Visits!$E:$E,'User Engagement'!$A140)</f>
        <v>0</v>
      </c>
      <c r="K140">
        <f>COUNTIFS(Visits!$AG:$AG,'New Dashboard'!$A$24,Visits!$E:$E,'User Engagement'!$A140)</f>
        <v>0</v>
      </c>
      <c r="L140">
        <f>COUNTIFS(Visits!$AG:$AG,'New Dashboard'!$A$25,Visits!$E:$E,'User Engagement'!$A140)</f>
        <v>0</v>
      </c>
      <c r="M140">
        <f t="shared" si="19"/>
        <v>1</v>
      </c>
      <c r="N140">
        <f t="shared" si="20"/>
        <v>0</v>
      </c>
      <c r="O140">
        <f t="shared" si="20"/>
        <v>0</v>
      </c>
      <c r="P140">
        <f t="shared" si="16"/>
        <v>0</v>
      </c>
      <c r="Q140" s="4">
        <f>SUMIF(Visits!$E$2:$E$90,'User Engagement'!$A140,Visits!$T$2:$T$90)</f>
        <v>0</v>
      </c>
      <c r="R140" s="4">
        <f>SUMIFS(Visits!$T$2:$T$90,Visits!$E$2:$E$90,'User Engagement'!$A140,Visits!$AF$2:$AF$90,"&gt;3/28/24")</f>
        <v>0</v>
      </c>
      <c r="S140" s="13" t="e">
        <f t="shared" si="17"/>
        <v>#DIV/0!</v>
      </c>
      <c r="T140" s="13" t="str">
        <f t="shared" si="18"/>
        <v>n/a</v>
      </c>
    </row>
    <row r="141" spans="1:20" ht="15.95">
      <c r="A141">
        <f>Users!A138</f>
        <v>0</v>
      </c>
      <c r="B141" s="23"/>
      <c r="C141" s="23"/>
      <c r="D141" s="1" cm="1">
        <f t="array" ref="D141">MAX(_xlfn._xlws.FILTER(Visits!AF:AF,Visits!E:E='User Engagement'!A141))</f>
        <v>45434</v>
      </c>
      <c r="E141">
        <f>COUNTIF(Visits!$E$2:$E$993,'User Engagement'!$A141)</f>
        <v>0</v>
      </c>
      <c r="F141">
        <f>COUNTIFS(Visits!$E$2:$E$993,'User Engagement'!$A142,Visits!$AF$2:$AF$993,"&gt;"&amp;($B$1-7))</f>
        <v>0</v>
      </c>
      <c r="G141">
        <f>COUNTIFS(Visits!$E$2:$E$993,'User Engagement'!$A141,Visits!$AF$2:$AF$993,"&gt;"&amp;($B$1-30))</f>
        <v>0</v>
      </c>
      <c r="H141">
        <f>COUNTIFS(Visits!$E$2:$E$993,$A141,Visits!$AF$2:$AF$993,"&gt;"&amp;($B$1-60))-G141</f>
        <v>0</v>
      </c>
      <c r="I141">
        <f>COUNTIFS(Visits!$AG:$AG,'New Dashboard'!$A$22,Visits!$E:$E,'User Engagement'!$A141)</f>
        <v>0</v>
      </c>
      <c r="J141">
        <f>COUNTIFS(Visits!$AG:$AG,'New Dashboard'!$A$23,Visits!$E:$E,'User Engagement'!$A141)</f>
        <v>0</v>
      </c>
      <c r="K141">
        <f>COUNTIFS(Visits!$AG:$AG,'New Dashboard'!$A$24,Visits!$E:$E,'User Engagement'!$A141)</f>
        <v>0</v>
      </c>
      <c r="L141">
        <f>COUNTIFS(Visits!$AG:$AG,'New Dashboard'!$A$25,Visits!$E:$E,'User Engagement'!$A141)</f>
        <v>0</v>
      </c>
      <c r="M141">
        <f t="shared" si="19"/>
        <v>1</v>
      </c>
      <c r="N141">
        <f t="shared" si="20"/>
        <v>0</v>
      </c>
      <c r="O141">
        <f t="shared" si="20"/>
        <v>0</v>
      </c>
      <c r="P141">
        <f t="shared" si="16"/>
        <v>0</v>
      </c>
      <c r="Q141" s="4">
        <f>SUMIF(Visits!$E$2:$E$90,'User Engagement'!$A141,Visits!$T$2:$T$90)</f>
        <v>0</v>
      </c>
      <c r="R141" s="4">
        <f>SUMIFS(Visits!$T$2:$T$90,Visits!$E$2:$E$90,'User Engagement'!$A141,Visits!$AF$2:$AF$90,"&gt;3/28/24")</f>
        <v>0</v>
      </c>
      <c r="S141" s="13" t="e">
        <f t="shared" si="17"/>
        <v>#DIV/0!</v>
      </c>
      <c r="T141" s="13" t="str">
        <f t="shared" si="18"/>
        <v>n/a</v>
      </c>
    </row>
    <row r="142" spans="1:20" ht="15.95">
      <c r="A142">
        <f>Users!A139</f>
        <v>0</v>
      </c>
      <c r="B142" s="23"/>
      <c r="C142" s="23"/>
      <c r="D142" s="1" cm="1">
        <f t="array" ref="D142">MAX(_xlfn._xlws.FILTER(Visits!AF:AF,Visits!E:E='User Engagement'!A142))</f>
        <v>45434</v>
      </c>
      <c r="E142">
        <f>COUNTIF(Visits!$E$2:$E$993,'User Engagement'!$A142)</f>
        <v>0</v>
      </c>
      <c r="F142">
        <f>COUNTIFS(Visits!$E$2:$E$993,'User Engagement'!$A143,Visits!$AF$2:$AF$993,"&gt;"&amp;($B$1-7))</f>
        <v>0</v>
      </c>
      <c r="G142">
        <f>COUNTIFS(Visits!$E$2:$E$993,'User Engagement'!$A142,Visits!$AF$2:$AF$993,"&gt;"&amp;($B$1-30))</f>
        <v>0</v>
      </c>
      <c r="H142">
        <f>COUNTIFS(Visits!$E$2:$E$993,$A142,Visits!$AF$2:$AF$993,"&gt;"&amp;($B$1-60))-G142</f>
        <v>0</v>
      </c>
      <c r="I142">
        <f>COUNTIFS(Visits!$AG:$AG,'New Dashboard'!$A$22,Visits!$E:$E,'User Engagement'!$A142)</f>
        <v>0</v>
      </c>
      <c r="J142">
        <f>COUNTIFS(Visits!$AG:$AG,'New Dashboard'!$A$23,Visits!$E:$E,'User Engagement'!$A142)</f>
        <v>0</v>
      </c>
      <c r="K142">
        <f>COUNTIFS(Visits!$AG:$AG,'New Dashboard'!$A$24,Visits!$E:$E,'User Engagement'!$A142)</f>
        <v>0</v>
      </c>
      <c r="L142">
        <f>COUNTIFS(Visits!$AG:$AG,'New Dashboard'!$A$25,Visits!$E:$E,'User Engagement'!$A142)</f>
        <v>0</v>
      </c>
      <c r="M142">
        <f t="shared" si="19"/>
        <v>1</v>
      </c>
      <c r="N142">
        <f t="shared" si="20"/>
        <v>0</v>
      </c>
      <c r="O142">
        <f t="shared" si="20"/>
        <v>0</v>
      </c>
      <c r="P142">
        <f t="shared" si="16"/>
        <v>0</v>
      </c>
      <c r="Q142" s="4">
        <f>SUMIF(Visits!$E$2:$E$90,'User Engagement'!$A142,Visits!$T$2:$T$90)</f>
        <v>0</v>
      </c>
      <c r="R142" s="4">
        <f>SUMIFS(Visits!$T$2:$T$90,Visits!$E$2:$E$90,'User Engagement'!$A142,Visits!$AF$2:$AF$90,"&gt;3/28/24")</f>
        <v>0</v>
      </c>
      <c r="S142" s="13" t="e">
        <f t="shared" si="17"/>
        <v>#DIV/0!</v>
      </c>
      <c r="T142" s="13" t="str">
        <f t="shared" si="18"/>
        <v>n/a</v>
      </c>
    </row>
    <row r="143" spans="1:20" ht="15.95">
      <c r="A143">
        <f>Users!A140</f>
        <v>0</v>
      </c>
      <c r="B143" s="23"/>
      <c r="C143" s="23"/>
      <c r="D143" s="1" cm="1">
        <f t="array" ref="D143">MAX(_xlfn._xlws.FILTER(Visits!AF:AF,Visits!E:E='User Engagement'!A143))</f>
        <v>45434</v>
      </c>
      <c r="E143">
        <f>COUNTIF(Visits!$E$2:$E$993,'User Engagement'!$A143)</f>
        <v>0</v>
      </c>
      <c r="F143">
        <f>COUNTIFS(Visits!$E$2:$E$993,'User Engagement'!$A144,Visits!$AF$2:$AF$993,"&gt;"&amp;($B$1-7))</f>
        <v>0</v>
      </c>
      <c r="G143">
        <f>COUNTIFS(Visits!$E$2:$E$993,'User Engagement'!$A143,Visits!$AF$2:$AF$993,"&gt;"&amp;($B$1-30))</f>
        <v>0</v>
      </c>
      <c r="H143">
        <f>COUNTIFS(Visits!$E$2:$E$993,$A143,Visits!$AF$2:$AF$993,"&gt;"&amp;($B$1-60))-G143</f>
        <v>0</v>
      </c>
      <c r="I143">
        <f>COUNTIFS(Visits!$AG:$AG,'New Dashboard'!$A$22,Visits!$E:$E,'User Engagement'!$A143)</f>
        <v>0</v>
      </c>
      <c r="J143">
        <f>COUNTIFS(Visits!$AG:$AG,'New Dashboard'!$A$23,Visits!$E:$E,'User Engagement'!$A143)</f>
        <v>0</v>
      </c>
      <c r="K143">
        <f>COUNTIFS(Visits!$AG:$AG,'New Dashboard'!$A$24,Visits!$E:$E,'User Engagement'!$A143)</f>
        <v>0</v>
      </c>
      <c r="L143">
        <f>COUNTIFS(Visits!$AG:$AG,'New Dashboard'!$A$25,Visits!$E:$E,'User Engagement'!$A143)</f>
        <v>0</v>
      </c>
      <c r="M143">
        <f t="shared" si="19"/>
        <v>1</v>
      </c>
      <c r="N143">
        <f t="shared" si="20"/>
        <v>0</v>
      </c>
      <c r="O143">
        <f t="shared" si="20"/>
        <v>0</v>
      </c>
      <c r="P143">
        <f t="shared" si="16"/>
        <v>0</v>
      </c>
      <c r="Q143" s="4">
        <f>SUMIF(Visits!$E$2:$E$90,'User Engagement'!$A143,Visits!$T$2:$T$90)</f>
        <v>0</v>
      </c>
      <c r="R143" s="4">
        <f>SUMIFS(Visits!$T$2:$T$90,Visits!$E$2:$E$90,'User Engagement'!$A143,Visits!$AF$2:$AF$90,"&gt;3/28/24")</f>
        <v>0</v>
      </c>
      <c r="S143" s="13" t="e">
        <f t="shared" si="17"/>
        <v>#DIV/0!</v>
      </c>
      <c r="T143" s="13" t="str">
        <f t="shared" si="18"/>
        <v>n/a</v>
      </c>
    </row>
    <row r="144" spans="1:20" ht="15.95">
      <c r="A144">
        <f>Users!A141</f>
        <v>0</v>
      </c>
      <c r="B144" s="23"/>
      <c r="C144" s="23"/>
      <c r="D144" s="1" cm="1">
        <f t="array" ref="D144">MAX(_xlfn._xlws.FILTER(Visits!AF:AF,Visits!E:E='User Engagement'!A144))</f>
        <v>45434</v>
      </c>
      <c r="E144">
        <f>COUNTIF(Visits!$E$2:$E$993,'User Engagement'!$A144)</f>
        <v>0</v>
      </c>
      <c r="F144">
        <f>COUNTIFS(Visits!$E$2:$E$993,'User Engagement'!$A145,Visits!$AF$2:$AF$993,"&gt;"&amp;($B$1-7))</f>
        <v>0</v>
      </c>
      <c r="G144">
        <f>COUNTIFS(Visits!$E$2:$E$993,'User Engagement'!$A144,Visits!$AF$2:$AF$993,"&gt;"&amp;($B$1-30))</f>
        <v>0</v>
      </c>
      <c r="H144">
        <f>COUNTIFS(Visits!$E$2:$E$993,$A144,Visits!$AF$2:$AF$993,"&gt;"&amp;($B$1-60))-G144</f>
        <v>0</v>
      </c>
      <c r="I144">
        <f>COUNTIFS(Visits!$AG:$AG,'New Dashboard'!$A$22,Visits!$E:$E,'User Engagement'!$A144)</f>
        <v>0</v>
      </c>
      <c r="J144">
        <f>COUNTIFS(Visits!$AG:$AG,'New Dashboard'!$A$23,Visits!$E:$E,'User Engagement'!$A144)</f>
        <v>0</v>
      </c>
      <c r="K144">
        <f>COUNTIFS(Visits!$AG:$AG,'New Dashboard'!$A$24,Visits!$E:$E,'User Engagement'!$A144)</f>
        <v>0</v>
      </c>
      <c r="L144">
        <f>COUNTIFS(Visits!$AG:$AG,'New Dashboard'!$A$25,Visits!$E:$E,'User Engagement'!$A144)</f>
        <v>0</v>
      </c>
      <c r="M144">
        <f t="shared" si="19"/>
        <v>1</v>
      </c>
      <c r="N144">
        <f t="shared" si="20"/>
        <v>0</v>
      </c>
      <c r="O144">
        <f t="shared" si="20"/>
        <v>0</v>
      </c>
      <c r="P144">
        <f t="shared" si="16"/>
        <v>0</v>
      </c>
      <c r="Q144" s="4">
        <f>SUMIF(Visits!$E$2:$E$90,'User Engagement'!$A144,Visits!$T$2:$T$90)</f>
        <v>0</v>
      </c>
      <c r="R144" s="4">
        <f>SUMIFS(Visits!$T$2:$T$90,Visits!$E$2:$E$90,'User Engagement'!$A144,Visits!$AF$2:$AF$90,"&gt;3/28/24")</f>
        <v>0</v>
      </c>
      <c r="S144" s="13" t="e">
        <f t="shared" si="17"/>
        <v>#DIV/0!</v>
      </c>
      <c r="T144" s="13" t="str">
        <f t="shared" si="18"/>
        <v>n/a</v>
      </c>
    </row>
    <row r="145" spans="1:20" ht="15.95">
      <c r="A145">
        <f>Users!A142</f>
        <v>0</v>
      </c>
      <c r="B145" s="23"/>
      <c r="C145" s="23"/>
      <c r="D145" s="1" cm="1">
        <f t="array" ref="D145">MAX(_xlfn._xlws.FILTER(Visits!AF:AF,Visits!E:E='User Engagement'!A145))</f>
        <v>45434</v>
      </c>
      <c r="E145">
        <f>COUNTIF(Visits!$E$2:$E$993,'User Engagement'!$A145)</f>
        <v>0</v>
      </c>
      <c r="F145">
        <f>COUNTIFS(Visits!$E$2:$E$993,'User Engagement'!$A146,Visits!$AF$2:$AF$993,"&gt;"&amp;($B$1-7))</f>
        <v>0</v>
      </c>
      <c r="G145">
        <f>COUNTIFS(Visits!$E$2:$E$993,'User Engagement'!$A145,Visits!$AF$2:$AF$993,"&gt;"&amp;($B$1-30))</f>
        <v>0</v>
      </c>
      <c r="H145">
        <f>COUNTIFS(Visits!$E$2:$E$993,$A145,Visits!$AF$2:$AF$993,"&gt;"&amp;($B$1-60))-G145</f>
        <v>0</v>
      </c>
      <c r="I145">
        <f>COUNTIFS(Visits!$AG:$AG,'New Dashboard'!$A$22,Visits!$E:$E,'User Engagement'!$A145)</f>
        <v>0</v>
      </c>
      <c r="J145">
        <f>COUNTIFS(Visits!$AG:$AG,'New Dashboard'!$A$23,Visits!$E:$E,'User Engagement'!$A145)</f>
        <v>0</v>
      </c>
      <c r="K145">
        <f>COUNTIFS(Visits!$AG:$AG,'New Dashboard'!$A$24,Visits!$E:$E,'User Engagement'!$A145)</f>
        <v>0</v>
      </c>
      <c r="L145">
        <f>COUNTIFS(Visits!$AG:$AG,'New Dashboard'!$A$25,Visits!$E:$E,'User Engagement'!$A145)</f>
        <v>0</v>
      </c>
      <c r="M145">
        <f t="shared" si="19"/>
        <v>1</v>
      </c>
      <c r="N145">
        <f t="shared" si="20"/>
        <v>0</v>
      </c>
      <c r="O145">
        <f t="shared" si="20"/>
        <v>0</v>
      </c>
      <c r="P145">
        <f t="shared" si="16"/>
        <v>0</v>
      </c>
      <c r="Q145" s="4">
        <f>SUMIF(Visits!$E$2:$E$90,'User Engagement'!$A145,Visits!$T$2:$T$90)</f>
        <v>0</v>
      </c>
      <c r="R145" s="4">
        <f>SUMIFS(Visits!$T$2:$T$90,Visits!$E$2:$E$90,'User Engagement'!$A145,Visits!$AF$2:$AF$90,"&gt;3/28/24")</f>
        <v>0</v>
      </c>
      <c r="S145" s="13" t="e">
        <f t="shared" si="17"/>
        <v>#DIV/0!</v>
      </c>
      <c r="T145" s="13" t="str">
        <f t="shared" si="18"/>
        <v>n/a</v>
      </c>
    </row>
    <row r="146" spans="1:20" ht="15.95">
      <c r="A146">
        <f>Users!A143</f>
        <v>0</v>
      </c>
      <c r="B146" s="23"/>
      <c r="C146" s="23"/>
      <c r="D146" s="1" cm="1">
        <f t="array" ref="D146">MAX(_xlfn._xlws.FILTER(Visits!AF:AF,Visits!E:E='User Engagement'!A146))</f>
        <v>45434</v>
      </c>
      <c r="E146">
        <f>COUNTIF(Visits!$E$2:$E$993,'User Engagement'!$A146)</f>
        <v>0</v>
      </c>
      <c r="F146">
        <f>COUNTIFS(Visits!$E$2:$E$993,'User Engagement'!$A147,Visits!$AF$2:$AF$993,"&gt;"&amp;($B$1-7))</f>
        <v>0</v>
      </c>
      <c r="G146">
        <f>COUNTIFS(Visits!$E$2:$E$993,'User Engagement'!$A146,Visits!$AF$2:$AF$993,"&gt;"&amp;($B$1-30))</f>
        <v>0</v>
      </c>
      <c r="H146">
        <f>COUNTIFS(Visits!$E$2:$E$993,$A146,Visits!$AF$2:$AF$993,"&gt;"&amp;($B$1-60))-G146</f>
        <v>0</v>
      </c>
      <c r="I146">
        <f>COUNTIFS(Visits!$AG:$AG,'New Dashboard'!$A$22,Visits!$E:$E,'User Engagement'!$A146)</f>
        <v>0</v>
      </c>
      <c r="J146">
        <f>COUNTIFS(Visits!$AG:$AG,'New Dashboard'!$A$23,Visits!$E:$E,'User Engagement'!$A146)</f>
        <v>0</v>
      </c>
      <c r="K146">
        <f>COUNTIFS(Visits!$AG:$AG,'New Dashboard'!$A$24,Visits!$E:$E,'User Engagement'!$A146)</f>
        <v>0</v>
      </c>
      <c r="L146">
        <f>COUNTIFS(Visits!$AG:$AG,'New Dashboard'!$A$25,Visits!$E:$E,'User Engagement'!$A146)</f>
        <v>0</v>
      </c>
      <c r="M146">
        <f t="shared" si="19"/>
        <v>1</v>
      </c>
      <c r="N146">
        <f t="shared" si="20"/>
        <v>0</v>
      </c>
      <c r="O146">
        <f t="shared" si="20"/>
        <v>0</v>
      </c>
      <c r="P146">
        <f t="shared" si="16"/>
        <v>0</v>
      </c>
      <c r="Q146" s="4">
        <f>SUMIF(Visits!$E$2:$E$90,'User Engagement'!$A146,Visits!$T$2:$T$90)</f>
        <v>0</v>
      </c>
      <c r="R146" s="4">
        <f>SUMIFS(Visits!$T$2:$T$90,Visits!$E$2:$E$90,'User Engagement'!$A146,Visits!$AF$2:$AF$90,"&gt;3/28/24")</f>
        <v>0</v>
      </c>
      <c r="S146" s="13" t="e">
        <f t="shared" si="17"/>
        <v>#DIV/0!</v>
      </c>
      <c r="T146" s="13" t="str">
        <f t="shared" si="18"/>
        <v>n/a</v>
      </c>
    </row>
    <row r="147" spans="1:20" ht="15.95">
      <c r="A147">
        <f>Users!A144</f>
        <v>0</v>
      </c>
      <c r="B147" s="23"/>
      <c r="C147" s="23"/>
      <c r="D147" s="1" cm="1">
        <f t="array" ref="D147">MAX(_xlfn._xlws.FILTER(Visits!AF:AF,Visits!E:E='User Engagement'!A147))</f>
        <v>45434</v>
      </c>
      <c r="E147">
        <f>COUNTIF(Visits!$E$2:$E$993,'User Engagement'!$A147)</f>
        <v>0</v>
      </c>
      <c r="F147">
        <f>COUNTIFS(Visits!$E$2:$E$993,'User Engagement'!$A148,Visits!$AF$2:$AF$993,"&gt;"&amp;($B$1-7))</f>
        <v>0</v>
      </c>
      <c r="G147">
        <f>COUNTIFS(Visits!$E$2:$E$993,'User Engagement'!$A147,Visits!$AF$2:$AF$993,"&gt;"&amp;($B$1-30))</f>
        <v>0</v>
      </c>
      <c r="H147">
        <f>COUNTIFS(Visits!$E$2:$E$993,$A147,Visits!$AF$2:$AF$993,"&gt;"&amp;($B$1-60))-G147</f>
        <v>0</v>
      </c>
      <c r="I147">
        <f>COUNTIFS(Visits!$AG:$AG,'New Dashboard'!$A$22,Visits!$E:$E,'User Engagement'!$A147)</f>
        <v>0</v>
      </c>
      <c r="J147">
        <f>COUNTIFS(Visits!$AG:$AG,'New Dashboard'!$A$23,Visits!$E:$E,'User Engagement'!$A147)</f>
        <v>0</v>
      </c>
      <c r="K147">
        <f>COUNTIFS(Visits!$AG:$AG,'New Dashboard'!$A$24,Visits!$E:$E,'User Engagement'!$A147)</f>
        <v>0</v>
      </c>
      <c r="L147">
        <f>COUNTIFS(Visits!$AG:$AG,'New Dashboard'!$A$25,Visits!$E:$E,'User Engagement'!$A147)</f>
        <v>0</v>
      </c>
      <c r="M147">
        <f t="shared" si="19"/>
        <v>1</v>
      </c>
      <c r="N147">
        <f t="shared" si="20"/>
        <v>0</v>
      </c>
      <c r="O147">
        <f t="shared" si="20"/>
        <v>0</v>
      </c>
      <c r="P147">
        <f t="shared" si="16"/>
        <v>0</v>
      </c>
      <c r="Q147" s="4">
        <f>SUMIF(Visits!$E$2:$E$90,'User Engagement'!$A147,Visits!$T$2:$T$90)</f>
        <v>0</v>
      </c>
      <c r="R147" s="4">
        <f>SUMIFS(Visits!$T$2:$T$90,Visits!$E$2:$E$90,'User Engagement'!$A147,Visits!$AF$2:$AF$90,"&gt;3/28/24")</f>
        <v>0</v>
      </c>
      <c r="S147" s="13" t="e">
        <f t="shared" si="17"/>
        <v>#DIV/0!</v>
      </c>
      <c r="T147" s="13" t="str">
        <f t="shared" si="18"/>
        <v>n/a</v>
      </c>
    </row>
    <row r="148" spans="1:20" ht="15.95">
      <c r="A148">
        <f>Users!A145</f>
        <v>0</v>
      </c>
      <c r="B148" s="23"/>
      <c r="C148" s="23"/>
      <c r="D148" s="1" cm="1">
        <f t="array" ref="D148">MAX(_xlfn._xlws.FILTER(Visits!AF:AF,Visits!E:E='User Engagement'!A148))</f>
        <v>45434</v>
      </c>
      <c r="E148">
        <f>COUNTIF(Visits!$E$2:$E$993,'User Engagement'!$A148)</f>
        <v>0</v>
      </c>
      <c r="F148">
        <f>COUNTIFS(Visits!$E$2:$E$993,'User Engagement'!$A149,Visits!$AF$2:$AF$993,"&gt;"&amp;($B$1-7))</f>
        <v>0</v>
      </c>
      <c r="G148">
        <f>COUNTIFS(Visits!$E$2:$E$993,'User Engagement'!$A148,Visits!$AF$2:$AF$993,"&gt;"&amp;($B$1-30))</f>
        <v>0</v>
      </c>
      <c r="H148">
        <f>COUNTIFS(Visits!$E$2:$E$993,$A148,Visits!$AF$2:$AF$993,"&gt;"&amp;($B$1-60))-G148</f>
        <v>0</v>
      </c>
      <c r="I148">
        <f>COUNTIFS(Visits!$AG:$AG,'New Dashboard'!$A$22,Visits!$E:$E,'User Engagement'!$A148)</f>
        <v>0</v>
      </c>
      <c r="J148">
        <f>COUNTIFS(Visits!$AG:$AG,'New Dashboard'!$A$23,Visits!$E:$E,'User Engagement'!$A148)</f>
        <v>0</v>
      </c>
      <c r="K148">
        <f>COUNTIFS(Visits!$AG:$AG,'New Dashboard'!$A$24,Visits!$E:$E,'User Engagement'!$A148)</f>
        <v>0</v>
      </c>
      <c r="L148">
        <f>COUNTIFS(Visits!$AG:$AG,'New Dashboard'!$A$25,Visits!$E:$E,'User Engagement'!$A148)</f>
        <v>0</v>
      </c>
      <c r="M148">
        <f t="shared" si="19"/>
        <v>1</v>
      </c>
      <c r="N148">
        <f t="shared" si="20"/>
        <v>0</v>
      </c>
      <c r="O148">
        <f t="shared" si="20"/>
        <v>0</v>
      </c>
      <c r="P148">
        <f t="shared" si="16"/>
        <v>0</v>
      </c>
      <c r="Q148" s="4">
        <f>SUMIF(Visits!$E$2:$E$90,'User Engagement'!$A148,Visits!$T$2:$T$90)</f>
        <v>0</v>
      </c>
      <c r="R148" s="4">
        <f>SUMIFS(Visits!$T$2:$T$90,Visits!$E$2:$E$90,'User Engagement'!$A148,Visits!$AF$2:$AF$90,"&gt;3/28/24")</f>
        <v>0</v>
      </c>
      <c r="S148" s="13" t="e">
        <f t="shared" si="17"/>
        <v>#DIV/0!</v>
      </c>
      <c r="T148" s="13" t="str">
        <f t="shared" si="18"/>
        <v>n/a</v>
      </c>
    </row>
    <row r="149" spans="1:20" ht="15.95">
      <c r="A149">
        <f>Users!A146</f>
        <v>0</v>
      </c>
      <c r="B149" s="23"/>
      <c r="C149" s="23"/>
      <c r="D149" s="1" cm="1">
        <f t="array" ref="D149">MAX(_xlfn._xlws.FILTER(Visits!AF:AF,Visits!E:E='User Engagement'!A149))</f>
        <v>45434</v>
      </c>
      <c r="E149">
        <f>COUNTIF(Visits!$E$2:$E$993,'User Engagement'!$A149)</f>
        <v>0</v>
      </c>
      <c r="F149">
        <f>COUNTIFS(Visits!$E$2:$E$993,'User Engagement'!$A150,Visits!$AF$2:$AF$993,"&gt;"&amp;($B$1-7))</f>
        <v>0</v>
      </c>
      <c r="G149">
        <f>COUNTIFS(Visits!$E$2:$E$993,'User Engagement'!$A149,Visits!$AF$2:$AF$993,"&gt;"&amp;($B$1-30))</f>
        <v>0</v>
      </c>
      <c r="H149">
        <f>COUNTIFS(Visits!$E$2:$E$993,$A149,Visits!$AF$2:$AF$993,"&gt;"&amp;($B$1-60))-G149</f>
        <v>0</v>
      </c>
      <c r="I149">
        <f>COUNTIFS(Visits!$AG:$AG,'New Dashboard'!$A$22,Visits!$E:$E,'User Engagement'!$A149)</f>
        <v>0</v>
      </c>
      <c r="J149">
        <f>COUNTIFS(Visits!$AG:$AG,'New Dashboard'!$A$23,Visits!$E:$E,'User Engagement'!$A149)</f>
        <v>0</v>
      </c>
      <c r="K149">
        <f>COUNTIFS(Visits!$AG:$AG,'New Dashboard'!$A$24,Visits!$E:$E,'User Engagement'!$A149)</f>
        <v>0</v>
      </c>
      <c r="L149">
        <f>COUNTIFS(Visits!$AG:$AG,'New Dashboard'!$A$25,Visits!$E:$E,'User Engagement'!$A149)</f>
        <v>0</v>
      </c>
      <c r="M149">
        <f t="shared" si="19"/>
        <v>1</v>
      </c>
      <c r="N149">
        <f t="shared" si="20"/>
        <v>0</v>
      </c>
      <c r="O149">
        <f t="shared" si="20"/>
        <v>0</v>
      </c>
      <c r="P149">
        <f t="shared" si="16"/>
        <v>0</v>
      </c>
      <c r="Q149" s="4">
        <f>SUMIF(Visits!$E$2:$E$90,'User Engagement'!$A149,Visits!$T$2:$T$90)</f>
        <v>0</v>
      </c>
      <c r="R149" s="4">
        <f>SUMIFS(Visits!$T$2:$T$90,Visits!$E$2:$E$90,'User Engagement'!$A149,Visits!$AF$2:$AF$90,"&gt;3/28/24")</f>
        <v>0</v>
      </c>
      <c r="S149" s="13" t="e">
        <f t="shared" si="17"/>
        <v>#DIV/0!</v>
      </c>
      <c r="T149" s="13" t="str">
        <f t="shared" si="18"/>
        <v>n/a</v>
      </c>
    </row>
    <row r="150" spans="1:20" ht="15.95">
      <c r="A150">
        <f>Users!A147</f>
        <v>0</v>
      </c>
      <c r="B150" s="23"/>
      <c r="C150" s="23"/>
      <c r="D150" s="1" cm="1">
        <f t="array" ref="D150">MAX(_xlfn._xlws.FILTER(Visits!AF:AF,Visits!E:E='User Engagement'!A150))</f>
        <v>45434</v>
      </c>
      <c r="E150">
        <f>COUNTIF(Visits!$E$2:$E$993,'User Engagement'!$A150)</f>
        <v>0</v>
      </c>
      <c r="F150">
        <f>COUNTIFS(Visits!$E$2:$E$993,'User Engagement'!$A151,Visits!$AF$2:$AF$993,"&gt;"&amp;($B$1-7))</f>
        <v>0</v>
      </c>
      <c r="G150">
        <f>COUNTIFS(Visits!$E$2:$E$993,'User Engagement'!$A150,Visits!$AF$2:$AF$993,"&gt;"&amp;($B$1-30))</f>
        <v>0</v>
      </c>
      <c r="H150">
        <f>COUNTIFS(Visits!$E$2:$E$993,$A150,Visits!$AF$2:$AF$993,"&gt;"&amp;($B$1-60))-G150</f>
        <v>0</v>
      </c>
      <c r="I150">
        <f>COUNTIFS(Visits!$AG:$AG,'New Dashboard'!$A$22,Visits!$E:$E,'User Engagement'!$A150)</f>
        <v>0</v>
      </c>
      <c r="J150">
        <f>COUNTIFS(Visits!$AG:$AG,'New Dashboard'!$A$23,Visits!$E:$E,'User Engagement'!$A150)</f>
        <v>0</v>
      </c>
      <c r="K150">
        <f>COUNTIFS(Visits!$AG:$AG,'New Dashboard'!$A$24,Visits!$E:$E,'User Engagement'!$A150)</f>
        <v>0</v>
      </c>
      <c r="L150">
        <f>COUNTIFS(Visits!$AG:$AG,'New Dashboard'!$A$25,Visits!$E:$E,'User Engagement'!$A150)</f>
        <v>0</v>
      </c>
      <c r="M150">
        <f t="shared" si="19"/>
        <v>1</v>
      </c>
      <c r="N150">
        <f t="shared" si="20"/>
        <v>0</v>
      </c>
      <c r="O150">
        <f t="shared" si="20"/>
        <v>0</v>
      </c>
      <c r="P150">
        <f t="shared" si="16"/>
        <v>0</v>
      </c>
      <c r="Q150" s="4">
        <f>SUMIF(Visits!$E$2:$E$90,'User Engagement'!$A150,Visits!$T$2:$T$90)</f>
        <v>0</v>
      </c>
      <c r="R150" s="4">
        <f>SUMIFS(Visits!$T$2:$T$90,Visits!$E$2:$E$90,'User Engagement'!$A150,Visits!$AF$2:$AF$90,"&gt;3/28/24")</f>
        <v>0</v>
      </c>
      <c r="S150" s="13" t="e">
        <f t="shared" si="17"/>
        <v>#DIV/0!</v>
      </c>
      <c r="T150" s="13" t="str">
        <f t="shared" si="18"/>
        <v>n/a</v>
      </c>
    </row>
    <row r="151" spans="1:20" ht="15.95">
      <c r="A151">
        <f>Users!A148</f>
        <v>0</v>
      </c>
      <c r="B151" s="23"/>
      <c r="C151" s="23"/>
      <c r="D151" s="1" cm="1">
        <f t="array" ref="D151">MAX(_xlfn._xlws.FILTER(Visits!AF:AF,Visits!E:E='User Engagement'!A151))</f>
        <v>45434</v>
      </c>
      <c r="E151">
        <f>COUNTIF(Visits!$E$2:$E$993,'User Engagement'!$A151)</f>
        <v>0</v>
      </c>
      <c r="F151">
        <f>COUNTIFS(Visits!$E$2:$E$993,'User Engagement'!$A152,Visits!$AF$2:$AF$993,"&gt;"&amp;($B$1-7))</f>
        <v>0</v>
      </c>
      <c r="G151">
        <f>COUNTIFS(Visits!$E$2:$E$993,'User Engagement'!$A151,Visits!$AF$2:$AF$993,"&gt;"&amp;($B$1-30))</f>
        <v>0</v>
      </c>
      <c r="H151">
        <f>COUNTIFS(Visits!$E$2:$E$993,$A151,Visits!$AF$2:$AF$993,"&gt;"&amp;($B$1-60))-G151</f>
        <v>0</v>
      </c>
      <c r="I151">
        <f>COUNTIFS(Visits!$AG:$AG,'New Dashboard'!$A$22,Visits!$E:$E,'User Engagement'!$A151)</f>
        <v>0</v>
      </c>
      <c r="J151">
        <f>COUNTIFS(Visits!$AG:$AG,'New Dashboard'!$A$23,Visits!$E:$E,'User Engagement'!$A151)</f>
        <v>0</v>
      </c>
      <c r="K151">
        <f>COUNTIFS(Visits!$AG:$AG,'New Dashboard'!$A$24,Visits!$E:$E,'User Engagement'!$A151)</f>
        <v>0</v>
      </c>
      <c r="L151">
        <f>COUNTIFS(Visits!$AG:$AG,'New Dashboard'!$A$25,Visits!$E:$E,'User Engagement'!$A151)</f>
        <v>0</v>
      </c>
      <c r="M151">
        <f t="shared" si="19"/>
        <v>1</v>
      </c>
      <c r="N151">
        <f t="shared" si="20"/>
        <v>0</v>
      </c>
      <c r="O151">
        <f t="shared" si="20"/>
        <v>0</v>
      </c>
      <c r="P151">
        <f t="shared" si="16"/>
        <v>0</v>
      </c>
      <c r="Q151" s="4">
        <f>SUMIF(Visits!$E$2:$E$90,'User Engagement'!$A151,Visits!$T$2:$T$90)</f>
        <v>0</v>
      </c>
      <c r="R151" s="4">
        <f>SUMIFS(Visits!$T$2:$T$90,Visits!$E$2:$E$90,'User Engagement'!$A151,Visits!$AF$2:$AF$90,"&gt;3/28/24")</f>
        <v>0</v>
      </c>
      <c r="S151" s="13" t="e">
        <f t="shared" si="17"/>
        <v>#DIV/0!</v>
      </c>
      <c r="T151" s="13" t="str">
        <f t="shared" si="18"/>
        <v>n/a</v>
      </c>
    </row>
    <row r="152" spans="1:20" ht="15.95">
      <c r="A152">
        <f>Users!A149</f>
        <v>0</v>
      </c>
      <c r="B152" s="23"/>
      <c r="C152" s="23"/>
      <c r="D152" s="1" cm="1">
        <f t="array" ref="D152">MAX(_xlfn._xlws.FILTER(Visits!AF:AF,Visits!E:E='User Engagement'!A152))</f>
        <v>45434</v>
      </c>
      <c r="E152">
        <f>COUNTIF(Visits!$E$2:$E$993,'User Engagement'!$A152)</f>
        <v>0</v>
      </c>
      <c r="F152">
        <f>COUNTIFS(Visits!$E$2:$E$993,'User Engagement'!$A153,Visits!$AF$2:$AF$993,"&gt;"&amp;($B$1-7))</f>
        <v>0</v>
      </c>
      <c r="G152">
        <f>COUNTIFS(Visits!$E$2:$E$993,'User Engagement'!$A152,Visits!$AF$2:$AF$993,"&gt;"&amp;($B$1-30))</f>
        <v>0</v>
      </c>
      <c r="H152">
        <f>COUNTIFS(Visits!$E$2:$E$993,$A152,Visits!$AF$2:$AF$993,"&gt;"&amp;($B$1-60))-G152</f>
        <v>0</v>
      </c>
      <c r="I152">
        <f>COUNTIFS(Visits!$AG:$AG,'New Dashboard'!$A$22,Visits!$E:$E,'User Engagement'!$A152)</f>
        <v>0</v>
      </c>
      <c r="J152">
        <f>COUNTIFS(Visits!$AG:$AG,'New Dashboard'!$A$23,Visits!$E:$E,'User Engagement'!$A152)</f>
        <v>0</v>
      </c>
      <c r="K152">
        <f>COUNTIFS(Visits!$AG:$AG,'New Dashboard'!$A$24,Visits!$E:$E,'User Engagement'!$A152)</f>
        <v>0</v>
      </c>
      <c r="L152">
        <f>COUNTIFS(Visits!$AG:$AG,'New Dashboard'!$A$25,Visits!$E:$E,'User Engagement'!$A152)</f>
        <v>0</v>
      </c>
      <c r="M152">
        <f t="shared" si="19"/>
        <v>1</v>
      </c>
      <c r="N152">
        <f t="shared" si="20"/>
        <v>0</v>
      </c>
      <c r="O152">
        <f t="shared" si="20"/>
        <v>0</v>
      </c>
      <c r="P152">
        <f t="shared" si="16"/>
        <v>0</v>
      </c>
      <c r="Q152" s="4">
        <f>SUMIF(Visits!$E$2:$E$90,'User Engagement'!$A152,Visits!$T$2:$T$90)</f>
        <v>0</v>
      </c>
      <c r="R152" s="4">
        <f>SUMIFS(Visits!$T$2:$T$90,Visits!$E$2:$E$90,'User Engagement'!$A152,Visits!$AF$2:$AF$90,"&gt;3/28/24")</f>
        <v>0</v>
      </c>
      <c r="S152" s="13" t="e">
        <f t="shared" si="17"/>
        <v>#DIV/0!</v>
      </c>
      <c r="T152" s="13" t="str">
        <f t="shared" si="18"/>
        <v>n/a</v>
      </c>
    </row>
    <row r="153" spans="1:20" ht="15.95">
      <c r="A153">
        <f>Users!A150</f>
        <v>0</v>
      </c>
      <c r="B153" s="23"/>
      <c r="C153" s="23"/>
      <c r="D153" s="1" cm="1">
        <f t="array" ref="D153">MAX(_xlfn._xlws.FILTER(Visits!AF:AF,Visits!E:E='User Engagement'!A153))</f>
        <v>45434</v>
      </c>
      <c r="E153">
        <f>COUNTIF(Visits!$E$2:$E$993,'User Engagement'!$A153)</f>
        <v>0</v>
      </c>
      <c r="F153">
        <f>COUNTIFS(Visits!$E$2:$E$993,'User Engagement'!$A154,Visits!$AF$2:$AF$993,"&gt;"&amp;($B$1-7))</f>
        <v>0</v>
      </c>
      <c r="G153">
        <f>COUNTIFS(Visits!$E$2:$E$993,'User Engagement'!$A153,Visits!$AF$2:$AF$993,"&gt;"&amp;($B$1-30))</f>
        <v>0</v>
      </c>
      <c r="H153">
        <f>COUNTIFS(Visits!$E$2:$E$993,$A153,Visits!$AF$2:$AF$993,"&gt;"&amp;($B$1-60))-G153</f>
        <v>0</v>
      </c>
      <c r="I153">
        <f>COUNTIFS(Visits!$AG:$AG,'New Dashboard'!$A$22,Visits!$E:$E,'User Engagement'!$A153)</f>
        <v>0</v>
      </c>
      <c r="J153">
        <f>COUNTIFS(Visits!$AG:$AG,'New Dashboard'!$A$23,Visits!$E:$E,'User Engagement'!$A153)</f>
        <v>0</v>
      </c>
      <c r="K153">
        <f>COUNTIFS(Visits!$AG:$AG,'New Dashboard'!$A$24,Visits!$E:$E,'User Engagement'!$A153)</f>
        <v>0</v>
      </c>
      <c r="L153">
        <f>COUNTIFS(Visits!$AG:$AG,'New Dashboard'!$A$25,Visits!$E:$E,'User Engagement'!$A153)</f>
        <v>0</v>
      </c>
      <c r="M153">
        <f t="shared" si="19"/>
        <v>1</v>
      </c>
      <c r="N153">
        <f t="shared" si="20"/>
        <v>0</v>
      </c>
      <c r="O153">
        <f t="shared" si="20"/>
        <v>0</v>
      </c>
      <c r="P153">
        <f t="shared" si="16"/>
        <v>0</v>
      </c>
      <c r="Q153" s="4">
        <f>SUMIF(Visits!$E$2:$E$90,'User Engagement'!$A153,Visits!$T$2:$T$90)</f>
        <v>0</v>
      </c>
      <c r="R153" s="4">
        <f>SUMIFS(Visits!$T$2:$T$90,Visits!$E$2:$E$90,'User Engagement'!$A153,Visits!$AF$2:$AF$90,"&gt;3/28/24")</f>
        <v>0</v>
      </c>
      <c r="S153" s="13" t="e">
        <f t="shared" si="17"/>
        <v>#DIV/0!</v>
      </c>
      <c r="T153" s="13" t="str">
        <f t="shared" si="18"/>
        <v>n/a</v>
      </c>
    </row>
    <row r="154" spans="1:20" ht="15.95">
      <c r="A154">
        <f>Users!A151</f>
        <v>0</v>
      </c>
      <c r="B154" s="23"/>
      <c r="C154" s="23"/>
      <c r="D154" s="1" cm="1">
        <f t="array" ref="D154">MAX(_xlfn._xlws.FILTER(Visits!AF:AF,Visits!E:E='User Engagement'!A154))</f>
        <v>45434</v>
      </c>
      <c r="E154">
        <f>COUNTIF(Visits!$E$2:$E$993,'User Engagement'!$A154)</f>
        <v>0</v>
      </c>
      <c r="F154">
        <f>COUNTIFS(Visits!$E$2:$E$993,'User Engagement'!$A155,Visits!$AF$2:$AF$993,"&gt;"&amp;($B$1-7))</f>
        <v>0</v>
      </c>
      <c r="G154">
        <f>COUNTIFS(Visits!$E$2:$E$993,'User Engagement'!$A154,Visits!$AF$2:$AF$993,"&gt;"&amp;($B$1-30))</f>
        <v>0</v>
      </c>
      <c r="H154">
        <f>COUNTIFS(Visits!$E$2:$E$993,$A154,Visits!$AF$2:$AF$993,"&gt;"&amp;($B$1-60))-G154</f>
        <v>0</v>
      </c>
      <c r="I154">
        <f>COUNTIFS(Visits!$AG:$AG,'New Dashboard'!$A$22,Visits!$E:$E,'User Engagement'!$A154)</f>
        <v>0</v>
      </c>
      <c r="J154">
        <f>COUNTIFS(Visits!$AG:$AG,'New Dashboard'!$A$23,Visits!$E:$E,'User Engagement'!$A154)</f>
        <v>0</v>
      </c>
      <c r="K154">
        <f>COUNTIFS(Visits!$AG:$AG,'New Dashboard'!$A$24,Visits!$E:$E,'User Engagement'!$A154)</f>
        <v>0</v>
      </c>
      <c r="L154">
        <f>COUNTIFS(Visits!$AG:$AG,'New Dashboard'!$A$25,Visits!$E:$E,'User Engagement'!$A154)</f>
        <v>0</v>
      </c>
      <c r="M154">
        <f t="shared" si="19"/>
        <v>1</v>
      </c>
      <c r="N154">
        <f t="shared" si="20"/>
        <v>0</v>
      </c>
      <c r="O154">
        <f t="shared" si="20"/>
        <v>0</v>
      </c>
      <c r="P154">
        <f t="shared" si="16"/>
        <v>0</v>
      </c>
      <c r="Q154" s="4">
        <f>SUMIF(Visits!$E$2:$E$90,'User Engagement'!$A154,Visits!$T$2:$T$90)</f>
        <v>0</v>
      </c>
      <c r="R154" s="4">
        <f>SUMIFS(Visits!$T$2:$T$90,Visits!$E$2:$E$90,'User Engagement'!$A154,Visits!$AF$2:$AF$90,"&gt;3/28/24")</f>
        <v>0</v>
      </c>
      <c r="S154" s="13" t="e">
        <f t="shared" si="17"/>
        <v>#DIV/0!</v>
      </c>
      <c r="T154" s="13" t="str">
        <f t="shared" si="18"/>
        <v>n/a</v>
      </c>
    </row>
    <row r="155" spans="1:20" ht="15.95">
      <c r="A155">
        <f>Users!A152</f>
        <v>0</v>
      </c>
      <c r="B155" s="23"/>
      <c r="C155" s="23"/>
      <c r="D155" s="1" cm="1">
        <f t="array" ref="D155">MAX(_xlfn._xlws.FILTER(Visits!AF:AF,Visits!E:E='User Engagement'!A155))</f>
        <v>45434</v>
      </c>
      <c r="E155">
        <f>COUNTIF(Visits!$E$2:$E$993,'User Engagement'!$A155)</f>
        <v>0</v>
      </c>
      <c r="F155">
        <f>COUNTIFS(Visits!$E$2:$E$993,'User Engagement'!$A156,Visits!$AF$2:$AF$993,"&gt;"&amp;($B$1-7))</f>
        <v>0</v>
      </c>
      <c r="G155">
        <f>COUNTIFS(Visits!$E$2:$E$993,'User Engagement'!$A155,Visits!$AF$2:$AF$993,"&gt;"&amp;($B$1-30))</f>
        <v>0</v>
      </c>
      <c r="H155">
        <f>COUNTIFS(Visits!$E$2:$E$993,$A155,Visits!$AF$2:$AF$993,"&gt;"&amp;($B$1-60))-G155</f>
        <v>0</v>
      </c>
      <c r="I155">
        <f>COUNTIFS(Visits!$AG:$AG,'New Dashboard'!$A$22,Visits!$E:$E,'User Engagement'!$A155)</f>
        <v>0</v>
      </c>
      <c r="J155">
        <f>COUNTIFS(Visits!$AG:$AG,'New Dashboard'!$A$23,Visits!$E:$E,'User Engagement'!$A155)</f>
        <v>0</v>
      </c>
      <c r="K155">
        <f>COUNTIFS(Visits!$AG:$AG,'New Dashboard'!$A$24,Visits!$E:$E,'User Engagement'!$A155)</f>
        <v>0</v>
      </c>
      <c r="L155">
        <f>COUNTIFS(Visits!$AG:$AG,'New Dashboard'!$A$25,Visits!$E:$E,'User Engagement'!$A155)</f>
        <v>0</v>
      </c>
      <c r="M155">
        <f t="shared" si="19"/>
        <v>1</v>
      </c>
      <c r="N155">
        <f t="shared" si="20"/>
        <v>0</v>
      </c>
      <c r="O155">
        <f t="shared" si="20"/>
        <v>0</v>
      </c>
      <c r="P155">
        <f t="shared" si="16"/>
        <v>0</v>
      </c>
      <c r="Q155" s="4">
        <f>SUMIF(Visits!$E$2:$E$90,'User Engagement'!$A155,Visits!$T$2:$T$90)</f>
        <v>0</v>
      </c>
      <c r="R155" s="4">
        <f>SUMIFS(Visits!$T$2:$T$90,Visits!$E$2:$E$90,'User Engagement'!$A155,Visits!$AF$2:$AF$90,"&gt;3/28/24")</f>
        <v>0</v>
      </c>
      <c r="S155" s="13" t="e">
        <f t="shared" si="17"/>
        <v>#DIV/0!</v>
      </c>
      <c r="T155" s="13" t="str">
        <f t="shared" si="18"/>
        <v>n/a</v>
      </c>
    </row>
    <row r="156" spans="1:20" ht="15.95">
      <c r="A156">
        <f>Users!A153</f>
        <v>0</v>
      </c>
      <c r="B156" s="23"/>
      <c r="C156" s="23"/>
      <c r="D156" s="1" cm="1">
        <f t="array" ref="D156">MAX(_xlfn._xlws.FILTER(Visits!AF:AF,Visits!E:E='User Engagement'!A156))</f>
        <v>45434</v>
      </c>
      <c r="E156">
        <f>COUNTIF(Visits!$E$2:$E$993,'User Engagement'!$A156)</f>
        <v>0</v>
      </c>
      <c r="F156">
        <f>COUNTIFS(Visits!$E$2:$E$993,'User Engagement'!$A157,Visits!$AF$2:$AF$993,"&gt;"&amp;($B$1-7))</f>
        <v>0</v>
      </c>
      <c r="G156">
        <f>COUNTIFS(Visits!$E$2:$E$993,'User Engagement'!$A156,Visits!$AF$2:$AF$993,"&gt;"&amp;($B$1-30))</f>
        <v>0</v>
      </c>
      <c r="H156">
        <f>COUNTIFS(Visits!$E$2:$E$993,$A156,Visits!$AF$2:$AF$993,"&gt;"&amp;($B$1-60))-G156</f>
        <v>0</v>
      </c>
      <c r="I156">
        <f>COUNTIFS(Visits!$AG:$AG,'New Dashboard'!$A$22,Visits!$E:$E,'User Engagement'!$A156)</f>
        <v>0</v>
      </c>
      <c r="J156">
        <f>COUNTIFS(Visits!$AG:$AG,'New Dashboard'!$A$23,Visits!$E:$E,'User Engagement'!$A156)</f>
        <v>0</v>
      </c>
      <c r="K156">
        <f>COUNTIFS(Visits!$AG:$AG,'New Dashboard'!$A$24,Visits!$E:$E,'User Engagement'!$A156)</f>
        <v>0</v>
      </c>
      <c r="L156">
        <f>COUNTIFS(Visits!$AG:$AG,'New Dashboard'!$A$25,Visits!$E:$E,'User Engagement'!$A156)</f>
        <v>0</v>
      </c>
      <c r="M156">
        <f t="shared" si="19"/>
        <v>1</v>
      </c>
      <c r="N156">
        <f t="shared" si="20"/>
        <v>0</v>
      </c>
      <c r="O156">
        <f t="shared" si="20"/>
        <v>0</v>
      </c>
      <c r="P156">
        <f t="shared" si="16"/>
        <v>0</v>
      </c>
      <c r="Q156" s="4">
        <f>SUMIF(Visits!$E$2:$E$90,'User Engagement'!$A156,Visits!$T$2:$T$90)</f>
        <v>0</v>
      </c>
      <c r="R156" s="4">
        <f>SUMIFS(Visits!$T$2:$T$90,Visits!$E$2:$E$90,'User Engagement'!$A156,Visits!$AF$2:$AF$90,"&gt;3/28/24")</f>
        <v>0</v>
      </c>
      <c r="S156" s="13" t="e">
        <f t="shared" si="17"/>
        <v>#DIV/0!</v>
      </c>
      <c r="T156" s="13" t="str">
        <f t="shared" si="18"/>
        <v>n/a</v>
      </c>
    </row>
    <row r="157" spans="1:20" ht="15.95">
      <c r="A157">
        <f>Users!A154</f>
        <v>0</v>
      </c>
      <c r="B157" s="23"/>
      <c r="C157" s="23"/>
      <c r="D157" s="1" cm="1">
        <f t="array" ref="D157">MAX(_xlfn._xlws.FILTER(Visits!AF:AF,Visits!E:E='User Engagement'!A157))</f>
        <v>45434</v>
      </c>
      <c r="E157">
        <f>COUNTIF(Visits!$E$2:$E$993,'User Engagement'!$A157)</f>
        <v>0</v>
      </c>
      <c r="F157">
        <f>COUNTIFS(Visits!$E$2:$E$993,'User Engagement'!$A158,Visits!$AF$2:$AF$993,"&gt;"&amp;($B$1-7))</f>
        <v>0</v>
      </c>
      <c r="G157">
        <f>COUNTIFS(Visits!$E$2:$E$993,'User Engagement'!$A157,Visits!$AF$2:$AF$993,"&gt;"&amp;($B$1-30))</f>
        <v>0</v>
      </c>
      <c r="H157">
        <f>COUNTIFS(Visits!$E$2:$E$993,$A157,Visits!$AF$2:$AF$993,"&gt;"&amp;($B$1-60))-G157</f>
        <v>0</v>
      </c>
      <c r="I157">
        <f>COUNTIFS(Visits!$AG:$AG,'New Dashboard'!$A$22,Visits!$E:$E,'User Engagement'!$A157)</f>
        <v>0</v>
      </c>
      <c r="J157">
        <f>COUNTIFS(Visits!$AG:$AG,'New Dashboard'!$A$23,Visits!$E:$E,'User Engagement'!$A157)</f>
        <v>0</v>
      </c>
      <c r="K157">
        <f>COUNTIFS(Visits!$AG:$AG,'New Dashboard'!$A$24,Visits!$E:$E,'User Engagement'!$A157)</f>
        <v>0</v>
      </c>
      <c r="L157">
        <f>COUNTIFS(Visits!$AG:$AG,'New Dashboard'!$A$25,Visits!$E:$E,'User Engagement'!$A157)</f>
        <v>0</v>
      </c>
      <c r="M157">
        <f t="shared" si="19"/>
        <v>1</v>
      </c>
      <c r="N157">
        <f t="shared" si="20"/>
        <v>0</v>
      </c>
      <c r="O157">
        <f t="shared" si="20"/>
        <v>0</v>
      </c>
      <c r="P157">
        <f t="shared" si="16"/>
        <v>0</v>
      </c>
      <c r="Q157" s="4">
        <f>SUMIF(Visits!$E$2:$E$90,'User Engagement'!$A157,Visits!$T$2:$T$90)</f>
        <v>0</v>
      </c>
      <c r="R157" s="4">
        <f>SUMIFS(Visits!$T$2:$T$90,Visits!$E$2:$E$90,'User Engagement'!$A157,Visits!$AF$2:$AF$90,"&gt;3/28/24")</f>
        <v>0</v>
      </c>
      <c r="S157" s="13" t="e">
        <f t="shared" si="17"/>
        <v>#DIV/0!</v>
      </c>
      <c r="T157" s="13" t="str">
        <f t="shared" si="18"/>
        <v>n/a</v>
      </c>
    </row>
    <row r="158" spans="1:20" ht="15.95">
      <c r="A158">
        <f>Users!A155</f>
        <v>0</v>
      </c>
      <c r="B158" s="23"/>
      <c r="C158" s="23"/>
      <c r="D158" s="1" cm="1">
        <f t="array" ref="D158">MAX(_xlfn._xlws.FILTER(Visits!AF:AF,Visits!E:E='User Engagement'!A158))</f>
        <v>45434</v>
      </c>
      <c r="E158">
        <f>COUNTIF(Visits!$E$2:$E$993,'User Engagement'!$A158)</f>
        <v>0</v>
      </c>
      <c r="F158">
        <f>COUNTIFS(Visits!$E$2:$E$993,'User Engagement'!$A159,Visits!$AF$2:$AF$993,"&gt;"&amp;($B$1-7))</f>
        <v>0</v>
      </c>
      <c r="G158">
        <f>COUNTIFS(Visits!$E$2:$E$993,'User Engagement'!$A158,Visits!$AF$2:$AF$993,"&gt;"&amp;($B$1-30))</f>
        <v>0</v>
      </c>
      <c r="H158">
        <f>COUNTIFS(Visits!$E$2:$E$993,$A158,Visits!$AF$2:$AF$993,"&gt;"&amp;($B$1-60))-G158</f>
        <v>0</v>
      </c>
      <c r="I158">
        <f>COUNTIFS(Visits!$AG:$AG,'New Dashboard'!$A$22,Visits!$E:$E,'User Engagement'!$A158)</f>
        <v>0</v>
      </c>
      <c r="J158">
        <f>COUNTIFS(Visits!$AG:$AG,'New Dashboard'!$A$23,Visits!$E:$E,'User Engagement'!$A158)</f>
        <v>0</v>
      </c>
      <c r="K158">
        <f>COUNTIFS(Visits!$AG:$AG,'New Dashboard'!$A$24,Visits!$E:$E,'User Engagement'!$A158)</f>
        <v>0</v>
      </c>
      <c r="L158">
        <f>COUNTIFS(Visits!$AG:$AG,'New Dashboard'!$A$25,Visits!$E:$E,'User Engagement'!$A158)</f>
        <v>0</v>
      </c>
      <c r="M158">
        <f t="shared" si="19"/>
        <v>1</v>
      </c>
      <c r="N158">
        <f t="shared" si="20"/>
        <v>0</v>
      </c>
      <c r="O158">
        <f t="shared" si="20"/>
        <v>0</v>
      </c>
      <c r="P158">
        <f t="shared" si="16"/>
        <v>0</v>
      </c>
      <c r="Q158" s="4">
        <f>SUMIF(Visits!$E$2:$E$90,'User Engagement'!$A158,Visits!$T$2:$T$90)</f>
        <v>0</v>
      </c>
      <c r="R158" s="4">
        <f>SUMIFS(Visits!$T$2:$T$90,Visits!$E$2:$E$90,'User Engagement'!$A158,Visits!$AF$2:$AF$90,"&gt;3/28/24")</f>
        <v>0</v>
      </c>
      <c r="S158" s="13" t="e">
        <f t="shared" si="17"/>
        <v>#DIV/0!</v>
      </c>
      <c r="T158" s="13" t="str">
        <f t="shared" si="18"/>
        <v>n/a</v>
      </c>
    </row>
    <row r="159" spans="1:20" ht="15.95">
      <c r="A159">
        <f>Users!A156</f>
        <v>0</v>
      </c>
      <c r="B159" s="23"/>
      <c r="C159" s="23"/>
      <c r="D159" s="1" cm="1">
        <f t="array" ref="D159">MAX(_xlfn._xlws.FILTER(Visits!AF:AF,Visits!E:E='User Engagement'!A159))</f>
        <v>45434</v>
      </c>
      <c r="E159">
        <f>COUNTIF(Visits!$E$2:$E$993,'User Engagement'!$A159)</f>
        <v>0</v>
      </c>
      <c r="F159">
        <f>COUNTIFS(Visits!$E$2:$E$993,'User Engagement'!$A160,Visits!$AF$2:$AF$993,"&gt;"&amp;($B$1-7))</f>
        <v>0</v>
      </c>
      <c r="G159">
        <f>COUNTIFS(Visits!$E$2:$E$993,'User Engagement'!$A159,Visits!$AF$2:$AF$993,"&gt;"&amp;($B$1-30))</f>
        <v>0</v>
      </c>
      <c r="H159">
        <f>COUNTIFS(Visits!$E$2:$E$993,$A159,Visits!$AF$2:$AF$993,"&gt;"&amp;($B$1-60))-G159</f>
        <v>0</v>
      </c>
      <c r="I159">
        <f>COUNTIFS(Visits!$AG:$AG,'New Dashboard'!$A$22,Visits!$E:$E,'User Engagement'!$A159)</f>
        <v>0</v>
      </c>
      <c r="J159">
        <f>COUNTIFS(Visits!$AG:$AG,'New Dashboard'!$A$23,Visits!$E:$E,'User Engagement'!$A159)</f>
        <v>0</v>
      </c>
      <c r="K159">
        <f>COUNTIFS(Visits!$AG:$AG,'New Dashboard'!$A$24,Visits!$E:$E,'User Engagement'!$A159)</f>
        <v>0</v>
      </c>
      <c r="L159">
        <f>COUNTIFS(Visits!$AG:$AG,'New Dashboard'!$A$25,Visits!$E:$E,'User Engagement'!$A159)</f>
        <v>0</v>
      </c>
      <c r="M159">
        <f t="shared" si="19"/>
        <v>1</v>
      </c>
      <c r="N159">
        <f t="shared" si="20"/>
        <v>0</v>
      </c>
      <c r="O159">
        <f t="shared" si="20"/>
        <v>0</v>
      </c>
      <c r="P159">
        <f t="shared" si="16"/>
        <v>0</v>
      </c>
      <c r="Q159" s="4">
        <f>SUMIF(Visits!$E$2:$E$90,'User Engagement'!$A159,Visits!$T$2:$T$90)</f>
        <v>0</v>
      </c>
      <c r="R159" s="4">
        <f>SUMIFS(Visits!$T$2:$T$90,Visits!$E$2:$E$90,'User Engagement'!$A159,Visits!$AF$2:$AF$90,"&gt;3/28/24")</f>
        <v>0</v>
      </c>
      <c r="S159" s="13" t="e">
        <f t="shared" si="17"/>
        <v>#DIV/0!</v>
      </c>
      <c r="T159" s="13" t="str">
        <f t="shared" si="18"/>
        <v>n/a</v>
      </c>
    </row>
    <row r="160" spans="1:20" ht="15.95">
      <c r="A160">
        <f>Users!A157</f>
        <v>0</v>
      </c>
      <c r="B160" s="23"/>
      <c r="C160" s="23"/>
      <c r="D160" s="1" cm="1">
        <f t="array" ref="D160">MAX(_xlfn._xlws.FILTER(Visits!AF:AF,Visits!E:E='User Engagement'!A160))</f>
        <v>45434</v>
      </c>
      <c r="E160">
        <f>COUNTIF(Visits!$E$2:$E$993,'User Engagement'!$A160)</f>
        <v>0</v>
      </c>
      <c r="F160">
        <f>COUNTIFS(Visits!$E$2:$E$993,'User Engagement'!$A161,Visits!$AF$2:$AF$993,"&gt;"&amp;($B$1-7))</f>
        <v>0</v>
      </c>
      <c r="G160">
        <f>COUNTIFS(Visits!$E$2:$E$993,'User Engagement'!$A160,Visits!$AF$2:$AF$993,"&gt;"&amp;($B$1-30))</f>
        <v>0</v>
      </c>
      <c r="H160">
        <f>COUNTIFS(Visits!$E$2:$E$993,$A160,Visits!$AF$2:$AF$993,"&gt;"&amp;($B$1-60))-G160</f>
        <v>0</v>
      </c>
      <c r="I160">
        <f>COUNTIFS(Visits!$AG:$AG,'New Dashboard'!$A$22,Visits!$E:$E,'User Engagement'!$A160)</f>
        <v>0</v>
      </c>
      <c r="J160">
        <f>COUNTIFS(Visits!$AG:$AG,'New Dashboard'!$A$23,Visits!$E:$E,'User Engagement'!$A160)</f>
        <v>0</v>
      </c>
      <c r="K160">
        <f>COUNTIFS(Visits!$AG:$AG,'New Dashboard'!$A$24,Visits!$E:$E,'User Engagement'!$A160)</f>
        <v>0</v>
      </c>
      <c r="L160">
        <f>COUNTIFS(Visits!$AG:$AG,'New Dashboard'!$A$25,Visits!$E:$E,'User Engagement'!$A160)</f>
        <v>0</v>
      </c>
      <c r="M160">
        <f t="shared" si="19"/>
        <v>1</v>
      </c>
      <c r="N160">
        <f t="shared" si="20"/>
        <v>0</v>
      </c>
      <c r="O160">
        <f t="shared" si="20"/>
        <v>0</v>
      </c>
      <c r="P160">
        <f t="shared" si="16"/>
        <v>0</v>
      </c>
      <c r="Q160" s="4">
        <f>SUMIF(Visits!$E$2:$E$90,'User Engagement'!$A160,Visits!$T$2:$T$90)</f>
        <v>0</v>
      </c>
      <c r="R160" s="4">
        <f>SUMIFS(Visits!$T$2:$T$90,Visits!$E$2:$E$90,'User Engagement'!$A160,Visits!$AF$2:$AF$90,"&gt;3/28/24")</f>
        <v>0</v>
      </c>
      <c r="S160" s="13" t="e">
        <f t="shared" si="17"/>
        <v>#DIV/0!</v>
      </c>
      <c r="T160" s="13" t="str">
        <f t="shared" si="18"/>
        <v>n/a</v>
      </c>
    </row>
    <row r="161" spans="1:20" ht="15.95">
      <c r="A161">
        <f>Users!A158</f>
        <v>0</v>
      </c>
      <c r="B161" s="23"/>
      <c r="C161" s="23"/>
      <c r="D161" s="1" cm="1">
        <f t="array" ref="D161">MAX(_xlfn._xlws.FILTER(Visits!AF:AF,Visits!E:E='User Engagement'!A161))</f>
        <v>45434</v>
      </c>
      <c r="E161">
        <f>COUNTIF(Visits!$E$2:$E$993,'User Engagement'!$A161)</f>
        <v>0</v>
      </c>
      <c r="F161">
        <f>COUNTIFS(Visits!$E$2:$E$993,'User Engagement'!$A162,Visits!$AF$2:$AF$993,"&gt;"&amp;($B$1-7))</f>
        <v>0</v>
      </c>
      <c r="G161">
        <f>COUNTIFS(Visits!$E$2:$E$993,'User Engagement'!$A161,Visits!$AF$2:$AF$993,"&gt;"&amp;($B$1-30))</f>
        <v>0</v>
      </c>
      <c r="H161">
        <f>COUNTIFS(Visits!$E$2:$E$993,$A161,Visits!$AF$2:$AF$993,"&gt;"&amp;($B$1-60))-G161</f>
        <v>0</v>
      </c>
      <c r="I161">
        <f>COUNTIFS(Visits!$AG:$AG,'New Dashboard'!$A$22,Visits!$E:$E,'User Engagement'!$A161)</f>
        <v>0</v>
      </c>
      <c r="J161">
        <f>COUNTIFS(Visits!$AG:$AG,'New Dashboard'!$A$23,Visits!$E:$E,'User Engagement'!$A161)</f>
        <v>0</v>
      </c>
      <c r="K161">
        <f>COUNTIFS(Visits!$AG:$AG,'New Dashboard'!$A$24,Visits!$E:$E,'User Engagement'!$A161)</f>
        <v>0</v>
      </c>
      <c r="L161">
        <f>COUNTIFS(Visits!$AG:$AG,'New Dashboard'!$A$25,Visits!$E:$E,'User Engagement'!$A161)</f>
        <v>0</v>
      </c>
      <c r="M161">
        <f t="shared" si="19"/>
        <v>1</v>
      </c>
      <c r="N161">
        <f t="shared" si="20"/>
        <v>0</v>
      </c>
      <c r="O161">
        <f t="shared" si="20"/>
        <v>0</v>
      </c>
      <c r="P161">
        <f t="shared" si="16"/>
        <v>0</v>
      </c>
      <c r="Q161" s="4">
        <f>SUMIF(Visits!$E$2:$E$90,'User Engagement'!$A161,Visits!$T$2:$T$90)</f>
        <v>0</v>
      </c>
      <c r="R161" s="4">
        <f>SUMIFS(Visits!$T$2:$T$90,Visits!$E$2:$E$90,'User Engagement'!$A161,Visits!$AF$2:$AF$90,"&gt;3/28/24")</f>
        <v>0</v>
      </c>
      <c r="S161" s="13" t="e">
        <f t="shared" si="17"/>
        <v>#DIV/0!</v>
      </c>
      <c r="T161" s="13" t="str">
        <f t="shared" si="18"/>
        <v>n/a</v>
      </c>
    </row>
    <row r="162" spans="1:20" ht="15.95">
      <c r="A162">
        <f>Users!A159</f>
        <v>0</v>
      </c>
      <c r="B162" s="23"/>
      <c r="C162" s="23"/>
      <c r="D162" s="1" cm="1">
        <f t="array" ref="D162">MAX(_xlfn._xlws.FILTER(Visits!AF:AF,Visits!E:E='User Engagement'!A162))</f>
        <v>45434</v>
      </c>
      <c r="E162">
        <f>COUNTIF(Visits!$E$2:$E$993,'User Engagement'!$A162)</f>
        <v>0</v>
      </c>
      <c r="F162">
        <f>COUNTIFS(Visits!$E$2:$E$993,'User Engagement'!$A163,Visits!$AF$2:$AF$993,"&gt;"&amp;($B$1-7))</f>
        <v>0</v>
      </c>
      <c r="G162">
        <f>COUNTIFS(Visits!$E$2:$E$993,'User Engagement'!$A162,Visits!$AF$2:$AF$993,"&gt;"&amp;($B$1-30))</f>
        <v>0</v>
      </c>
      <c r="H162">
        <f>COUNTIFS(Visits!$E$2:$E$993,$A162,Visits!$AF$2:$AF$993,"&gt;"&amp;($B$1-60))-G162</f>
        <v>0</v>
      </c>
      <c r="I162">
        <f>COUNTIFS(Visits!$AG:$AG,'New Dashboard'!$A$22,Visits!$E:$E,'User Engagement'!$A162)</f>
        <v>0</v>
      </c>
      <c r="J162">
        <f>COUNTIFS(Visits!$AG:$AG,'New Dashboard'!$A$23,Visits!$E:$E,'User Engagement'!$A162)</f>
        <v>0</v>
      </c>
      <c r="K162">
        <f>COUNTIFS(Visits!$AG:$AG,'New Dashboard'!$A$24,Visits!$E:$E,'User Engagement'!$A162)</f>
        <v>0</v>
      </c>
      <c r="L162">
        <f>COUNTIFS(Visits!$AG:$AG,'New Dashboard'!$A$25,Visits!$E:$E,'User Engagement'!$A162)</f>
        <v>0</v>
      </c>
      <c r="M162">
        <f t="shared" si="19"/>
        <v>1</v>
      </c>
      <c r="N162">
        <f t="shared" si="20"/>
        <v>0</v>
      </c>
      <c r="O162">
        <f t="shared" si="20"/>
        <v>0</v>
      </c>
      <c r="P162">
        <f t="shared" si="16"/>
        <v>0</v>
      </c>
      <c r="Q162" s="4">
        <f>SUMIF(Visits!$E$2:$E$90,'User Engagement'!$A162,Visits!$T$2:$T$90)</f>
        <v>0</v>
      </c>
      <c r="R162" s="4">
        <f>SUMIFS(Visits!$T$2:$T$90,Visits!$E$2:$E$90,'User Engagement'!$A162,Visits!$AF$2:$AF$90,"&gt;3/28/24")</f>
        <v>0</v>
      </c>
      <c r="S162" s="13" t="e">
        <f t="shared" si="17"/>
        <v>#DIV/0!</v>
      </c>
      <c r="T162" s="13" t="str">
        <f t="shared" si="18"/>
        <v>n/a</v>
      </c>
    </row>
    <row r="163" spans="1:20" ht="15.95">
      <c r="A163">
        <f>Users!A160</f>
        <v>0</v>
      </c>
      <c r="B163" s="23"/>
      <c r="C163" s="23"/>
      <c r="D163" s="1" cm="1">
        <f t="array" ref="D163">MAX(_xlfn._xlws.FILTER(Visits!AF:AF,Visits!E:E='User Engagement'!A163))</f>
        <v>45434</v>
      </c>
      <c r="E163">
        <f>COUNTIF(Visits!$E$2:$E$993,'User Engagement'!$A163)</f>
        <v>0</v>
      </c>
      <c r="F163">
        <f>COUNTIFS(Visits!$E$2:$E$993,'User Engagement'!$A164,Visits!$AF$2:$AF$993,"&gt;"&amp;($B$1-7))</f>
        <v>0</v>
      </c>
      <c r="G163">
        <f>COUNTIFS(Visits!$E$2:$E$993,'User Engagement'!$A163,Visits!$AF$2:$AF$993,"&gt;"&amp;($B$1-30))</f>
        <v>0</v>
      </c>
      <c r="H163">
        <f>COUNTIFS(Visits!$E$2:$E$993,$A163,Visits!$AF$2:$AF$993,"&gt;"&amp;($B$1-60))-G163</f>
        <v>0</v>
      </c>
      <c r="I163">
        <f>COUNTIFS(Visits!$AG:$AG,'New Dashboard'!$A$22,Visits!$E:$E,'User Engagement'!$A163)</f>
        <v>0</v>
      </c>
      <c r="J163">
        <f>COUNTIFS(Visits!$AG:$AG,'New Dashboard'!$A$23,Visits!$E:$E,'User Engagement'!$A163)</f>
        <v>0</v>
      </c>
      <c r="K163">
        <f>COUNTIFS(Visits!$AG:$AG,'New Dashboard'!$A$24,Visits!$E:$E,'User Engagement'!$A163)</f>
        <v>0</v>
      </c>
      <c r="L163">
        <f>COUNTIFS(Visits!$AG:$AG,'New Dashboard'!$A$25,Visits!$E:$E,'User Engagement'!$A163)</f>
        <v>0</v>
      </c>
      <c r="M163">
        <f t="shared" si="19"/>
        <v>1</v>
      </c>
      <c r="N163">
        <f t="shared" si="20"/>
        <v>0</v>
      </c>
      <c r="O163">
        <f t="shared" si="20"/>
        <v>0</v>
      </c>
      <c r="P163">
        <f t="shared" si="16"/>
        <v>0</v>
      </c>
      <c r="Q163" s="4">
        <f>SUMIF(Visits!$E$2:$E$90,'User Engagement'!$A163,Visits!$T$2:$T$90)</f>
        <v>0</v>
      </c>
      <c r="R163" s="4">
        <f>SUMIFS(Visits!$T$2:$T$90,Visits!$E$2:$E$90,'User Engagement'!$A163,Visits!$AF$2:$AF$90,"&gt;3/28/24")</f>
        <v>0</v>
      </c>
      <c r="S163" s="13" t="e">
        <f t="shared" si="17"/>
        <v>#DIV/0!</v>
      </c>
      <c r="T163" s="13" t="str">
        <f t="shared" si="18"/>
        <v>n/a</v>
      </c>
    </row>
    <row r="164" spans="1:20" ht="15.95">
      <c r="A164">
        <f>Users!A161</f>
        <v>0</v>
      </c>
      <c r="B164" s="23"/>
      <c r="C164" s="23"/>
      <c r="D164" s="1" cm="1">
        <f t="array" ref="D164">MAX(_xlfn._xlws.FILTER(Visits!AF:AF,Visits!E:E='User Engagement'!A164))</f>
        <v>45434</v>
      </c>
      <c r="E164">
        <f>COUNTIF(Visits!$E$2:$E$993,'User Engagement'!$A164)</f>
        <v>0</v>
      </c>
      <c r="F164">
        <f>COUNTIFS(Visits!$E$2:$E$993,'User Engagement'!$A165,Visits!$AF$2:$AF$993,"&gt;"&amp;($B$1-7))</f>
        <v>0</v>
      </c>
      <c r="G164">
        <f>COUNTIFS(Visits!$E$2:$E$993,'User Engagement'!$A164,Visits!$AF$2:$AF$993,"&gt;"&amp;($B$1-30))</f>
        <v>0</v>
      </c>
      <c r="H164">
        <f>COUNTIFS(Visits!$E$2:$E$993,$A164,Visits!$AF$2:$AF$993,"&gt;"&amp;($B$1-60))-G164</f>
        <v>0</v>
      </c>
      <c r="I164">
        <f>COUNTIFS(Visits!$AG:$AG,'New Dashboard'!$A$22,Visits!$E:$E,'User Engagement'!$A164)</f>
        <v>0</v>
      </c>
      <c r="J164">
        <f>COUNTIFS(Visits!$AG:$AG,'New Dashboard'!$A$23,Visits!$E:$E,'User Engagement'!$A164)</f>
        <v>0</v>
      </c>
      <c r="K164">
        <f>COUNTIFS(Visits!$AG:$AG,'New Dashboard'!$A$24,Visits!$E:$E,'User Engagement'!$A164)</f>
        <v>0</v>
      </c>
      <c r="L164">
        <f>COUNTIFS(Visits!$AG:$AG,'New Dashboard'!$A$25,Visits!$E:$E,'User Engagement'!$A164)</f>
        <v>0</v>
      </c>
      <c r="M164">
        <f t="shared" si="19"/>
        <v>1</v>
      </c>
      <c r="N164">
        <f t="shared" si="20"/>
        <v>0</v>
      </c>
      <c r="O164">
        <f t="shared" si="20"/>
        <v>0</v>
      </c>
      <c r="P164">
        <f t="shared" si="16"/>
        <v>0</v>
      </c>
      <c r="Q164" s="4">
        <f>SUMIF(Visits!$E$2:$E$90,'User Engagement'!$A164,Visits!$T$2:$T$90)</f>
        <v>0</v>
      </c>
      <c r="R164" s="4">
        <f>SUMIFS(Visits!$T$2:$T$90,Visits!$E$2:$E$90,'User Engagement'!$A164,Visits!$AF$2:$AF$90,"&gt;3/28/24")</f>
        <v>0</v>
      </c>
      <c r="S164" s="13" t="e">
        <f t="shared" si="17"/>
        <v>#DIV/0!</v>
      </c>
      <c r="T164" s="13" t="str">
        <f t="shared" si="18"/>
        <v>n/a</v>
      </c>
    </row>
    <row r="165" spans="1:20" ht="15.95">
      <c r="A165">
        <f>Users!A162</f>
        <v>0</v>
      </c>
      <c r="B165" s="23"/>
      <c r="C165" s="23"/>
      <c r="D165" s="1" cm="1">
        <f t="array" ref="D165">MAX(_xlfn._xlws.FILTER(Visits!AF:AF,Visits!E:E='User Engagement'!A165))</f>
        <v>45434</v>
      </c>
      <c r="E165">
        <f>COUNTIF(Visits!$E$2:$E$993,'User Engagement'!$A165)</f>
        <v>0</v>
      </c>
      <c r="F165">
        <f>COUNTIFS(Visits!$E$2:$E$993,'User Engagement'!$A166,Visits!$AF$2:$AF$993,"&gt;"&amp;($B$1-7))</f>
        <v>0</v>
      </c>
      <c r="G165">
        <f>COUNTIFS(Visits!$E$2:$E$993,'User Engagement'!$A165,Visits!$AF$2:$AF$993,"&gt;"&amp;($B$1-30))</f>
        <v>0</v>
      </c>
      <c r="H165">
        <f>COUNTIFS(Visits!$E$2:$E$993,$A165,Visits!$AF$2:$AF$993,"&gt;"&amp;($B$1-60))-G165</f>
        <v>0</v>
      </c>
      <c r="I165">
        <f>COUNTIFS(Visits!$AG:$AG,'New Dashboard'!$A$22,Visits!$E:$E,'User Engagement'!$A165)</f>
        <v>0</v>
      </c>
      <c r="J165">
        <f>COUNTIFS(Visits!$AG:$AG,'New Dashboard'!$A$23,Visits!$E:$E,'User Engagement'!$A165)</f>
        <v>0</v>
      </c>
      <c r="K165">
        <f>COUNTIFS(Visits!$AG:$AG,'New Dashboard'!$A$24,Visits!$E:$E,'User Engagement'!$A165)</f>
        <v>0</v>
      </c>
      <c r="L165">
        <f>COUNTIFS(Visits!$AG:$AG,'New Dashboard'!$A$25,Visits!$E:$E,'User Engagement'!$A165)</f>
        <v>0</v>
      </c>
      <c r="M165">
        <f t="shared" si="19"/>
        <v>1</v>
      </c>
      <c r="N165">
        <f t="shared" si="20"/>
        <v>0</v>
      </c>
      <c r="O165">
        <f t="shared" si="20"/>
        <v>0</v>
      </c>
      <c r="P165">
        <f t="shared" si="16"/>
        <v>0</v>
      </c>
      <c r="Q165" s="4">
        <f>SUMIF(Visits!$E$2:$E$90,'User Engagement'!$A165,Visits!$T$2:$T$90)</f>
        <v>0</v>
      </c>
      <c r="R165" s="4">
        <f>SUMIFS(Visits!$T$2:$T$90,Visits!$E$2:$E$90,'User Engagement'!$A165,Visits!$AF$2:$AF$90,"&gt;3/28/24")</f>
        <v>0</v>
      </c>
      <c r="S165" s="13" t="e">
        <f t="shared" si="17"/>
        <v>#DIV/0!</v>
      </c>
      <c r="T165" s="13" t="str">
        <f t="shared" si="18"/>
        <v>n/a</v>
      </c>
    </row>
    <row r="166" spans="1:20" ht="15.95">
      <c r="A166">
        <f>Users!A163</f>
        <v>0</v>
      </c>
      <c r="B166" s="23"/>
      <c r="C166" s="23"/>
      <c r="D166" s="1" cm="1">
        <f t="array" ref="D166">MAX(_xlfn._xlws.FILTER(Visits!AF:AF,Visits!E:E='User Engagement'!A166))</f>
        <v>45434</v>
      </c>
      <c r="E166">
        <f>COUNTIF(Visits!$E$2:$E$993,'User Engagement'!$A166)</f>
        <v>0</v>
      </c>
      <c r="F166">
        <f>COUNTIFS(Visits!$E$2:$E$993,'User Engagement'!$A167,Visits!$AF$2:$AF$993,"&gt;"&amp;($B$1-7))</f>
        <v>0</v>
      </c>
      <c r="G166">
        <f>COUNTIFS(Visits!$E$2:$E$993,'User Engagement'!$A166,Visits!$AF$2:$AF$993,"&gt;"&amp;($B$1-30))</f>
        <v>0</v>
      </c>
      <c r="H166">
        <f>COUNTIFS(Visits!$E$2:$E$993,$A166,Visits!$AF$2:$AF$993,"&gt;"&amp;($B$1-60))-G166</f>
        <v>0</v>
      </c>
      <c r="I166">
        <f>COUNTIFS(Visits!$AG:$AG,'New Dashboard'!$A$22,Visits!$E:$E,'User Engagement'!$A166)</f>
        <v>0</v>
      </c>
      <c r="J166">
        <f>COUNTIFS(Visits!$AG:$AG,'New Dashboard'!$A$23,Visits!$E:$E,'User Engagement'!$A166)</f>
        <v>0</v>
      </c>
      <c r="K166">
        <f>COUNTIFS(Visits!$AG:$AG,'New Dashboard'!$A$24,Visits!$E:$E,'User Engagement'!$A166)</f>
        <v>0</v>
      </c>
      <c r="L166">
        <f>COUNTIFS(Visits!$AG:$AG,'New Dashboard'!$A$25,Visits!$E:$E,'User Engagement'!$A166)</f>
        <v>0</v>
      </c>
      <c r="M166">
        <f t="shared" si="19"/>
        <v>1</v>
      </c>
      <c r="N166">
        <f t="shared" si="20"/>
        <v>0</v>
      </c>
      <c r="O166">
        <f t="shared" si="20"/>
        <v>0</v>
      </c>
      <c r="P166">
        <f t="shared" si="16"/>
        <v>0</v>
      </c>
      <c r="Q166" s="4">
        <f>SUMIF(Visits!$E$2:$E$90,'User Engagement'!$A166,Visits!$T$2:$T$90)</f>
        <v>0</v>
      </c>
      <c r="R166" s="4">
        <f>SUMIFS(Visits!$T$2:$T$90,Visits!$E$2:$E$90,'User Engagement'!$A166,Visits!$AF$2:$AF$90,"&gt;3/28/24")</f>
        <v>0</v>
      </c>
      <c r="S166" s="13" t="e">
        <f t="shared" si="17"/>
        <v>#DIV/0!</v>
      </c>
      <c r="T166" s="13" t="str">
        <f t="shared" si="18"/>
        <v>n/a</v>
      </c>
    </row>
    <row r="167" spans="1:20" ht="15.95">
      <c r="A167">
        <f>Users!A164</f>
        <v>0</v>
      </c>
      <c r="B167" s="23"/>
      <c r="C167" s="23"/>
      <c r="D167" s="1" cm="1">
        <f t="array" ref="D167">MAX(_xlfn._xlws.FILTER(Visits!AF:AF,Visits!E:E='User Engagement'!A167))</f>
        <v>45434</v>
      </c>
      <c r="E167">
        <f>COUNTIF(Visits!$E$2:$E$993,'User Engagement'!$A167)</f>
        <v>0</v>
      </c>
      <c r="F167">
        <f>COUNTIFS(Visits!$E$2:$E$993,'User Engagement'!$A168,Visits!$AF$2:$AF$993,"&gt;"&amp;($B$1-7))</f>
        <v>0</v>
      </c>
      <c r="G167">
        <f>COUNTIFS(Visits!$E$2:$E$993,'User Engagement'!$A167,Visits!$AF$2:$AF$993,"&gt;"&amp;($B$1-30))</f>
        <v>0</v>
      </c>
      <c r="H167">
        <f>COUNTIFS(Visits!$E$2:$E$993,$A167,Visits!$AF$2:$AF$993,"&gt;"&amp;($B$1-60))-G167</f>
        <v>0</v>
      </c>
      <c r="I167">
        <f>COUNTIFS(Visits!$AG:$AG,'New Dashboard'!$A$22,Visits!$E:$E,'User Engagement'!$A167)</f>
        <v>0</v>
      </c>
      <c r="J167">
        <f>COUNTIFS(Visits!$AG:$AG,'New Dashboard'!$A$23,Visits!$E:$E,'User Engagement'!$A167)</f>
        <v>0</v>
      </c>
      <c r="K167">
        <f>COUNTIFS(Visits!$AG:$AG,'New Dashboard'!$A$24,Visits!$E:$E,'User Engagement'!$A167)</f>
        <v>0</v>
      </c>
      <c r="L167">
        <f>COUNTIFS(Visits!$AG:$AG,'New Dashboard'!$A$25,Visits!$E:$E,'User Engagement'!$A167)</f>
        <v>0</v>
      </c>
      <c r="M167">
        <f t="shared" si="19"/>
        <v>1</v>
      </c>
      <c r="N167">
        <f t="shared" si="20"/>
        <v>0</v>
      </c>
      <c r="O167">
        <f t="shared" si="20"/>
        <v>0</v>
      </c>
      <c r="P167">
        <f t="shared" si="16"/>
        <v>0</v>
      </c>
      <c r="Q167" s="4">
        <f>SUMIF(Visits!$E$2:$E$90,'User Engagement'!$A167,Visits!$T$2:$T$90)</f>
        <v>0</v>
      </c>
      <c r="R167" s="4">
        <f>SUMIFS(Visits!$T$2:$T$90,Visits!$E$2:$E$90,'User Engagement'!$A167,Visits!$AF$2:$AF$90,"&gt;3/28/24")</f>
        <v>0</v>
      </c>
      <c r="S167" s="13" t="e">
        <f t="shared" si="17"/>
        <v>#DIV/0!</v>
      </c>
      <c r="T167" s="13" t="str">
        <f t="shared" si="18"/>
        <v>n/a</v>
      </c>
    </row>
    <row r="168" spans="1:20" ht="15.95">
      <c r="A168">
        <f>Users!A165</f>
        <v>0</v>
      </c>
      <c r="B168" s="23"/>
      <c r="C168" s="23"/>
      <c r="D168" s="1" cm="1">
        <f t="array" ref="D168">MAX(_xlfn._xlws.FILTER(Visits!AF:AF,Visits!E:E='User Engagement'!A168))</f>
        <v>45434</v>
      </c>
      <c r="E168">
        <f>COUNTIF(Visits!$E$2:$E$993,'User Engagement'!$A168)</f>
        <v>0</v>
      </c>
      <c r="F168">
        <f>COUNTIFS(Visits!$E$2:$E$993,'User Engagement'!$A169,Visits!$AF$2:$AF$993,"&gt;"&amp;($B$1-7))</f>
        <v>0</v>
      </c>
      <c r="G168">
        <f>COUNTIFS(Visits!$E$2:$E$993,'User Engagement'!$A168,Visits!$AF$2:$AF$993,"&gt;"&amp;($B$1-30))</f>
        <v>0</v>
      </c>
      <c r="H168">
        <f>COUNTIFS(Visits!$E$2:$E$993,$A168,Visits!$AF$2:$AF$993,"&gt;"&amp;($B$1-60))-G168</f>
        <v>0</v>
      </c>
      <c r="I168">
        <f>COUNTIFS(Visits!$AG:$AG,'New Dashboard'!$A$22,Visits!$E:$E,'User Engagement'!$A168)</f>
        <v>0</v>
      </c>
      <c r="J168">
        <f>COUNTIFS(Visits!$AG:$AG,'New Dashboard'!$A$23,Visits!$E:$E,'User Engagement'!$A168)</f>
        <v>0</v>
      </c>
      <c r="K168">
        <f>COUNTIFS(Visits!$AG:$AG,'New Dashboard'!$A$24,Visits!$E:$E,'User Engagement'!$A168)</f>
        <v>0</v>
      </c>
      <c r="L168">
        <f>COUNTIFS(Visits!$AG:$AG,'New Dashboard'!$A$25,Visits!$E:$E,'User Engagement'!$A168)</f>
        <v>0</v>
      </c>
      <c r="M168">
        <f t="shared" si="19"/>
        <v>1</v>
      </c>
      <c r="N168">
        <f t="shared" si="20"/>
        <v>0</v>
      </c>
      <c r="O168">
        <f t="shared" si="20"/>
        <v>0</v>
      </c>
      <c r="P168">
        <f t="shared" si="16"/>
        <v>0</v>
      </c>
      <c r="Q168" s="4">
        <f>SUMIF(Visits!$E$2:$E$90,'User Engagement'!$A168,Visits!$T$2:$T$90)</f>
        <v>0</v>
      </c>
      <c r="R168" s="4">
        <f>SUMIFS(Visits!$T$2:$T$90,Visits!$E$2:$E$90,'User Engagement'!$A168,Visits!$AF$2:$AF$90,"&gt;3/28/24")</f>
        <v>0</v>
      </c>
      <c r="S168" s="13" t="e">
        <f t="shared" si="17"/>
        <v>#DIV/0!</v>
      </c>
      <c r="T168" s="13" t="str">
        <f t="shared" si="18"/>
        <v>n/a</v>
      </c>
    </row>
    <row r="169" spans="1:20" ht="15.95">
      <c r="A169">
        <f>Users!A166</f>
        <v>0</v>
      </c>
      <c r="B169" s="23"/>
      <c r="C169" s="23"/>
      <c r="D169" s="1" cm="1">
        <f t="array" ref="D169">MAX(_xlfn._xlws.FILTER(Visits!AF:AF,Visits!E:E='User Engagement'!A169))</f>
        <v>45434</v>
      </c>
      <c r="E169">
        <f>COUNTIF(Visits!$E$2:$E$993,'User Engagement'!$A169)</f>
        <v>0</v>
      </c>
      <c r="F169">
        <f>COUNTIFS(Visits!$E$2:$E$993,'User Engagement'!$A170,Visits!$AF$2:$AF$993,"&gt;"&amp;($B$1-7))</f>
        <v>0</v>
      </c>
      <c r="G169">
        <f>COUNTIFS(Visits!$E$2:$E$993,'User Engagement'!$A169,Visits!$AF$2:$AF$993,"&gt;"&amp;($B$1-30))</f>
        <v>0</v>
      </c>
      <c r="H169">
        <f>COUNTIFS(Visits!$E$2:$E$993,$A169,Visits!$AF$2:$AF$993,"&gt;"&amp;($B$1-60))-G169</f>
        <v>0</v>
      </c>
      <c r="I169">
        <f>COUNTIFS(Visits!$AG:$AG,'New Dashboard'!$A$22,Visits!$E:$E,'User Engagement'!$A169)</f>
        <v>0</v>
      </c>
      <c r="J169">
        <f>COUNTIFS(Visits!$AG:$AG,'New Dashboard'!$A$23,Visits!$E:$E,'User Engagement'!$A169)</f>
        <v>0</v>
      </c>
      <c r="K169">
        <f>COUNTIFS(Visits!$AG:$AG,'New Dashboard'!$A$24,Visits!$E:$E,'User Engagement'!$A169)</f>
        <v>0</v>
      </c>
      <c r="L169">
        <f>COUNTIFS(Visits!$AG:$AG,'New Dashboard'!$A$25,Visits!$E:$E,'User Engagement'!$A169)</f>
        <v>0</v>
      </c>
      <c r="M169">
        <f t="shared" si="19"/>
        <v>1</v>
      </c>
      <c r="N169">
        <f t="shared" si="20"/>
        <v>0</v>
      </c>
      <c r="O169">
        <f t="shared" si="20"/>
        <v>0</v>
      </c>
      <c r="P169">
        <f t="shared" si="16"/>
        <v>0</v>
      </c>
      <c r="Q169" s="4">
        <f>SUMIF(Visits!$E$2:$E$90,'User Engagement'!$A169,Visits!$T$2:$T$90)</f>
        <v>0</v>
      </c>
      <c r="R169" s="4">
        <f>SUMIFS(Visits!$T$2:$T$90,Visits!$E$2:$E$90,'User Engagement'!$A169,Visits!$AF$2:$AF$90,"&gt;3/28/24")</f>
        <v>0</v>
      </c>
      <c r="S169" s="13" t="e">
        <f t="shared" si="17"/>
        <v>#DIV/0!</v>
      </c>
      <c r="T169" s="13" t="str">
        <f t="shared" si="18"/>
        <v>n/a</v>
      </c>
    </row>
    <row r="170" spans="1:20" ht="15.95">
      <c r="A170">
        <f>Users!A167</f>
        <v>0</v>
      </c>
      <c r="B170" s="23"/>
      <c r="C170" s="23"/>
      <c r="D170" s="1" cm="1">
        <f t="array" ref="D170">MAX(_xlfn._xlws.FILTER(Visits!AF:AF,Visits!E:E='User Engagement'!A170))</f>
        <v>45434</v>
      </c>
      <c r="E170">
        <f>COUNTIF(Visits!$E$2:$E$993,'User Engagement'!$A170)</f>
        <v>0</v>
      </c>
      <c r="F170">
        <f>COUNTIFS(Visits!$E$2:$E$993,'User Engagement'!$A171,Visits!$AF$2:$AF$993,"&gt;"&amp;($B$1-7))</f>
        <v>0</v>
      </c>
      <c r="G170">
        <f>COUNTIFS(Visits!$E$2:$E$993,'User Engagement'!$A170,Visits!$AF$2:$AF$993,"&gt;"&amp;($B$1-30))</f>
        <v>0</v>
      </c>
      <c r="H170">
        <f>COUNTIFS(Visits!$E$2:$E$993,$A170,Visits!$AF$2:$AF$993,"&gt;"&amp;($B$1-60))-G170</f>
        <v>0</v>
      </c>
      <c r="I170">
        <f>COUNTIFS(Visits!$AG:$AG,'New Dashboard'!$A$22,Visits!$E:$E,'User Engagement'!$A170)</f>
        <v>0</v>
      </c>
      <c r="J170">
        <f>COUNTIFS(Visits!$AG:$AG,'New Dashboard'!$A$23,Visits!$E:$E,'User Engagement'!$A170)</f>
        <v>0</v>
      </c>
      <c r="K170">
        <f>COUNTIFS(Visits!$AG:$AG,'New Dashboard'!$A$24,Visits!$E:$E,'User Engagement'!$A170)</f>
        <v>0</v>
      </c>
      <c r="L170">
        <f>COUNTIFS(Visits!$AG:$AG,'New Dashboard'!$A$25,Visits!$E:$E,'User Engagement'!$A170)</f>
        <v>0</v>
      </c>
      <c r="M170">
        <f t="shared" si="19"/>
        <v>1</v>
      </c>
      <c r="N170">
        <f t="shared" si="20"/>
        <v>0</v>
      </c>
      <c r="O170">
        <f t="shared" si="20"/>
        <v>0</v>
      </c>
      <c r="P170">
        <f t="shared" si="16"/>
        <v>0</v>
      </c>
      <c r="Q170" s="4">
        <f>SUMIF(Visits!$E$2:$E$90,'User Engagement'!$A170,Visits!$T$2:$T$90)</f>
        <v>0</v>
      </c>
      <c r="R170" s="4">
        <f>SUMIFS(Visits!$T$2:$T$90,Visits!$E$2:$E$90,'User Engagement'!$A170,Visits!$AF$2:$AF$90,"&gt;3/28/24")</f>
        <v>0</v>
      </c>
      <c r="S170" s="13" t="e">
        <f t="shared" si="17"/>
        <v>#DIV/0!</v>
      </c>
      <c r="T170" s="13" t="str">
        <f t="shared" si="18"/>
        <v>n/a</v>
      </c>
    </row>
    <row r="171" spans="1:20" ht="15.95">
      <c r="A171">
        <f>Users!A168</f>
        <v>0</v>
      </c>
      <c r="B171" s="23"/>
      <c r="C171" s="23"/>
      <c r="D171" s="1" cm="1">
        <f t="array" ref="D171">MAX(_xlfn._xlws.FILTER(Visits!AF:AF,Visits!E:E='User Engagement'!A171))</f>
        <v>45434</v>
      </c>
      <c r="E171">
        <f>COUNTIF(Visits!$E$2:$E$993,'User Engagement'!$A171)</f>
        <v>0</v>
      </c>
      <c r="F171">
        <f>COUNTIFS(Visits!$E$2:$E$993,'User Engagement'!$A172,Visits!$AF$2:$AF$993,"&gt;"&amp;($B$1-7))</f>
        <v>0</v>
      </c>
      <c r="G171">
        <f>COUNTIFS(Visits!$E$2:$E$993,'User Engagement'!$A171,Visits!$AF$2:$AF$993,"&gt;"&amp;($B$1-30))</f>
        <v>0</v>
      </c>
      <c r="H171">
        <f>COUNTIFS(Visits!$E$2:$E$993,$A171,Visits!$AF$2:$AF$993,"&gt;"&amp;($B$1-60))-G171</f>
        <v>0</v>
      </c>
      <c r="I171">
        <f>COUNTIFS(Visits!$AG:$AG,'New Dashboard'!$A$22,Visits!$E:$E,'User Engagement'!$A171)</f>
        <v>0</v>
      </c>
      <c r="J171">
        <f>COUNTIFS(Visits!$AG:$AG,'New Dashboard'!$A$23,Visits!$E:$E,'User Engagement'!$A171)</f>
        <v>0</v>
      </c>
      <c r="K171">
        <f>COUNTIFS(Visits!$AG:$AG,'New Dashboard'!$A$24,Visits!$E:$E,'User Engagement'!$A171)</f>
        <v>0</v>
      </c>
      <c r="L171">
        <f>COUNTIFS(Visits!$AG:$AG,'New Dashboard'!$A$25,Visits!$E:$E,'User Engagement'!$A171)</f>
        <v>0</v>
      </c>
      <c r="M171">
        <f t="shared" si="19"/>
        <v>1</v>
      </c>
      <c r="N171">
        <f t="shared" si="20"/>
        <v>0</v>
      </c>
      <c r="O171">
        <f t="shared" si="20"/>
        <v>0</v>
      </c>
      <c r="P171">
        <f t="shared" si="16"/>
        <v>0</v>
      </c>
      <c r="Q171" s="4">
        <f>SUMIF(Visits!$E$2:$E$90,'User Engagement'!$A171,Visits!$T$2:$T$90)</f>
        <v>0</v>
      </c>
      <c r="R171" s="4">
        <f>SUMIFS(Visits!$T$2:$T$90,Visits!$E$2:$E$90,'User Engagement'!$A171,Visits!$AF$2:$AF$90,"&gt;3/28/24")</f>
        <v>0</v>
      </c>
      <c r="S171" s="13" t="e">
        <f t="shared" si="17"/>
        <v>#DIV/0!</v>
      </c>
      <c r="T171" s="13" t="str">
        <f t="shared" si="18"/>
        <v>n/a</v>
      </c>
    </row>
    <row r="172" spans="1:20" ht="15.95">
      <c r="A172">
        <f>Users!A169</f>
        <v>0</v>
      </c>
      <c r="B172" s="23"/>
      <c r="C172" s="23"/>
      <c r="D172" s="1" cm="1">
        <f t="array" ref="D172">MAX(_xlfn._xlws.FILTER(Visits!AF:AF,Visits!E:E='User Engagement'!A172))</f>
        <v>45434</v>
      </c>
      <c r="E172">
        <f>COUNTIF(Visits!$E$2:$E$993,'User Engagement'!$A172)</f>
        <v>0</v>
      </c>
      <c r="F172">
        <f>COUNTIFS(Visits!$E$2:$E$993,'User Engagement'!$A173,Visits!$AF$2:$AF$993,"&gt;"&amp;($B$1-7))</f>
        <v>0</v>
      </c>
      <c r="G172">
        <f>COUNTIFS(Visits!$E$2:$E$993,'User Engagement'!$A172,Visits!$AF$2:$AF$993,"&gt;"&amp;($B$1-30))</f>
        <v>0</v>
      </c>
      <c r="H172">
        <f>COUNTIFS(Visits!$E$2:$E$993,$A172,Visits!$AF$2:$AF$993,"&gt;"&amp;($B$1-60))-G172</f>
        <v>0</v>
      </c>
      <c r="I172">
        <f>COUNTIFS(Visits!$AG:$AG,'New Dashboard'!$A$22,Visits!$E:$E,'User Engagement'!$A172)</f>
        <v>0</v>
      </c>
      <c r="J172">
        <f>COUNTIFS(Visits!$AG:$AG,'New Dashboard'!$A$23,Visits!$E:$E,'User Engagement'!$A172)</f>
        <v>0</v>
      </c>
      <c r="K172">
        <f>COUNTIFS(Visits!$AG:$AG,'New Dashboard'!$A$24,Visits!$E:$E,'User Engagement'!$A172)</f>
        <v>0</v>
      </c>
      <c r="L172">
        <f>COUNTIFS(Visits!$AG:$AG,'New Dashboard'!$A$25,Visits!$E:$E,'User Engagement'!$A172)</f>
        <v>0</v>
      </c>
      <c r="M172">
        <f t="shared" si="19"/>
        <v>1</v>
      </c>
      <c r="N172">
        <f t="shared" si="20"/>
        <v>0</v>
      </c>
      <c r="O172">
        <f t="shared" si="20"/>
        <v>0</v>
      </c>
      <c r="P172">
        <f t="shared" si="16"/>
        <v>0</v>
      </c>
      <c r="Q172" s="4">
        <f>SUMIF(Visits!$E$2:$E$90,'User Engagement'!$A172,Visits!$T$2:$T$90)</f>
        <v>0</v>
      </c>
      <c r="R172" s="4">
        <f>SUMIFS(Visits!$T$2:$T$90,Visits!$E$2:$E$90,'User Engagement'!$A172,Visits!$AF$2:$AF$90,"&gt;3/28/24")</f>
        <v>0</v>
      </c>
      <c r="S172" s="13" t="e">
        <f t="shared" si="17"/>
        <v>#DIV/0!</v>
      </c>
      <c r="T172" s="13" t="str">
        <f t="shared" si="18"/>
        <v>n/a</v>
      </c>
    </row>
    <row r="173" spans="1:20" ht="15.95">
      <c r="A173">
        <f>Users!A170</f>
        <v>0</v>
      </c>
      <c r="B173" s="23"/>
      <c r="C173" s="23"/>
      <c r="D173" s="1" cm="1">
        <f t="array" ref="D173">MAX(_xlfn._xlws.FILTER(Visits!AF:AF,Visits!E:E='User Engagement'!A173))</f>
        <v>45434</v>
      </c>
      <c r="E173">
        <f>COUNTIF(Visits!$E$2:$E$993,'User Engagement'!$A173)</f>
        <v>0</v>
      </c>
      <c r="F173">
        <f>COUNTIFS(Visits!$E$2:$E$993,'User Engagement'!$A174,Visits!$AF$2:$AF$993,"&gt;"&amp;($B$1-7))</f>
        <v>0</v>
      </c>
      <c r="G173">
        <f>COUNTIFS(Visits!$E$2:$E$993,'User Engagement'!$A173,Visits!$AF$2:$AF$993,"&gt;"&amp;($B$1-30))</f>
        <v>0</v>
      </c>
      <c r="H173">
        <f>COUNTIFS(Visits!$E$2:$E$993,$A173,Visits!$AF$2:$AF$993,"&gt;"&amp;($B$1-60))-G173</f>
        <v>0</v>
      </c>
      <c r="I173">
        <f>COUNTIFS(Visits!$AG:$AG,'New Dashboard'!$A$22,Visits!$E:$E,'User Engagement'!$A173)</f>
        <v>0</v>
      </c>
      <c r="J173">
        <f>COUNTIFS(Visits!$AG:$AG,'New Dashboard'!$A$23,Visits!$E:$E,'User Engagement'!$A173)</f>
        <v>0</v>
      </c>
      <c r="K173">
        <f>COUNTIFS(Visits!$AG:$AG,'New Dashboard'!$A$24,Visits!$E:$E,'User Engagement'!$A173)</f>
        <v>0</v>
      </c>
      <c r="L173">
        <f>COUNTIFS(Visits!$AG:$AG,'New Dashboard'!$A$25,Visits!$E:$E,'User Engagement'!$A173)</f>
        <v>0</v>
      </c>
      <c r="M173">
        <f t="shared" si="19"/>
        <v>1</v>
      </c>
      <c r="N173">
        <f t="shared" si="20"/>
        <v>0</v>
      </c>
      <c r="O173">
        <f t="shared" si="20"/>
        <v>0</v>
      </c>
      <c r="P173">
        <f t="shared" si="16"/>
        <v>0</v>
      </c>
      <c r="Q173" s="4">
        <f>SUMIF(Visits!$E$2:$E$90,'User Engagement'!$A173,Visits!$T$2:$T$90)</f>
        <v>0</v>
      </c>
      <c r="R173" s="4">
        <f>SUMIFS(Visits!$T$2:$T$90,Visits!$E$2:$E$90,'User Engagement'!$A173,Visits!$AF$2:$AF$90,"&gt;3/28/24")</f>
        <v>0</v>
      </c>
      <c r="S173" s="13" t="e">
        <f t="shared" si="17"/>
        <v>#DIV/0!</v>
      </c>
      <c r="T173" s="13" t="str">
        <f t="shared" si="18"/>
        <v>n/a</v>
      </c>
    </row>
    <row r="174" spans="1:20" ht="15.95">
      <c r="A174">
        <f>Users!A171</f>
        <v>0</v>
      </c>
      <c r="B174" s="23"/>
      <c r="C174" s="23"/>
      <c r="D174" s="1" cm="1">
        <f t="array" ref="D174">MAX(_xlfn._xlws.FILTER(Visits!AF:AF,Visits!E:E='User Engagement'!A174))</f>
        <v>45434</v>
      </c>
      <c r="E174">
        <f>COUNTIF(Visits!$E$2:$E$993,'User Engagement'!$A174)</f>
        <v>0</v>
      </c>
      <c r="F174">
        <f>COUNTIFS(Visits!$E$2:$E$993,'User Engagement'!$A175,Visits!$AF$2:$AF$993,"&gt;"&amp;($B$1-7))</f>
        <v>0</v>
      </c>
      <c r="G174">
        <f>COUNTIFS(Visits!$E$2:$E$993,'User Engagement'!$A174,Visits!$AF$2:$AF$993,"&gt;"&amp;($B$1-30))</f>
        <v>0</v>
      </c>
      <c r="H174">
        <f>COUNTIFS(Visits!$E$2:$E$993,$A174,Visits!$AF$2:$AF$993,"&gt;"&amp;($B$1-60))-G174</f>
        <v>0</v>
      </c>
      <c r="I174">
        <f>COUNTIFS(Visits!$AG:$AG,'New Dashboard'!$A$22,Visits!$E:$E,'User Engagement'!$A174)</f>
        <v>0</v>
      </c>
      <c r="J174">
        <f>COUNTIFS(Visits!$AG:$AG,'New Dashboard'!$A$23,Visits!$E:$E,'User Engagement'!$A174)</f>
        <v>0</v>
      </c>
      <c r="K174">
        <f>COUNTIFS(Visits!$AG:$AG,'New Dashboard'!$A$24,Visits!$E:$E,'User Engagement'!$A174)</f>
        <v>0</v>
      </c>
      <c r="L174">
        <f>COUNTIFS(Visits!$AG:$AG,'New Dashboard'!$A$25,Visits!$E:$E,'User Engagement'!$A174)</f>
        <v>0</v>
      </c>
      <c r="M174">
        <f t="shared" si="19"/>
        <v>1</v>
      </c>
      <c r="N174">
        <f t="shared" si="20"/>
        <v>0</v>
      </c>
      <c r="O174">
        <f t="shared" si="20"/>
        <v>0</v>
      </c>
      <c r="P174">
        <f t="shared" si="16"/>
        <v>0</v>
      </c>
      <c r="Q174" s="4">
        <f>SUMIF(Visits!$E$2:$E$90,'User Engagement'!$A174,Visits!$T$2:$T$90)</f>
        <v>0</v>
      </c>
      <c r="R174" s="4">
        <f>SUMIFS(Visits!$T$2:$T$90,Visits!$E$2:$E$90,'User Engagement'!$A174,Visits!$AF$2:$AF$90,"&gt;3/28/24")</f>
        <v>0</v>
      </c>
      <c r="S174" s="13" t="e">
        <f t="shared" si="17"/>
        <v>#DIV/0!</v>
      </c>
      <c r="T174" s="13" t="str">
        <f t="shared" si="18"/>
        <v>n/a</v>
      </c>
    </row>
    <row r="175" spans="1:20" ht="15.95">
      <c r="A175">
        <f>Users!A172</f>
        <v>0</v>
      </c>
      <c r="B175" s="23"/>
      <c r="C175" s="23"/>
      <c r="D175" s="1" cm="1">
        <f t="array" ref="D175">MAX(_xlfn._xlws.FILTER(Visits!AF:AF,Visits!E:E='User Engagement'!A175))</f>
        <v>45434</v>
      </c>
      <c r="E175">
        <f>COUNTIF(Visits!$E$2:$E$993,'User Engagement'!$A175)</f>
        <v>0</v>
      </c>
      <c r="F175">
        <f>COUNTIFS(Visits!$E$2:$E$993,'User Engagement'!$A176,Visits!$AF$2:$AF$993,"&gt;"&amp;($B$1-7))</f>
        <v>0</v>
      </c>
      <c r="G175">
        <f>COUNTIFS(Visits!$E$2:$E$993,'User Engagement'!$A175,Visits!$AF$2:$AF$993,"&gt;"&amp;($B$1-30))</f>
        <v>0</v>
      </c>
      <c r="H175">
        <f>COUNTIFS(Visits!$E$2:$E$993,$A175,Visits!$AF$2:$AF$993,"&gt;"&amp;($B$1-60))-G175</f>
        <v>0</v>
      </c>
      <c r="I175">
        <f>COUNTIFS(Visits!$AG:$AG,'New Dashboard'!$A$22,Visits!$E:$E,'User Engagement'!$A175)</f>
        <v>0</v>
      </c>
      <c r="J175">
        <f>COUNTIFS(Visits!$AG:$AG,'New Dashboard'!$A$23,Visits!$E:$E,'User Engagement'!$A175)</f>
        <v>0</v>
      </c>
      <c r="K175">
        <f>COUNTIFS(Visits!$AG:$AG,'New Dashboard'!$A$24,Visits!$E:$E,'User Engagement'!$A175)</f>
        <v>0</v>
      </c>
      <c r="L175">
        <f>COUNTIFS(Visits!$AG:$AG,'New Dashboard'!$A$25,Visits!$E:$E,'User Engagement'!$A175)</f>
        <v>0</v>
      </c>
      <c r="M175">
        <f t="shared" si="19"/>
        <v>1</v>
      </c>
      <c r="N175">
        <f t="shared" si="20"/>
        <v>0</v>
      </c>
      <c r="O175">
        <f t="shared" si="20"/>
        <v>0</v>
      </c>
      <c r="P175">
        <f t="shared" si="16"/>
        <v>0</v>
      </c>
      <c r="Q175" s="4">
        <f>SUMIF(Visits!$E$2:$E$90,'User Engagement'!$A175,Visits!$T$2:$T$90)</f>
        <v>0</v>
      </c>
      <c r="R175" s="4">
        <f>SUMIFS(Visits!$T$2:$T$90,Visits!$E$2:$E$90,'User Engagement'!$A175,Visits!$AF$2:$AF$90,"&gt;3/28/24")</f>
        <v>0</v>
      </c>
      <c r="S175" s="13" t="e">
        <f t="shared" si="17"/>
        <v>#DIV/0!</v>
      </c>
      <c r="T175" s="13" t="str">
        <f t="shared" si="18"/>
        <v>n/a</v>
      </c>
    </row>
    <row r="176" spans="1:20" ht="15.95">
      <c r="A176">
        <f>Users!A173</f>
        <v>0</v>
      </c>
      <c r="B176" s="23"/>
      <c r="C176" s="23"/>
      <c r="D176" s="1" cm="1">
        <f t="array" ref="D176">MAX(_xlfn._xlws.FILTER(Visits!AF:AF,Visits!E:E='User Engagement'!A176))</f>
        <v>45434</v>
      </c>
      <c r="E176">
        <f>COUNTIF(Visits!$E$2:$E$993,'User Engagement'!$A176)</f>
        <v>0</v>
      </c>
      <c r="F176">
        <f>COUNTIFS(Visits!$E$2:$E$993,'User Engagement'!$A177,Visits!$AF$2:$AF$993,"&gt;"&amp;($B$1-7))</f>
        <v>0</v>
      </c>
      <c r="G176">
        <f>COUNTIFS(Visits!$E$2:$E$993,'User Engagement'!$A176,Visits!$AF$2:$AF$993,"&gt;"&amp;($B$1-30))</f>
        <v>0</v>
      </c>
      <c r="H176">
        <f>COUNTIFS(Visits!$E$2:$E$993,$A176,Visits!$AF$2:$AF$993,"&gt;"&amp;($B$1-60))-G176</f>
        <v>0</v>
      </c>
      <c r="I176">
        <f>COUNTIFS(Visits!$AG:$AG,'New Dashboard'!$A$22,Visits!$E:$E,'User Engagement'!$A176)</f>
        <v>0</v>
      </c>
      <c r="J176">
        <f>COUNTIFS(Visits!$AG:$AG,'New Dashboard'!$A$23,Visits!$E:$E,'User Engagement'!$A176)</f>
        <v>0</v>
      </c>
      <c r="K176">
        <f>COUNTIFS(Visits!$AG:$AG,'New Dashboard'!$A$24,Visits!$E:$E,'User Engagement'!$A176)</f>
        <v>0</v>
      </c>
      <c r="L176">
        <f>COUNTIFS(Visits!$AG:$AG,'New Dashboard'!$A$25,Visits!$E:$E,'User Engagement'!$A176)</f>
        <v>0</v>
      </c>
      <c r="M176">
        <f t="shared" si="19"/>
        <v>1</v>
      </c>
      <c r="N176">
        <f t="shared" si="20"/>
        <v>0</v>
      </c>
      <c r="O176">
        <f t="shared" si="20"/>
        <v>0</v>
      </c>
      <c r="P176">
        <f t="shared" si="16"/>
        <v>0</v>
      </c>
      <c r="Q176" s="4">
        <f>SUMIF(Visits!$E$2:$E$90,'User Engagement'!$A176,Visits!$T$2:$T$90)</f>
        <v>0</v>
      </c>
      <c r="R176" s="4">
        <f>SUMIFS(Visits!$T$2:$T$90,Visits!$E$2:$E$90,'User Engagement'!$A176,Visits!$AF$2:$AF$90,"&gt;3/28/24")</f>
        <v>0</v>
      </c>
      <c r="S176" s="13" t="e">
        <f t="shared" si="17"/>
        <v>#DIV/0!</v>
      </c>
      <c r="T176" s="13" t="str">
        <f t="shared" si="18"/>
        <v>n/a</v>
      </c>
    </row>
    <row r="177" spans="1:20" ht="15.95">
      <c r="A177">
        <f>Users!A174</f>
        <v>0</v>
      </c>
      <c r="B177" s="23"/>
      <c r="C177" s="23"/>
      <c r="D177" s="1" cm="1">
        <f t="array" ref="D177">MAX(_xlfn._xlws.FILTER(Visits!AF:AF,Visits!E:E='User Engagement'!A177))</f>
        <v>45434</v>
      </c>
      <c r="E177">
        <f>COUNTIF(Visits!$E$2:$E$993,'User Engagement'!$A177)</f>
        <v>0</v>
      </c>
      <c r="F177">
        <f>COUNTIFS(Visits!$E$2:$E$993,'User Engagement'!$A178,Visits!$AF$2:$AF$993,"&gt;"&amp;($B$1-7))</f>
        <v>0</v>
      </c>
      <c r="G177">
        <f>COUNTIFS(Visits!$E$2:$E$993,'User Engagement'!$A177,Visits!$AF$2:$AF$993,"&gt;"&amp;($B$1-30))</f>
        <v>0</v>
      </c>
      <c r="H177">
        <f>COUNTIFS(Visits!$E$2:$E$993,$A177,Visits!$AF$2:$AF$993,"&gt;"&amp;($B$1-60))-G177</f>
        <v>0</v>
      </c>
      <c r="I177">
        <f>COUNTIFS(Visits!$AG:$AG,'New Dashboard'!$A$22,Visits!$E:$E,'User Engagement'!$A177)</f>
        <v>0</v>
      </c>
      <c r="J177">
        <f>COUNTIFS(Visits!$AG:$AG,'New Dashboard'!$A$23,Visits!$E:$E,'User Engagement'!$A177)</f>
        <v>0</v>
      </c>
      <c r="K177">
        <f>COUNTIFS(Visits!$AG:$AG,'New Dashboard'!$A$24,Visits!$E:$E,'User Engagement'!$A177)</f>
        <v>0</v>
      </c>
      <c r="L177">
        <f>COUNTIFS(Visits!$AG:$AG,'New Dashboard'!$A$25,Visits!$E:$E,'User Engagement'!$A177)</f>
        <v>0</v>
      </c>
      <c r="M177">
        <f t="shared" si="19"/>
        <v>1</v>
      </c>
      <c r="N177">
        <f t="shared" si="20"/>
        <v>0</v>
      </c>
      <c r="O177">
        <f t="shared" si="20"/>
        <v>0</v>
      </c>
      <c r="P177">
        <f t="shared" si="16"/>
        <v>0</v>
      </c>
      <c r="Q177" s="4">
        <f>SUMIF(Visits!$E$2:$E$90,'User Engagement'!$A177,Visits!$T$2:$T$90)</f>
        <v>0</v>
      </c>
      <c r="R177" s="4">
        <f>SUMIFS(Visits!$T$2:$T$90,Visits!$E$2:$E$90,'User Engagement'!$A177,Visits!$AF$2:$AF$90,"&gt;3/28/24")</f>
        <v>0</v>
      </c>
      <c r="S177" s="13" t="e">
        <f t="shared" si="17"/>
        <v>#DIV/0!</v>
      </c>
      <c r="T177" s="13" t="str">
        <f t="shared" si="18"/>
        <v>n/a</v>
      </c>
    </row>
    <row r="178" spans="1:20" ht="15.95">
      <c r="A178">
        <f>Users!A175</f>
        <v>0</v>
      </c>
      <c r="B178" s="23"/>
      <c r="C178" s="23"/>
      <c r="D178" s="1" cm="1">
        <f t="array" ref="D178">MAX(_xlfn._xlws.FILTER(Visits!AF:AF,Visits!E:E='User Engagement'!A178))</f>
        <v>45434</v>
      </c>
      <c r="E178">
        <f>COUNTIF(Visits!$E$2:$E$993,'User Engagement'!$A178)</f>
        <v>0</v>
      </c>
      <c r="F178">
        <f>COUNTIFS(Visits!$E$2:$E$993,'User Engagement'!$A179,Visits!$AF$2:$AF$993,"&gt;"&amp;($B$1-7))</f>
        <v>0</v>
      </c>
      <c r="G178">
        <f>COUNTIFS(Visits!$E$2:$E$993,'User Engagement'!$A178,Visits!$AF$2:$AF$993,"&gt;"&amp;($B$1-30))</f>
        <v>0</v>
      </c>
      <c r="H178">
        <f>COUNTIFS(Visits!$E$2:$E$993,$A178,Visits!$AF$2:$AF$993,"&gt;"&amp;($B$1-60))-G178</f>
        <v>0</v>
      </c>
      <c r="I178">
        <f>COUNTIFS(Visits!$AG:$AG,'New Dashboard'!$A$22,Visits!$E:$E,'User Engagement'!$A178)</f>
        <v>0</v>
      </c>
      <c r="J178">
        <f>COUNTIFS(Visits!$AG:$AG,'New Dashboard'!$A$23,Visits!$E:$E,'User Engagement'!$A178)</f>
        <v>0</v>
      </c>
      <c r="K178">
        <f>COUNTIFS(Visits!$AG:$AG,'New Dashboard'!$A$24,Visits!$E:$E,'User Engagement'!$A178)</f>
        <v>0</v>
      </c>
      <c r="L178">
        <f>COUNTIFS(Visits!$AG:$AG,'New Dashboard'!$A$25,Visits!$E:$E,'User Engagement'!$A178)</f>
        <v>0</v>
      </c>
      <c r="M178">
        <f t="shared" si="19"/>
        <v>1</v>
      </c>
      <c r="N178">
        <f t="shared" si="20"/>
        <v>0</v>
      </c>
      <c r="O178">
        <f t="shared" si="20"/>
        <v>0</v>
      </c>
      <c r="P178">
        <f t="shared" si="16"/>
        <v>0</v>
      </c>
      <c r="Q178" s="4">
        <f>SUMIF(Visits!$E$2:$E$90,'User Engagement'!$A178,Visits!$T$2:$T$90)</f>
        <v>0</v>
      </c>
      <c r="R178" s="4">
        <f>SUMIFS(Visits!$T$2:$T$90,Visits!$E$2:$E$90,'User Engagement'!$A178,Visits!$AF$2:$AF$90,"&gt;3/28/24")</f>
        <v>0</v>
      </c>
      <c r="S178" s="13" t="e">
        <f t="shared" si="17"/>
        <v>#DIV/0!</v>
      </c>
      <c r="T178" s="13" t="str">
        <f t="shared" si="18"/>
        <v>n/a</v>
      </c>
    </row>
    <row r="179" spans="1:20" ht="15.95">
      <c r="A179">
        <f>Users!A176</f>
        <v>0</v>
      </c>
      <c r="B179" s="23"/>
      <c r="C179" s="23"/>
      <c r="D179" s="1" cm="1">
        <f t="array" ref="D179">MAX(_xlfn._xlws.FILTER(Visits!AF:AF,Visits!E:E='User Engagement'!A179))</f>
        <v>45434</v>
      </c>
      <c r="E179">
        <f>COUNTIF(Visits!$E$2:$E$993,'User Engagement'!$A179)</f>
        <v>0</v>
      </c>
      <c r="F179">
        <f>COUNTIFS(Visits!$E$2:$E$993,'User Engagement'!$A180,Visits!$AF$2:$AF$993,"&gt;"&amp;($B$1-7))</f>
        <v>0</v>
      </c>
      <c r="G179">
        <f>COUNTIFS(Visits!$E$2:$E$993,'User Engagement'!$A179,Visits!$AF$2:$AF$993,"&gt;"&amp;($B$1-30))</f>
        <v>0</v>
      </c>
      <c r="H179">
        <f>COUNTIFS(Visits!$E$2:$E$993,$A179,Visits!$AF$2:$AF$993,"&gt;"&amp;($B$1-60))-G179</f>
        <v>0</v>
      </c>
      <c r="I179">
        <f>COUNTIFS(Visits!$AG:$AG,'New Dashboard'!$A$22,Visits!$E:$E,'User Engagement'!$A179)</f>
        <v>0</v>
      </c>
      <c r="J179">
        <f>COUNTIFS(Visits!$AG:$AG,'New Dashboard'!$A$23,Visits!$E:$E,'User Engagement'!$A179)</f>
        <v>0</v>
      </c>
      <c r="K179">
        <f>COUNTIFS(Visits!$AG:$AG,'New Dashboard'!$A$24,Visits!$E:$E,'User Engagement'!$A179)</f>
        <v>0</v>
      </c>
      <c r="L179">
        <f>COUNTIFS(Visits!$AG:$AG,'New Dashboard'!$A$25,Visits!$E:$E,'User Engagement'!$A179)</f>
        <v>0</v>
      </c>
      <c r="M179">
        <f t="shared" si="19"/>
        <v>1</v>
      </c>
      <c r="N179">
        <f t="shared" si="20"/>
        <v>0</v>
      </c>
      <c r="O179">
        <f t="shared" si="20"/>
        <v>0</v>
      </c>
      <c r="P179">
        <f t="shared" si="16"/>
        <v>0</v>
      </c>
      <c r="Q179" s="4">
        <f>SUMIF(Visits!$E$2:$E$90,'User Engagement'!$A179,Visits!$T$2:$T$90)</f>
        <v>0</v>
      </c>
      <c r="R179" s="4">
        <f>SUMIFS(Visits!$T$2:$T$90,Visits!$E$2:$E$90,'User Engagement'!$A179,Visits!$AF$2:$AF$90,"&gt;3/28/24")</f>
        <v>0</v>
      </c>
      <c r="S179" s="13" t="e">
        <f t="shared" si="17"/>
        <v>#DIV/0!</v>
      </c>
      <c r="T179" s="13" t="str">
        <f t="shared" si="18"/>
        <v>n/a</v>
      </c>
    </row>
    <row r="180" spans="1:20" ht="15.95">
      <c r="A180">
        <f>Users!A177</f>
        <v>0</v>
      </c>
      <c r="B180" s="23"/>
      <c r="C180" s="23"/>
      <c r="D180" s="1" cm="1">
        <f t="array" ref="D180">MAX(_xlfn._xlws.FILTER(Visits!AF:AF,Visits!E:E='User Engagement'!A180))</f>
        <v>45434</v>
      </c>
      <c r="E180">
        <f>COUNTIF(Visits!$E$2:$E$993,'User Engagement'!$A180)</f>
        <v>0</v>
      </c>
      <c r="F180">
        <f>COUNTIFS(Visits!$E$2:$E$993,'User Engagement'!$A181,Visits!$AF$2:$AF$993,"&gt;"&amp;($B$1-7))</f>
        <v>0</v>
      </c>
      <c r="G180">
        <f>COUNTIFS(Visits!$E$2:$E$993,'User Engagement'!$A180,Visits!$AF$2:$AF$993,"&gt;"&amp;($B$1-30))</f>
        <v>0</v>
      </c>
      <c r="H180">
        <f>COUNTIFS(Visits!$E$2:$E$993,$A180,Visits!$AF$2:$AF$993,"&gt;"&amp;($B$1-60))-G180</f>
        <v>0</v>
      </c>
      <c r="I180">
        <f>COUNTIFS(Visits!$AG:$AG,'New Dashboard'!$A$22,Visits!$E:$E,'User Engagement'!$A180)</f>
        <v>0</v>
      </c>
      <c r="J180">
        <f>COUNTIFS(Visits!$AG:$AG,'New Dashboard'!$A$23,Visits!$E:$E,'User Engagement'!$A180)</f>
        <v>0</v>
      </c>
      <c r="K180">
        <f>COUNTIFS(Visits!$AG:$AG,'New Dashboard'!$A$24,Visits!$E:$E,'User Engagement'!$A180)</f>
        <v>0</v>
      </c>
      <c r="L180">
        <f>COUNTIFS(Visits!$AG:$AG,'New Dashboard'!$A$25,Visits!$E:$E,'User Engagement'!$A180)</f>
        <v>0</v>
      </c>
      <c r="M180">
        <f t="shared" si="19"/>
        <v>1</v>
      </c>
      <c r="N180">
        <f t="shared" si="20"/>
        <v>0</v>
      </c>
      <c r="O180">
        <f t="shared" si="20"/>
        <v>0</v>
      </c>
      <c r="P180">
        <f t="shared" si="16"/>
        <v>0</v>
      </c>
      <c r="Q180" s="4">
        <f>SUMIF(Visits!$E$2:$E$90,'User Engagement'!$A180,Visits!$T$2:$T$90)</f>
        <v>0</v>
      </c>
      <c r="R180" s="4">
        <f>SUMIFS(Visits!$T$2:$T$90,Visits!$E$2:$E$90,'User Engagement'!$A180,Visits!$AF$2:$AF$90,"&gt;3/28/24")</f>
        <v>0</v>
      </c>
      <c r="S180" s="13" t="e">
        <f t="shared" si="17"/>
        <v>#DIV/0!</v>
      </c>
      <c r="T180" s="13" t="str">
        <f t="shared" si="18"/>
        <v>n/a</v>
      </c>
    </row>
    <row r="181" spans="1:20" ht="15.95">
      <c r="A181">
        <f>Users!A178</f>
        <v>0</v>
      </c>
      <c r="B181" s="23"/>
      <c r="C181" s="23"/>
      <c r="D181" s="1" cm="1">
        <f t="array" ref="D181">MAX(_xlfn._xlws.FILTER(Visits!AF:AF,Visits!E:E='User Engagement'!A181))</f>
        <v>45434</v>
      </c>
      <c r="E181">
        <f>COUNTIF(Visits!$E$2:$E$993,'User Engagement'!$A181)</f>
        <v>0</v>
      </c>
      <c r="F181">
        <f>COUNTIFS(Visits!$E$2:$E$993,'User Engagement'!$A182,Visits!$AF$2:$AF$993,"&gt;"&amp;($B$1-7))</f>
        <v>0</v>
      </c>
      <c r="G181">
        <f>COUNTIFS(Visits!$E$2:$E$993,'User Engagement'!$A181,Visits!$AF$2:$AF$993,"&gt;"&amp;($B$1-30))</f>
        <v>0</v>
      </c>
      <c r="H181">
        <f>COUNTIFS(Visits!$E$2:$E$993,$A181,Visits!$AF$2:$AF$993,"&gt;"&amp;($B$1-60))-G181</f>
        <v>0</v>
      </c>
      <c r="I181">
        <f>COUNTIFS(Visits!$AG:$AG,'New Dashboard'!$A$22,Visits!$E:$E,'User Engagement'!$A181)</f>
        <v>0</v>
      </c>
      <c r="J181">
        <f>COUNTIFS(Visits!$AG:$AG,'New Dashboard'!$A$23,Visits!$E:$E,'User Engagement'!$A181)</f>
        <v>0</v>
      </c>
      <c r="K181">
        <f>COUNTIFS(Visits!$AG:$AG,'New Dashboard'!$A$24,Visits!$E:$E,'User Engagement'!$A181)</f>
        <v>0</v>
      </c>
      <c r="L181">
        <f>COUNTIFS(Visits!$AG:$AG,'New Dashboard'!$A$25,Visits!$E:$E,'User Engagement'!$A181)</f>
        <v>0</v>
      </c>
      <c r="M181">
        <f t="shared" si="19"/>
        <v>1</v>
      </c>
      <c r="N181">
        <f t="shared" si="20"/>
        <v>0</v>
      </c>
      <c r="O181">
        <f t="shared" si="20"/>
        <v>0</v>
      </c>
      <c r="P181">
        <f t="shared" si="16"/>
        <v>0</v>
      </c>
      <c r="Q181" s="4">
        <f>SUMIF(Visits!$E$2:$E$90,'User Engagement'!$A181,Visits!$T$2:$T$90)</f>
        <v>0</v>
      </c>
      <c r="R181" s="4">
        <f>SUMIFS(Visits!$T$2:$T$90,Visits!$E$2:$E$90,'User Engagement'!$A181,Visits!$AF$2:$AF$90,"&gt;3/28/24")</f>
        <v>0</v>
      </c>
      <c r="S181" s="13" t="e">
        <f t="shared" si="17"/>
        <v>#DIV/0!</v>
      </c>
      <c r="T181" s="13" t="str">
        <f t="shared" si="18"/>
        <v>n/a</v>
      </c>
    </row>
    <row r="182" spans="1:20" ht="15.95">
      <c r="A182">
        <f>Users!A179</f>
        <v>0</v>
      </c>
      <c r="B182" s="23"/>
      <c r="C182" s="23"/>
      <c r="D182" s="1" cm="1">
        <f t="array" ref="D182">MAX(_xlfn._xlws.FILTER(Visits!AF:AF,Visits!E:E='User Engagement'!A182))</f>
        <v>45434</v>
      </c>
      <c r="E182">
        <f>COUNTIF(Visits!$E$2:$E$993,'User Engagement'!$A182)</f>
        <v>0</v>
      </c>
      <c r="F182">
        <f>COUNTIFS(Visits!$E$2:$E$993,'User Engagement'!$A183,Visits!$AF$2:$AF$993,"&gt;"&amp;($B$1-7))</f>
        <v>0</v>
      </c>
      <c r="G182">
        <f>COUNTIFS(Visits!$E$2:$E$993,'User Engagement'!$A182,Visits!$AF$2:$AF$993,"&gt;"&amp;($B$1-30))</f>
        <v>0</v>
      </c>
      <c r="H182">
        <f>COUNTIFS(Visits!$E$2:$E$993,$A182,Visits!$AF$2:$AF$993,"&gt;"&amp;($B$1-60))-G182</f>
        <v>0</v>
      </c>
      <c r="I182">
        <f>COUNTIFS(Visits!$AG:$AG,'New Dashboard'!$A$22,Visits!$E:$E,'User Engagement'!$A182)</f>
        <v>0</v>
      </c>
      <c r="J182">
        <f>COUNTIFS(Visits!$AG:$AG,'New Dashboard'!$A$23,Visits!$E:$E,'User Engagement'!$A182)</f>
        <v>0</v>
      </c>
      <c r="K182">
        <f>COUNTIFS(Visits!$AG:$AG,'New Dashboard'!$A$24,Visits!$E:$E,'User Engagement'!$A182)</f>
        <v>0</v>
      </c>
      <c r="L182">
        <f>COUNTIFS(Visits!$AG:$AG,'New Dashboard'!$A$25,Visits!$E:$E,'User Engagement'!$A182)</f>
        <v>0</v>
      </c>
      <c r="M182">
        <f t="shared" si="19"/>
        <v>1</v>
      </c>
      <c r="N182">
        <f t="shared" si="20"/>
        <v>0</v>
      </c>
      <c r="O182">
        <f t="shared" si="20"/>
        <v>0</v>
      </c>
      <c r="P182">
        <f t="shared" si="16"/>
        <v>0</v>
      </c>
      <c r="Q182" s="4">
        <f>SUMIF(Visits!$E$2:$E$90,'User Engagement'!$A182,Visits!$T$2:$T$90)</f>
        <v>0</v>
      </c>
      <c r="R182" s="4">
        <f>SUMIFS(Visits!$T$2:$T$90,Visits!$E$2:$E$90,'User Engagement'!$A182,Visits!$AF$2:$AF$90,"&gt;3/28/24")</f>
        <v>0</v>
      </c>
      <c r="S182" s="13" t="e">
        <f t="shared" si="17"/>
        <v>#DIV/0!</v>
      </c>
      <c r="T182" s="13" t="str">
        <f t="shared" si="18"/>
        <v>n/a</v>
      </c>
    </row>
    <row r="183" spans="1:20" ht="15.95">
      <c r="A183">
        <f>Users!A180</f>
        <v>0</v>
      </c>
      <c r="B183" s="23"/>
      <c r="C183" s="23"/>
      <c r="D183" s="1" cm="1">
        <f t="array" ref="D183">MAX(_xlfn._xlws.FILTER(Visits!AF:AF,Visits!E:E='User Engagement'!A183))</f>
        <v>45434</v>
      </c>
      <c r="E183">
        <f>COUNTIF(Visits!$E$2:$E$993,'User Engagement'!$A183)</f>
        <v>0</v>
      </c>
      <c r="F183">
        <f>COUNTIFS(Visits!$E$2:$E$993,'User Engagement'!$A184,Visits!$AF$2:$AF$993,"&gt;"&amp;($B$1-7))</f>
        <v>0</v>
      </c>
      <c r="G183">
        <f>COUNTIFS(Visits!$E$2:$E$993,'User Engagement'!$A183,Visits!$AF$2:$AF$993,"&gt;"&amp;($B$1-30))</f>
        <v>0</v>
      </c>
      <c r="H183">
        <f>COUNTIFS(Visits!$E$2:$E$993,$A183,Visits!$AF$2:$AF$993,"&gt;"&amp;($B$1-60))-G183</f>
        <v>0</v>
      </c>
      <c r="I183">
        <f>COUNTIFS(Visits!$AG:$AG,'New Dashboard'!$A$22,Visits!$E:$E,'User Engagement'!$A183)</f>
        <v>0</v>
      </c>
      <c r="J183">
        <f>COUNTIFS(Visits!$AG:$AG,'New Dashboard'!$A$23,Visits!$E:$E,'User Engagement'!$A183)</f>
        <v>0</v>
      </c>
      <c r="K183">
        <f>COUNTIFS(Visits!$AG:$AG,'New Dashboard'!$A$24,Visits!$E:$E,'User Engagement'!$A183)</f>
        <v>0</v>
      </c>
      <c r="L183">
        <f>COUNTIFS(Visits!$AG:$AG,'New Dashboard'!$A$25,Visits!$E:$E,'User Engagement'!$A183)</f>
        <v>0</v>
      </c>
      <c r="M183">
        <f t="shared" si="19"/>
        <v>1</v>
      </c>
      <c r="N183">
        <f t="shared" si="20"/>
        <v>0</v>
      </c>
      <c r="O183">
        <f t="shared" si="20"/>
        <v>0</v>
      </c>
      <c r="P183">
        <f t="shared" si="16"/>
        <v>0</v>
      </c>
      <c r="Q183" s="4">
        <f>SUMIF(Visits!$E$2:$E$90,'User Engagement'!$A183,Visits!$T$2:$T$90)</f>
        <v>0</v>
      </c>
      <c r="R183" s="4">
        <f>SUMIFS(Visits!$T$2:$T$90,Visits!$E$2:$E$90,'User Engagement'!$A183,Visits!$AF$2:$AF$90,"&gt;3/28/24")</f>
        <v>0</v>
      </c>
      <c r="S183" s="13" t="e">
        <f t="shared" si="17"/>
        <v>#DIV/0!</v>
      </c>
      <c r="T183" s="13" t="str">
        <f t="shared" si="18"/>
        <v>n/a</v>
      </c>
    </row>
    <row r="184" spans="1:20" ht="15.95">
      <c r="A184">
        <f>Users!A181</f>
        <v>0</v>
      </c>
      <c r="B184" s="23"/>
      <c r="C184" s="23"/>
      <c r="D184" s="1" cm="1">
        <f t="array" ref="D184">MAX(_xlfn._xlws.FILTER(Visits!AF:AF,Visits!E:E='User Engagement'!A184))</f>
        <v>45434</v>
      </c>
      <c r="E184">
        <f>COUNTIF(Visits!$E$2:$E$993,'User Engagement'!$A184)</f>
        <v>0</v>
      </c>
      <c r="F184">
        <f>COUNTIFS(Visits!$E$2:$E$993,'User Engagement'!$A185,Visits!$AF$2:$AF$993,"&gt;"&amp;($B$1-7))</f>
        <v>0</v>
      </c>
      <c r="G184">
        <f>COUNTIFS(Visits!$E$2:$E$993,'User Engagement'!$A184,Visits!$AF$2:$AF$993,"&gt;"&amp;($B$1-30))</f>
        <v>0</v>
      </c>
      <c r="H184">
        <f>COUNTIFS(Visits!$E$2:$E$993,$A184,Visits!$AF$2:$AF$993,"&gt;"&amp;($B$1-60))-G184</f>
        <v>0</v>
      </c>
      <c r="I184">
        <f>COUNTIFS(Visits!$AG:$AG,'New Dashboard'!$A$22,Visits!$E:$E,'User Engagement'!$A184)</f>
        <v>0</v>
      </c>
      <c r="J184">
        <f>COUNTIFS(Visits!$AG:$AG,'New Dashboard'!$A$23,Visits!$E:$E,'User Engagement'!$A184)</f>
        <v>0</v>
      </c>
      <c r="K184">
        <f>COUNTIFS(Visits!$AG:$AG,'New Dashboard'!$A$24,Visits!$E:$E,'User Engagement'!$A184)</f>
        <v>0</v>
      </c>
      <c r="L184">
        <f>COUNTIFS(Visits!$AG:$AG,'New Dashboard'!$A$25,Visits!$E:$E,'User Engagement'!$A184)</f>
        <v>0</v>
      </c>
      <c r="M184">
        <f t="shared" si="19"/>
        <v>1</v>
      </c>
      <c r="N184">
        <f t="shared" si="20"/>
        <v>0</v>
      </c>
      <c r="O184">
        <f t="shared" si="20"/>
        <v>0</v>
      </c>
      <c r="P184">
        <f t="shared" si="16"/>
        <v>0</v>
      </c>
      <c r="Q184" s="4">
        <f>SUMIF(Visits!$E$2:$E$90,'User Engagement'!$A184,Visits!$T$2:$T$90)</f>
        <v>0</v>
      </c>
      <c r="R184" s="4">
        <f>SUMIFS(Visits!$T$2:$T$90,Visits!$E$2:$E$90,'User Engagement'!$A184,Visits!$AF$2:$AF$90,"&gt;3/28/24")</f>
        <v>0</v>
      </c>
      <c r="S184" s="13" t="e">
        <f t="shared" si="17"/>
        <v>#DIV/0!</v>
      </c>
      <c r="T184" s="13" t="str">
        <f t="shared" si="18"/>
        <v>n/a</v>
      </c>
    </row>
    <row r="185" spans="1:20" ht="15.95">
      <c r="A185">
        <f>Users!A182</f>
        <v>0</v>
      </c>
      <c r="B185" s="23"/>
      <c r="C185" s="23"/>
      <c r="D185" s="1" cm="1">
        <f t="array" ref="D185">MAX(_xlfn._xlws.FILTER(Visits!AF:AF,Visits!E:E='User Engagement'!A185))</f>
        <v>45434</v>
      </c>
      <c r="E185">
        <f>COUNTIF(Visits!$E$2:$E$993,'User Engagement'!$A185)</f>
        <v>0</v>
      </c>
      <c r="F185">
        <f>COUNTIFS(Visits!$E$2:$E$993,'User Engagement'!$A186,Visits!$AF$2:$AF$993,"&gt;"&amp;($B$1-7))</f>
        <v>0</v>
      </c>
      <c r="G185">
        <f>COUNTIFS(Visits!$E$2:$E$993,'User Engagement'!$A185,Visits!$AF$2:$AF$993,"&gt;"&amp;($B$1-30))</f>
        <v>0</v>
      </c>
      <c r="H185">
        <f>COUNTIFS(Visits!$E$2:$E$993,$A185,Visits!$AF$2:$AF$993,"&gt;"&amp;($B$1-60))-G185</f>
        <v>0</v>
      </c>
      <c r="I185">
        <f>COUNTIFS(Visits!$AG:$AG,'New Dashboard'!$A$22,Visits!$E:$E,'User Engagement'!$A185)</f>
        <v>0</v>
      </c>
      <c r="J185">
        <f>COUNTIFS(Visits!$AG:$AG,'New Dashboard'!$A$23,Visits!$E:$E,'User Engagement'!$A185)</f>
        <v>0</v>
      </c>
      <c r="K185">
        <f>COUNTIFS(Visits!$AG:$AG,'New Dashboard'!$A$24,Visits!$E:$E,'User Engagement'!$A185)</f>
        <v>0</v>
      </c>
      <c r="L185">
        <f>COUNTIFS(Visits!$AG:$AG,'New Dashboard'!$A$25,Visits!$E:$E,'User Engagement'!$A185)</f>
        <v>0</v>
      </c>
      <c r="M185">
        <f t="shared" si="19"/>
        <v>1</v>
      </c>
      <c r="N185">
        <f t="shared" si="20"/>
        <v>0</v>
      </c>
      <c r="O185">
        <f t="shared" si="20"/>
        <v>0</v>
      </c>
      <c r="P185">
        <f t="shared" si="16"/>
        <v>0</v>
      </c>
      <c r="Q185" s="4">
        <f>SUMIF(Visits!$E$2:$E$90,'User Engagement'!$A185,Visits!$T$2:$T$90)</f>
        <v>0</v>
      </c>
      <c r="R185" s="4">
        <f>SUMIFS(Visits!$T$2:$T$90,Visits!$E$2:$E$90,'User Engagement'!$A185,Visits!$AF$2:$AF$90,"&gt;3/28/24")</f>
        <v>0</v>
      </c>
      <c r="S185" s="13" t="e">
        <f t="shared" si="17"/>
        <v>#DIV/0!</v>
      </c>
      <c r="T185" s="13" t="str">
        <f t="shared" si="18"/>
        <v>n/a</v>
      </c>
    </row>
    <row r="186" spans="1:20" ht="15.95">
      <c r="A186">
        <f>Users!A183</f>
        <v>0</v>
      </c>
      <c r="B186" s="23"/>
      <c r="C186" s="23"/>
      <c r="D186" s="1" cm="1">
        <f t="array" ref="D186">MAX(_xlfn._xlws.FILTER(Visits!AF:AF,Visits!E:E='User Engagement'!A186))</f>
        <v>45434</v>
      </c>
      <c r="E186">
        <f>COUNTIF(Visits!$E$2:$E$993,'User Engagement'!$A186)</f>
        <v>0</v>
      </c>
      <c r="F186">
        <f>COUNTIFS(Visits!$E$2:$E$993,'User Engagement'!$A187,Visits!$AF$2:$AF$993,"&gt;"&amp;($B$1-7))</f>
        <v>0</v>
      </c>
      <c r="G186">
        <f>COUNTIFS(Visits!$E$2:$E$993,'User Engagement'!$A186,Visits!$AF$2:$AF$993,"&gt;"&amp;($B$1-30))</f>
        <v>0</v>
      </c>
      <c r="H186">
        <f>COUNTIFS(Visits!$E$2:$E$993,$A186,Visits!$AF$2:$AF$993,"&gt;"&amp;($B$1-60))-G186</f>
        <v>0</v>
      </c>
      <c r="I186">
        <f>COUNTIFS(Visits!$AG:$AG,'New Dashboard'!$A$22,Visits!$E:$E,'User Engagement'!$A186)</f>
        <v>0</v>
      </c>
      <c r="J186">
        <f>COUNTIFS(Visits!$AG:$AG,'New Dashboard'!$A$23,Visits!$E:$E,'User Engagement'!$A186)</f>
        <v>0</v>
      </c>
      <c r="K186">
        <f>COUNTIFS(Visits!$AG:$AG,'New Dashboard'!$A$24,Visits!$E:$E,'User Engagement'!$A186)</f>
        <v>0</v>
      </c>
      <c r="L186">
        <f>COUNTIFS(Visits!$AG:$AG,'New Dashboard'!$A$25,Visits!$E:$E,'User Engagement'!$A186)</f>
        <v>0</v>
      </c>
      <c r="M186">
        <f t="shared" si="19"/>
        <v>1</v>
      </c>
      <c r="N186">
        <f t="shared" si="20"/>
        <v>0</v>
      </c>
      <c r="O186">
        <f t="shared" si="20"/>
        <v>0</v>
      </c>
      <c r="P186">
        <f t="shared" si="16"/>
        <v>0</v>
      </c>
      <c r="Q186" s="4">
        <f>SUMIF(Visits!$E$2:$E$90,'User Engagement'!$A186,Visits!$T$2:$T$90)</f>
        <v>0</v>
      </c>
      <c r="R186" s="4">
        <f>SUMIFS(Visits!$T$2:$T$90,Visits!$E$2:$E$90,'User Engagement'!$A186,Visits!$AF$2:$AF$90,"&gt;3/28/24")</f>
        <v>0</v>
      </c>
      <c r="S186" s="13" t="e">
        <f t="shared" si="17"/>
        <v>#DIV/0!</v>
      </c>
      <c r="T186" s="13" t="str">
        <f t="shared" si="18"/>
        <v>n/a</v>
      </c>
    </row>
    <row r="187" spans="1:20" ht="15.95">
      <c r="A187">
        <f>Users!A184</f>
        <v>0</v>
      </c>
      <c r="B187" s="23"/>
      <c r="C187" s="23"/>
      <c r="D187" s="1" cm="1">
        <f t="array" ref="D187">MAX(_xlfn._xlws.FILTER(Visits!AF:AF,Visits!E:E='User Engagement'!A187))</f>
        <v>45434</v>
      </c>
      <c r="E187">
        <f>COUNTIF(Visits!$E$2:$E$993,'User Engagement'!$A187)</f>
        <v>0</v>
      </c>
      <c r="F187">
        <f>COUNTIFS(Visits!$E$2:$E$993,'User Engagement'!$A188,Visits!$AF$2:$AF$993,"&gt;"&amp;($B$1-7))</f>
        <v>0</v>
      </c>
      <c r="G187">
        <f>COUNTIFS(Visits!$E$2:$E$993,'User Engagement'!$A187,Visits!$AF$2:$AF$993,"&gt;"&amp;($B$1-30))</f>
        <v>0</v>
      </c>
      <c r="H187">
        <f>COUNTIFS(Visits!$E$2:$E$993,$A187,Visits!$AF$2:$AF$993,"&gt;"&amp;($B$1-60))-G187</f>
        <v>0</v>
      </c>
      <c r="I187">
        <f>COUNTIFS(Visits!$AG:$AG,'New Dashboard'!$A$22,Visits!$E:$E,'User Engagement'!$A187)</f>
        <v>0</v>
      </c>
      <c r="J187">
        <f>COUNTIFS(Visits!$AG:$AG,'New Dashboard'!$A$23,Visits!$E:$E,'User Engagement'!$A187)</f>
        <v>0</v>
      </c>
      <c r="K187">
        <f>COUNTIFS(Visits!$AG:$AG,'New Dashboard'!$A$24,Visits!$E:$E,'User Engagement'!$A187)</f>
        <v>0</v>
      </c>
      <c r="L187">
        <f>COUNTIFS(Visits!$AG:$AG,'New Dashboard'!$A$25,Visits!$E:$E,'User Engagement'!$A187)</f>
        <v>0</v>
      </c>
      <c r="M187">
        <f t="shared" si="19"/>
        <v>1</v>
      </c>
      <c r="N187">
        <f t="shared" si="20"/>
        <v>0</v>
      </c>
      <c r="O187">
        <f t="shared" si="20"/>
        <v>0</v>
      </c>
      <c r="P187">
        <f t="shared" si="16"/>
        <v>0</v>
      </c>
      <c r="Q187" s="4">
        <f>SUMIF(Visits!$E$2:$E$90,'User Engagement'!$A187,Visits!$T$2:$T$90)</f>
        <v>0</v>
      </c>
      <c r="R187" s="4">
        <f>SUMIFS(Visits!$T$2:$T$90,Visits!$E$2:$E$90,'User Engagement'!$A187,Visits!$AF$2:$AF$90,"&gt;3/28/24")</f>
        <v>0</v>
      </c>
      <c r="S187" s="13" t="e">
        <f t="shared" si="17"/>
        <v>#DIV/0!</v>
      </c>
      <c r="T187" s="13" t="str">
        <f t="shared" si="18"/>
        <v>n/a</v>
      </c>
    </row>
    <row r="188" spans="1:20" ht="15.95">
      <c r="A188">
        <f>Users!A185</f>
        <v>0</v>
      </c>
      <c r="B188" s="23"/>
      <c r="C188" s="23"/>
      <c r="D188" s="1" cm="1">
        <f t="array" ref="D188">MAX(_xlfn._xlws.FILTER(Visits!AF:AF,Visits!E:E='User Engagement'!A188))</f>
        <v>45434</v>
      </c>
      <c r="E188">
        <f>COUNTIF(Visits!$E$2:$E$993,'User Engagement'!$A188)</f>
        <v>0</v>
      </c>
      <c r="F188">
        <f>COUNTIFS(Visits!$E$2:$E$993,'User Engagement'!$A189,Visits!$AF$2:$AF$993,"&gt;"&amp;($B$1-7))</f>
        <v>0</v>
      </c>
      <c r="G188">
        <f>COUNTIFS(Visits!$E$2:$E$993,'User Engagement'!$A188,Visits!$AF$2:$AF$993,"&gt;"&amp;($B$1-30))</f>
        <v>0</v>
      </c>
      <c r="H188">
        <f>COUNTIFS(Visits!$E$2:$E$993,$A188,Visits!$AF$2:$AF$993,"&gt;"&amp;($B$1-60))-G188</f>
        <v>0</v>
      </c>
      <c r="I188">
        <f>COUNTIFS(Visits!$AG:$AG,'New Dashboard'!$A$22,Visits!$E:$E,'User Engagement'!$A188)</f>
        <v>0</v>
      </c>
      <c r="J188">
        <f>COUNTIFS(Visits!$AG:$AG,'New Dashboard'!$A$23,Visits!$E:$E,'User Engagement'!$A188)</f>
        <v>0</v>
      </c>
      <c r="K188">
        <f>COUNTIFS(Visits!$AG:$AG,'New Dashboard'!$A$24,Visits!$E:$E,'User Engagement'!$A188)</f>
        <v>0</v>
      </c>
      <c r="L188">
        <f>COUNTIFS(Visits!$AG:$AG,'New Dashboard'!$A$25,Visits!$E:$E,'User Engagement'!$A188)</f>
        <v>0</v>
      </c>
      <c r="M188">
        <f t="shared" si="19"/>
        <v>1</v>
      </c>
      <c r="N188">
        <f t="shared" si="20"/>
        <v>0</v>
      </c>
      <c r="O188">
        <f t="shared" si="20"/>
        <v>0</v>
      </c>
      <c r="P188">
        <f t="shared" si="16"/>
        <v>0</v>
      </c>
      <c r="Q188" s="4">
        <f>SUMIF(Visits!$E$2:$E$90,'User Engagement'!$A188,Visits!$T$2:$T$90)</f>
        <v>0</v>
      </c>
      <c r="R188" s="4">
        <f>SUMIFS(Visits!$T$2:$T$90,Visits!$E$2:$E$90,'User Engagement'!$A188,Visits!$AF$2:$AF$90,"&gt;3/28/24")</f>
        <v>0</v>
      </c>
      <c r="S188" s="13" t="e">
        <f t="shared" si="17"/>
        <v>#DIV/0!</v>
      </c>
      <c r="T188" s="13" t="str">
        <f t="shared" si="18"/>
        <v>n/a</v>
      </c>
    </row>
    <row r="189" spans="1:20" ht="15.95">
      <c r="A189">
        <f>Users!A186</f>
        <v>0</v>
      </c>
      <c r="B189" s="23"/>
      <c r="C189" s="23"/>
      <c r="D189" s="1" cm="1">
        <f t="array" ref="D189">MAX(_xlfn._xlws.FILTER(Visits!AF:AF,Visits!E:E='User Engagement'!A189))</f>
        <v>45434</v>
      </c>
      <c r="E189">
        <f>COUNTIF(Visits!$E$2:$E$993,'User Engagement'!$A189)</f>
        <v>0</v>
      </c>
      <c r="F189">
        <f>COUNTIFS(Visits!$E$2:$E$993,'User Engagement'!$A190,Visits!$AF$2:$AF$993,"&gt;"&amp;($B$1-7))</f>
        <v>0</v>
      </c>
      <c r="G189">
        <f>COUNTIFS(Visits!$E$2:$E$993,'User Engagement'!$A189,Visits!$AF$2:$AF$993,"&gt;"&amp;($B$1-30))</f>
        <v>0</v>
      </c>
      <c r="H189">
        <f>COUNTIFS(Visits!$E$2:$E$993,$A189,Visits!$AF$2:$AF$993,"&gt;"&amp;($B$1-60))-G189</f>
        <v>0</v>
      </c>
      <c r="I189">
        <f>COUNTIFS(Visits!$AG:$AG,'New Dashboard'!$A$22,Visits!$E:$E,'User Engagement'!$A189)</f>
        <v>0</v>
      </c>
      <c r="J189">
        <f>COUNTIFS(Visits!$AG:$AG,'New Dashboard'!$A$23,Visits!$E:$E,'User Engagement'!$A189)</f>
        <v>0</v>
      </c>
      <c r="K189">
        <f>COUNTIFS(Visits!$AG:$AG,'New Dashboard'!$A$24,Visits!$E:$E,'User Engagement'!$A189)</f>
        <v>0</v>
      </c>
      <c r="L189">
        <f>COUNTIFS(Visits!$AG:$AG,'New Dashboard'!$A$25,Visits!$E:$E,'User Engagement'!$A189)</f>
        <v>0</v>
      </c>
      <c r="M189">
        <f t="shared" si="19"/>
        <v>1</v>
      </c>
      <c r="N189">
        <f t="shared" si="20"/>
        <v>0</v>
      </c>
      <c r="O189">
        <f t="shared" si="20"/>
        <v>0</v>
      </c>
      <c r="P189">
        <f t="shared" si="16"/>
        <v>0</v>
      </c>
      <c r="Q189" s="4">
        <f>SUMIF(Visits!$E$2:$E$90,'User Engagement'!$A189,Visits!$T$2:$T$90)</f>
        <v>0</v>
      </c>
      <c r="R189" s="4">
        <f>SUMIFS(Visits!$T$2:$T$90,Visits!$E$2:$E$90,'User Engagement'!$A189,Visits!$AF$2:$AF$90,"&gt;3/28/24")</f>
        <v>0</v>
      </c>
      <c r="S189" s="13" t="e">
        <f t="shared" si="17"/>
        <v>#DIV/0!</v>
      </c>
      <c r="T189" s="13" t="str">
        <f t="shared" si="18"/>
        <v>n/a</v>
      </c>
    </row>
    <row r="190" spans="1:20" ht="15.95">
      <c r="A190">
        <f>Users!A187</f>
        <v>0</v>
      </c>
      <c r="B190" s="23"/>
      <c r="C190" s="23"/>
      <c r="D190" s="1" cm="1">
        <f t="array" ref="D190">MAX(_xlfn._xlws.FILTER(Visits!AF:AF,Visits!E:E='User Engagement'!A190))</f>
        <v>45434</v>
      </c>
      <c r="E190">
        <f>COUNTIF(Visits!$E$2:$E$993,'User Engagement'!$A190)</f>
        <v>0</v>
      </c>
      <c r="F190">
        <f>COUNTIFS(Visits!$E$2:$E$993,'User Engagement'!$A191,Visits!$AF$2:$AF$993,"&gt;"&amp;($B$1-7))</f>
        <v>0</v>
      </c>
      <c r="G190">
        <f>COUNTIFS(Visits!$E$2:$E$993,'User Engagement'!$A190,Visits!$AF$2:$AF$993,"&gt;"&amp;($B$1-30))</f>
        <v>0</v>
      </c>
      <c r="H190">
        <f>COUNTIFS(Visits!$E$2:$E$993,$A190,Visits!$AF$2:$AF$993,"&gt;"&amp;($B$1-60))-G190</f>
        <v>0</v>
      </c>
      <c r="I190">
        <f>COUNTIFS(Visits!$AG:$AG,'New Dashboard'!$A$22,Visits!$E:$E,'User Engagement'!$A190)</f>
        <v>0</v>
      </c>
      <c r="J190">
        <f>COUNTIFS(Visits!$AG:$AG,'New Dashboard'!$A$23,Visits!$E:$E,'User Engagement'!$A190)</f>
        <v>0</v>
      </c>
      <c r="K190">
        <f>COUNTIFS(Visits!$AG:$AG,'New Dashboard'!$A$24,Visits!$E:$E,'User Engagement'!$A190)</f>
        <v>0</v>
      </c>
      <c r="L190">
        <f>COUNTIFS(Visits!$AG:$AG,'New Dashboard'!$A$25,Visits!$E:$E,'User Engagement'!$A190)</f>
        <v>0</v>
      </c>
      <c r="M190">
        <f t="shared" si="19"/>
        <v>1</v>
      </c>
      <c r="N190">
        <f t="shared" si="20"/>
        <v>0</v>
      </c>
      <c r="O190">
        <f t="shared" si="20"/>
        <v>0</v>
      </c>
      <c r="P190">
        <f t="shared" si="16"/>
        <v>0</v>
      </c>
      <c r="Q190" s="4">
        <f>SUMIF(Visits!$E$2:$E$90,'User Engagement'!$A190,Visits!$T$2:$T$90)</f>
        <v>0</v>
      </c>
      <c r="R190" s="4">
        <f>SUMIFS(Visits!$T$2:$T$90,Visits!$E$2:$E$90,'User Engagement'!$A190,Visits!$AF$2:$AF$90,"&gt;3/28/24")</f>
        <v>0</v>
      </c>
      <c r="S190" s="13" t="e">
        <f t="shared" si="17"/>
        <v>#DIV/0!</v>
      </c>
      <c r="T190" s="13" t="str">
        <f t="shared" si="18"/>
        <v>n/a</v>
      </c>
    </row>
    <row r="191" spans="1:20" ht="15.95">
      <c r="A191">
        <f>Users!A188</f>
        <v>0</v>
      </c>
      <c r="B191" s="23"/>
      <c r="C191" s="23"/>
      <c r="D191" s="1" cm="1">
        <f t="array" ref="D191">MAX(_xlfn._xlws.FILTER(Visits!AF:AF,Visits!E:E='User Engagement'!A191))</f>
        <v>45434</v>
      </c>
      <c r="E191">
        <f>COUNTIF(Visits!$E$2:$E$993,'User Engagement'!$A191)</f>
        <v>0</v>
      </c>
      <c r="F191">
        <f>COUNTIFS(Visits!$E$2:$E$993,'User Engagement'!$A192,Visits!$AF$2:$AF$993,"&gt;"&amp;($B$1-7))</f>
        <v>0</v>
      </c>
      <c r="G191">
        <f>COUNTIFS(Visits!$E$2:$E$993,'User Engagement'!$A191,Visits!$AF$2:$AF$993,"&gt;"&amp;($B$1-30))</f>
        <v>0</v>
      </c>
      <c r="H191">
        <f>COUNTIFS(Visits!$E$2:$E$993,$A191,Visits!$AF$2:$AF$993,"&gt;"&amp;($B$1-60))-G191</f>
        <v>0</v>
      </c>
      <c r="I191">
        <f>COUNTIFS(Visits!$AG:$AG,'New Dashboard'!$A$22,Visits!$E:$E,'User Engagement'!$A191)</f>
        <v>0</v>
      </c>
      <c r="J191">
        <f>COUNTIFS(Visits!$AG:$AG,'New Dashboard'!$A$23,Visits!$E:$E,'User Engagement'!$A191)</f>
        <v>0</v>
      </c>
      <c r="K191">
        <f>COUNTIFS(Visits!$AG:$AG,'New Dashboard'!$A$24,Visits!$E:$E,'User Engagement'!$A191)</f>
        <v>0</v>
      </c>
      <c r="L191">
        <f>COUNTIFS(Visits!$AG:$AG,'New Dashboard'!$A$25,Visits!$E:$E,'User Engagement'!$A191)</f>
        <v>0</v>
      </c>
      <c r="M191">
        <f t="shared" si="19"/>
        <v>1</v>
      </c>
      <c r="N191">
        <f t="shared" si="20"/>
        <v>0</v>
      </c>
      <c r="O191">
        <f t="shared" si="20"/>
        <v>0</v>
      </c>
      <c r="P191">
        <f t="shared" si="16"/>
        <v>0</v>
      </c>
      <c r="Q191" s="4">
        <f>SUMIF(Visits!$E$2:$E$90,'User Engagement'!$A191,Visits!$T$2:$T$90)</f>
        <v>0</v>
      </c>
      <c r="R191" s="4">
        <f>SUMIFS(Visits!$T$2:$T$90,Visits!$E$2:$E$90,'User Engagement'!$A191,Visits!$AF$2:$AF$90,"&gt;3/28/24")</f>
        <v>0</v>
      </c>
      <c r="S191" s="13" t="e">
        <f t="shared" si="17"/>
        <v>#DIV/0!</v>
      </c>
      <c r="T191" s="13" t="str">
        <f t="shared" si="18"/>
        <v>n/a</v>
      </c>
    </row>
    <row r="192" spans="1:20" ht="15.95">
      <c r="A192">
        <f>Users!A189</f>
        <v>0</v>
      </c>
      <c r="B192" s="23"/>
      <c r="C192" s="23"/>
      <c r="D192" s="1" cm="1">
        <f t="array" ref="D192">MAX(_xlfn._xlws.FILTER(Visits!AF:AF,Visits!E:E='User Engagement'!A192))</f>
        <v>45434</v>
      </c>
      <c r="E192">
        <f>COUNTIF(Visits!$E$2:$E$993,'User Engagement'!$A192)</f>
        <v>0</v>
      </c>
      <c r="F192">
        <f>COUNTIFS(Visits!$E$2:$E$993,'User Engagement'!$A193,Visits!$AF$2:$AF$993,"&gt;"&amp;($B$1-7))</f>
        <v>0</v>
      </c>
      <c r="G192">
        <f>COUNTIFS(Visits!$E$2:$E$993,'User Engagement'!$A192,Visits!$AF$2:$AF$993,"&gt;"&amp;($B$1-30))</f>
        <v>0</v>
      </c>
      <c r="H192">
        <f>COUNTIFS(Visits!$E$2:$E$993,$A192,Visits!$AF$2:$AF$993,"&gt;"&amp;($B$1-60))-G192</f>
        <v>0</v>
      </c>
      <c r="I192">
        <f>COUNTIFS(Visits!$AG:$AG,'New Dashboard'!$A$22,Visits!$E:$E,'User Engagement'!$A192)</f>
        <v>0</v>
      </c>
      <c r="J192">
        <f>COUNTIFS(Visits!$AG:$AG,'New Dashboard'!$A$23,Visits!$E:$E,'User Engagement'!$A192)</f>
        <v>0</v>
      </c>
      <c r="K192">
        <f>COUNTIFS(Visits!$AG:$AG,'New Dashboard'!$A$24,Visits!$E:$E,'User Engagement'!$A192)</f>
        <v>0</v>
      </c>
      <c r="L192">
        <f>COUNTIFS(Visits!$AG:$AG,'New Dashboard'!$A$25,Visits!$E:$E,'User Engagement'!$A192)</f>
        <v>0</v>
      </c>
      <c r="M192">
        <f t="shared" si="19"/>
        <v>1</v>
      </c>
      <c r="N192">
        <f t="shared" si="20"/>
        <v>0</v>
      </c>
      <c r="O192">
        <f t="shared" si="20"/>
        <v>0</v>
      </c>
      <c r="P192">
        <f t="shared" si="16"/>
        <v>0</v>
      </c>
      <c r="Q192" s="4">
        <f>SUMIF(Visits!$E$2:$E$90,'User Engagement'!$A192,Visits!$T$2:$T$90)</f>
        <v>0</v>
      </c>
      <c r="R192" s="4">
        <f>SUMIFS(Visits!$T$2:$T$90,Visits!$E$2:$E$90,'User Engagement'!$A192,Visits!$AF$2:$AF$90,"&gt;3/28/24")</f>
        <v>0</v>
      </c>
      <c r="S192" s="13" t="e">
        <f t="shared" si="17"/>
        <v>#DIV/0!</v>
      </c>
      <c r="T192" s="13" t="str">
        <f t="shared" si="18"/>
        <v>n/a</v>
      </c>
    </row>
    <row r="193" spans="1:20" ht="15.95">
      <c r="A193">
        <f>Users!A190</f>
        <v>0</v>
      </c>
      <c r="B193" s="23"/>
      <c r="C193" s="23"/>
      <c r="D193" s="1" cm="1">
        <f t="array" ref="D193">MAX(_xlfn._xlws.FILTER(Visits!AF:AF,Visits!E:E='User Engagement'!A193))</f>
        <v>45434</v>
      </c>
      <c r="E193">
        <f>COUNTIF(Visits!$E$2:$E$993,'User Engagement'!$A193)</f>
        <v>0</v>
      </c>
      <c r="F193">
        <f>COUNTIFS(Visits!$E$2:$E$993,'User Engagement'!$A194,Visits!$AF$2:$AF$993,"&gt;"&amp;($B$1-7))</f>
        <v>0</v>
      </c>
      <c r="G193">
        <f>COUNTIFS(Visits!$E$2:$E$993,'User Engagement'!$A193,Visits!$AF$2:$AF$993,"&gt;"&amp;($B$1-30))</f>
        <v>0</v>
      </c>
      <c r="H193">
        <f>COUNTIFS(Visits!$E$2:$E$993,$A193,Visits!$AF$2:$AF$993,"&gt;"&amp;($B$1-60))-G193</f>
        <v>0</v>
      </c>
      <c r="I193">
        <f>COUNTIFS(Visits!$AG:$AG,'New Dashboard'!$A$22,Visits!$E:$E,'User Engagement'!$A193)</f>
        <v>0</v>
      </c>
      <c r="J193">
        <f>COUNTIFS(Visits!$AG:$AG,'New Dashboard'!$A$23,Visits!$E:$E,'User Engagement'!$A193)</f>
        <v>0</v>
      </c>
      <c r="K193">
        <f>COUNTIFS(Visits!$AG:$AG,'New Dashboard'!$A$24,Visits!$E:$E,'User Engagement'!$A193)</f>
        <v>0</v>
      </c>
      <c r="L193">
        <f>COUNTIFS(Visits!$AG:$AG,'New Dashboard'!$A$25,Visits!$E:$E,'User Engagement'!$A193)</f>
        <v>0</v>
      </c>
      <c r="M193">
        <f t="shared" si="19"/>
        <v>1</v>
      </c>
      <c r="N193">
        <f t="shared" si="20"/>
        <v>0</v>
      </c>
      <c r="O193">
        <f t="shared" si="20"/>
        <v>0</v>
      </c>
      <c r="P193">
        <f t="shared" si="16"/>
        <v>0</v>
      </c>
      <c r="Q193" s="4">
        <f>SUMIF(Visits!$E$2:$E$90,'User Engagement'!$A193,Visits!$T$2:$T$90)</f>
        <v>0</v>
      </c>
      <c r="R193" s="4">
        <f>SUMIFS(Visits!$T$2:$T$90,Visits!$E$2:$E$90,'User Engagement'!$A193,Visits!$AF$2:$AF$90,"&gt;3/28/24")</f>
        <v>0</v>
      </c>
      <c r="S193" s="13" t="e">
        <f t="shared" si="17"/>
        <v>#DIV/0!</v>
      </c>
      <c r="T193" s="13" t="str">
        <f t="shared" si="18"/>
        <v>n/a</v>
      </c>
    </row>
    <row r="194" spans="1:20" ht="15.95">
      <c r="A194">
        <f>Users!A191</f>
        <v>0</v>
      </c>
      <c r="B194" s="23"/>
      <c r="C194" s="23"/>
      <c r="D194" s="1" cm="1">
        <f t="array" ref="D194">MAX(_xlfn._xlws.FILTER(Visits!AF:AF,Visits!E:E='User Engagement'!A194))</f>
        <v>45434</v>
      </c>
      <c r="E194">
        <f>COUNTIF(Visits!$E$2:$E$993,'User Engagement'!$A194)</f>
        <v>0</v>
      </c>
      <c r="F194">
        <f>COUNTIFS(Visits!$E$2:$E$993,'User Engagement'!$A195,Visits!$AF$2:$AF$993,"&gt;"&amp;($B$1-7))</f>
        <v>0</v>
      </c>
      <c r="G194">
        <f>COUNTIFS(Visits!$E$2:$E$993,'User Engagement'!$A194,Visits!$AF$2:$AF$993,"&gt;"&amp;($B$1-30))</f>
        <v>0</v>
      </c>
      <c r="H194">
        <f>COUNTIFS(Visits!$E$2:$E$993,$A194,Visits!$AF$2:$AF$993,"&gt;"&amp;($B$1-60))-G194</f>
        <v>0</v>
      </c>
      <c r="I194">
        <f>COUNTIFS(Visits!$AG:$AG,'New Dashboard'!$A$22,Visits!$E:$E,'User Engagement'!$A194)</f>
        <v>0</v>
      </c>
      <c r="J194">
        <f>COUNTIFS(Visits!$AG:$AG,'New Dashboard'!$A$23,Visits!$E:$E,'User Engagement'!$A194)</f>
        <v>0</v>
      </c>
      <c r="K194">
        <f>COUNTIFS(Visits!$AG:$AG,'New Dashboard'!$A$24,Visits!$E:$E,'User Engagement'!$A194)</f>
        <v>0</v>
      </c>
      <c r="L194">
        <f>COUNTIFS(Visits!$AG:$AG,'New Dashboard'!$A$25,Visits!$E:$E,'User Engagement'!$A194)</f>
        <v>0</v>
      </c>
      <c r="M194">
        <f t="shared" si="19"/>
        <v>1</v>
      </c>
      <c r="N194">
        <f t="shared" si="20"/>
        <v>0</v>
      </c>
      <c r="O194">
        <f t="shared" si="20"/>
        <v>0</v>
      </c>
      <c r="P194">
        <f t="shared" si="16"/>
        <v>0</v>
      </c>
      <c r="Q194" s="4">
        <f>SUMIF(Visits!$E$2:$E$90,'User Engagement'!$A194,Visits!$T$2:$T$90)</f>
        <v>0</v>
      </c>
      <c r="R194" s="4">
        <f>SUMIFS(Visits!$T$2:$T$90,Visits!$E$2:$E$90,'User Engagement'!$A194,Visits!$AF$2:$AF$90,"&gt;3/28/24")</f>
        <v>0</v>
      </c>
      <c r="S194" s="13" t="e">
        <f t="shared" si="17"/>
        <v>#DIV/0!</v>
      </c>
      <c r="T194" s="13" t="str">
        <f t="shared" si="18"/>
        <v>n/a</v>
      </c>
    </row>
    <row r="195" spans="1:20" ht="15.95">
      <c r="A195">
        <f>Users!A192</f>
        <v>0</v>
      </c>
      <c r="B195" s="23"/>
      <c r="C195" s="23"/>
      <c r="D195" s="1" cm="1">
        <f t="array" ref="D195">MAX(_xlfn._xlws.FILTER(Visits!AF:AF,Visits!E:E='User Engagement'!A195))</f>
        <v>45434</v>
      </c>
      <c r="E195">
        <f>COUNTIF(Visits!$E$2:$E$993,'User Engagement'!$A195)</f>
        <v>0</v>
      </c>
      <c r="F195">
        <f>COUNTIFS(Visits!$E$2:$E$993,'User Engagement'!$A196,Visits!$AF$2:$AF$993,"&gt;"&amp;($B$1-7))</f>
        <v>0</v>
      </c>
      <c r="G195">
        <f>COUNTIFS(Visits!$E$2:$E$993,'User Engagement'!$A195,Visits!$AF$2:$AF$993,"&gt;"&amp;($B$1-30))</f>
        <v>0</v>
      </c>
      <c r="H195">
        <f>COUNTIFS(Visits!$E$2:$E$993,$A195,Visits!$AF$2:$AF$993,"&gt;"&amp;($B$1-60))-G195</f>
        <v>0</v>
      </c>
      <c r="I195">
        <f>COUNTIFS(Visits!$AG:$AG,'New Dashboard'!$A$22,Visits!$E:$E,'User Engagement'!$A195)</f>
        <v>0</v>
      </c>
      <c r="J195">
        <f>COUNTIFS(Visits!$AG:$AG,'New Dashboard'!$A$23,Visits!$E:$E,'User Engagement'!$A195)</f>
        <v>0</v>
      </c>
      <c r="K195">
        <f>COUNTIFS(Visits!$AG:$AG,'New Dashboard'!$A$24,Visits!$E:$E,'User Engagement'!$A195)</f>
        <v>0</v>
      </c>
      <c r="L195">
        <f>COUNTIFS(Visits!$AG:$AG,'New Dashboard'!$A$25,Visits!$E:$E,'User Engagement'!$A195)</f>
        <v>0</v>
      </c>
      <c r="M195">
        <f t="shared" si="19"/>
        <v>1</v>
      </c>
      <c r="N195">
        <f t="shared" si="20"/>
        <v>0</v>
      </c>
      <c r="O195">
        <f t="shared" si="20"/>
        <v>0</v>
      </c>
      <c r="P195">
        <f t="shared" si="16"/>
        <v>0</v>
      </c>
      <c r="Q195" s="4">
        <f>SUMIF(Visits!$E$2:$E$90,'User Engagement'!$A195,Visits!$T$2:$T$90)</f>
        <v>0</v>
      </c>
      <c r="R195" s="4">
        <f>SUMIFS(Visits!$T$2:$T$90,Visits!$E$2:$E$90,'User Engagement'!$A195,Visits!$AF$2:$AF$90,"&gt;3/28/24")</f>
        <v>0</v>
      </c>
      <c r="S195" s="13" t="e">
        <f t="shared" si="17"/>
        <v>#DIV/0!</v>
      </c>
      <c r="T195" s="13" t="str">
        <f t="shared" si="18"/>
        <v>n/a</v>
      </c>
    </row>
    <row r="196" spans="1:20" ht="15.95">
      <c r="A196">
        <f>Users!A193</f>
        <v>0</v>
      </c>
      <c r="B196" s="23"/>
      <c r="C196" s="23"/>
      <c r="D196" s="1" cm="1">
        <f t="array" ref="D196">MAX(_xlfn._xlws.FILTER(Visits!AF:AF,Visits!E:E='User Engagement'!A196))</f>
        <v>45434</v>
      </c>
      <c r="E196">
        <f>COUNTIF(Visits!$E$2:$E$993,'User Engagement'!$A196)</f>
        <v>0</v>
      </c>
      <c r="F196">
        <f>COUNTIFS(Visits!$E$2:$E$993,'User Engagement'!$A197,Visits!$AF$2:$AF$993,"&gt;"&amp;($B$1-7))</f>
        <v>0</v>
      </c>
      <c r="G196">
        <f>COUNTIFS(Visits!$E$2:$E$993,'User Engagement'!$A196,Visits!$AF$2:$AF$993,"&gt;"&amp;($B$1-30))</f>
        <v>0</v>
      </c>
      <c r="H196">
        <f>COUNTIFS(Visits!$E$2:$E$993,$A196,Visits!$AF$2:$AF$993,"&gt;"&amp;($B$1-60))-G196</f>
        <v>0</v>
      </c>
      <c r="I196">
        <f>COUNTIFS(Visits!$AG:$AG,'New Dashboard'!$A$22,Visits!$E:$E,'User Engagement'!$A196)</f>
        <v>0</v>
      </c>
      <c r="J196">
        <f>COUNTIFS(Visits!$AG:$AG,'New Dashboard'!$A$23,Visits!$E:$E,'User Engagement'!$A196)</f>
        <v>0</v>
      </c>
      <c r="K196">
        <f>COUNTIFS(Visits!$AG:$AG,'New Dashboard'!$A$24,Visits!$E:$E,'User Engagement'!$A196)</f>
        <v>0</v>
      </c>
      <c r="L196">
        <f>COUNTIFS(Visits!$AG:$AG,'New Dashboard'!$A$25,Visits!$E:$E,'User Engagement'!$A196)</f>
        <v>0</v>
      </c>
      <c r="M196">
        <f t="shared" si="19"/>
        <v>1</v>
      </c>
      <c r="N196">
        <f t="shared" si="20"/>
        <v>0</v>
      </c>
      <c r="O196">
        <f t="shared" si="20"/>
        <v>0</v>
      </c>
      <c r="P196">
        <f t="shared" ref="P196:P259" si="21">IF(G196&gt;2,N196,0)</f>
        <v>0</v>
      </c>
      <c r="Q196" s="4">
        <f>SUMIF(Visits!$E$2:$E$90,'User Engagement'!$A196,Visits!$T$2:$T$90)</f>
        <v>0</v>
      </c>
      <c r="R196" s="4">
        <f>SUMIFS(Visits!$T$2:$T$90,Visits!$E$2:$E$90,'User Engagement'!$A196,Visits!$AF$2:$AF$90,"&gt;3/28/24")</f>
        <v>0</v>
      </c>
      <c r="S196" s="13" t="e">
        <f t="shared" ref="S196:S259" si="22">Q196/E196</f>
        <v>#DIV/0!</v>
      </c>
      <c r="T196" s="13" t="str">
        <f t="shared" ref="T196:T259" si="23">IFERROR(R196/G196,"n/a")</f>
        <v>n/a</v>
      </c>
    </row>
    <row r="197" spans="1:20" ht="15.95">
      <c r="A197">
        <f>Users!A194</f>
        <v>0</v>
      </c>
      <c r="B197" s="23"/>
      <c r="C197" s="23"/>
      <c r="D197" s="1" cm="1">
        <f t="array" ref="D197">MAX(_xlfn._xlws.FILTER(Visits!AF:AF,Visits!E:E='User Engagement'!A197))</f>
        <v>45434</v>
      </c>
      <c r="E197">
        <f>COUNTIF(Visits!$E$2:$E$993,'User Engagement'!$A197)</f>
        <v>0</v>
      </c>
      <c r="F197">
        <f>COUNTIFS(Visits!$E$2:$E$993,'User Engagement'!$A198,Visits!$AF$2:$AF$993,"&gt;"&amp;($B$1-7))</f>
        <v>0</v>
      </c>
      <c r="G197">
        <f>COUNTIFS(Visits!$E$2:$E$993,'User Engagement'!$A197,Visits!$AF$2:$AF$993,"&gt;"&amp;($B$1-30))</f>
        <v>0</v>
      </c>
      <c r="H197">
        <f>COUNTIFS(Visits!$E$2:$E$993,$A197,Visits!$AF$2:$AF$993,"&gt;"&amp;($B$1-60))-G197</f>
        <v>0</v>
      </c>
      <c r="I197">
        <f>COUNTIFS(Visits!$AG:$AG,'New Dashboard'!$A$22,Visits!$E:$E,'User Engagement'!$A197)</f>
        <v>0</v>
      </c>
      <c r="J197">
        <f>COUNTIFS(Visits!$AG:$AG,'New Dashboard'!$A$23,Visits!$E:$E,'User Engagement'!$A197)</f>
        <v>0</v>
      </c>
      <c r="K197">
        <f>COUNTIFS(Visits!$AG:$AG,'New Dashboard'!$A$24,Visits!$E:$E,'User Engagement'!$A197)</f>
        <v>0</v>
      </c>
      <c r="L197">
        <f>COUNTIFS(Visits!$AG:$AG,'New Dashboard'!$A$25,Visits!$E:$E,'User Engagement'!$A197)</f>
        <v>0</v>
      </c>
      <c r="M197">
        <f t="shared" si="19"/>
        <v>1</v>
      </c>
      <c r="N197">
        <f t="shared" si="20"/>
        <v>0</v>
      </c>
      <c r="O197">
        <f t="shared" si="20"/>
        <v>0</v>
      </c>
      <c r="P197">
        <f t="shared" si="21"/>
        <v>0</v>
      </c>
      <c r="Q197" s="4">
        <f>SUMIF(Visits!$E$2:$E$90,'User Engagement'!$A197,Visits!$T$2:$T$90)</f>
        <v>0</v>
      </c>
      <c r="R197" s="4">
        <f>SUMIFS(Visits!$T$2:$T$90,Visits!$E$2:$E$90,'User Engagement'!$A197,Visits!$AF$2:$AF$90,"&gt;3/28/24")</f>
        <v>0</v>
      </c>
      <c r="S197" s="13" t="e">
        <f t="shared" si="22"/>
        <v>#DIV/0!</v>
      </c>
      <c r="T197" s="13" t="str">
        <f t="shared" si="23"/>
        <v>n/a</v>
      </c>
    </row>
    <row r="198" spans="1:20" ht="15.95">
      <c r="A198">
        <f>Users!A195</f>
        <v>0</v>
      </c>
      <c r="B198" s="23"/>
      <c r="C198" s="23"/>
      <c r="D198" s="1" cm="1">
        <f t="array" ref="D198">MAX(_xlfn._xlws.FILTER(Visits!AF:AF,Visits!E:E='User Engagement'!A198))</f>
        <v>45434</v>
      </c>
      <c r="E198">
        <f>COUNTIF(Visits!$E$2:$E$993,'User Engagement'!$A198)</f>
        <v>0</v>
      </c>
      <c r="F198">
        <f>COUNTIFS(Visits!$E$2:$E$993,'User Engagement'!$A199,Visits!$AF$2:$AF$993,"&gt;"&amp;($B$1-7))</f>
        <v>0</v>
      </c>
      <c r="G198">
        <f>COUNTIFS(Visits!$E$2:$E$993,'User Engagement'!$A198,Visits!$AF$2:$AF$993,"&gt;"&amp;($B$1-30))</f>
        <v>0</v>
      </c>
      <c r="H198">
        <f>COUNTIFS(Visits!$E$2:$E$993,$A198,Visits!$AF$2:$AF$993,"&gt;"&amp;($B$1-60))-G198</f>
        <v>0</v>
      </c>
      <c r="I198">
        <f>COUNTIFS(Visits!$AG:$AG,'New Dashboard'!$A$22,Visits!$E:$E,'User Engagement'!$A198)</f>
        <v>0</v>
      </c>
      <c r="J198">
        <f>COUNTIFS(Visits!$AG:$AG,'New Dashboard'!$A$23,Visits!$E:$E,'User Engagement'!$A198)</f>
        <v>0</v>
      </c>
      <c r="K198">
        <f>COUNTIFS(Visits!$AG:$AG,'New Dashboard'!$A$24,Visits!$E:$E,'User Engagement'!$A198)</f>
        <v>0</v>
      </c>
      <c r="L198">
        <f>COUNTIFS(Visits!$AG:$AG,'New Dashboard'!$A$25,Visits!$E:$E,'User Engagement'!$A198)</f>
        <v>0</v>
      </c>
      <c r="M198">
        <f t="shared" si="19"/>
        <v>1</v>
      </c>
      <c r="N198">
        <f t="shared" si="20"/>
        <v>0</v>
      </c>
      <c r="O198">
        <f t="shared" si="20"/>
        <v>0</v>
      </c>
      <c r="P198">
        <f t="shared" si="21"/>
        <v>0</v>
      </c>
      <c r="Q198" s="4">
        <f>SUMIF(Visits!$E$2:$E$90,'User Engagement'!$A198,Visits!$T$2:$T$90)</f>
        <v>0</v>
      </c>
      <c r="R198" s="4">
        <f>SUMIFS(Visits!$T$2:$T$90,Visits!$E$2:$E$90,'User Engagement'!$A198,Visits!$AF$2:$AF$90,"&gt;3/28/24")</f>
        <v>0</v>
      </c>
      <c r="S198" s="13" t="e">
        <f t="shared" si="22"/>
        <v>#DIV/0!</v>
      </c>
      <c r="T198" s="13" t="str">
        <f t="shared" si="23"/>
        <v>n/a</v>
      </c>
    </row>
    <row r="199" spans="1:20" ht="15.95">
      <c r="A199">
        <f>Users!A196</f>
        <v>0</v>
      </c>
      <c r="B199" s="23"/>
      <c r="C199" s="23"/>
      <c r="D199" s="1" cm="1">
        <f t="array" ref="D199">MAX(_xlfn._xlws.FILTER(Visits!AF:AF,Visits!E:E='User Engagement'!A199))</f>
        <v>45434</v>
      </c>
      <c r="E199">
        <f>COUNTIF(Visits!$E$2:$E$993,'User Engagement'!$A199)</f>
        <v>0</v>
      </c>
      <c r="F199">
        <f>COUNTIFS(Visits!$E$2:$E$993,'User Engagement'!$A200,Visits!$AF$2:$AF$993,"&gt;"&amp;($B$1-7))</f>
        <v>0</v>
      </c>
      <c r="G199">
        <f>COUNTIFS(Visits!$E$2:$E$993,'User Engagement'!$A199,Visits!$AF$2:$AF$993,"&gt;"&amp;($B$1-30))</f>
        <v>0</v>
      </c>
      <c r="H199">
        <f>COUNTIFS(Visits!$E$2:$E$993,$A199,Visits!$AF$2:$AF$993,"&gt;"&amp;($B$1-60))-G199</f>
        <v>0</v>
      </c>
      <c r="I199">
        <f>COUNTIFS(Visits!$AG:$AG,'New Dashboard'!$A$22,Visits!$E:$E,'User Engagement'!$A199)</f>
        <v>0</v>
      </c>
      <c r="J199">
        <f>COUNTIFS(Visits!$AG:$AG,'New Dashboard'!$A$23,Visits!$E:$E,'User Engagement'!$A199)</f>
        <v>0</v>
      </c>
      <c r="K199">
        <f>COUNTIFS(Visits!$AG:$AG,'New Dashboard'!$A$24,Visits!$E:$E,'User Engagement'!$A199)</f>
        <v>0</v>
      </c>
      <c r="L199">
        <f>COUNTIFS(Visits!$AG:$AG,'New Dashboard'!$A$25,Visits!$E:$E,'User Engagement'!$A199)</f>
        <v>0</v>
      </c>
      <c r="M199">
        <f t="shared" si="19"/>
        <v>1</v>
      </c>
      <c r="N199">
        <f t="shared" si="20"/>
        <v>0</v>
      </c>
      <c r="O199">
        <f t="shared" si="20"/>
        <v>0</v>
      </c>
      <c r="P199">
        <f t="shared" si="21"/>
        <v>0</v>
      </c>
      <c r="Q199" s="4">
        <f>SUMIF(Visits!$E$2:$E$90,'User Engagement'!$A199,Visits!$T$2:$T$90)</f>
        <v>0</v>
      </c>
      <c r="R199" s="4">
        <f>SUMIFS(Visits!$T$2:$T$90,Visits!$E$2:$E$90,'User Engagement'!$A199,Visits!$AF$2:$AF$90,"&gt;3/28/24")</f>
        <v>0</v>
      </c>
      <c r="S199" s="13" t="e">
        <f t="shared" si="22"/>
        <v>#DIV/0!</v>
      </c>
      <c r="T199" s="13" t="str">
        <f t="shared" si="23"/>
        <v>n/a</v>
      </c>
    </row>
    <row r="200" spans="1:20" ht="15.95">
      <c r="A200">
        <f>Users!A197</f>
        <v>0</v>
      </c>
      <c r="B200" s="23"/>
      <c r="C200" s="23"/>
      <c r="D200" s="1" cm="1">
        <f t="array" ref="D200">MAX(_xlfn._xlws.FILTER(Visits!AF:AF,Visits!E:E='User Engagement'!A200))</f>
        <v>45434</v>
      </c>
      <c r="E200">
        <f>COUNTIF(Visits!$E$2:$E$993,'User Engagement'!$A200)</f>
        <v>0</v>
      </c>
      <c r="F200">
        <f>COUNTIFS(Visits!$E$2:$E$993,'User Engagement'!$A201,Visits!$AF$2:$AF$993,"&gt;"&amp;($B$1-7))</f>
        <v>0</v>
      </c>
      <c r="G200">
        <f>COUNTIFS(Visits!$E$2:$E$993,'User Engagement'!$A200,Visits!$AF$2:$AF$993,"&gt;"&amp;($B$1-30))</f>
        <v>0</v>
      </c>
      <c r="H200">
        <f>COUNTIFS(Visits!$E$2:$E$993,$A200,Visits!$AF$2:$AF$993,"&gt;"&amp;($B$1-60))-G200</f>
        <v>0</v>
      </c>
      <c r="I200">
        <f>COUNTIFS(Visits!$AG:$AG,'New Dashboard'!$A$22,Visits!$E:$E,'User Engagement'!$A200)</f>
        <v>0</v>
      </c>
      <c r="J200">
        <f>COUNTIFS(Visits!$AG:$AG,'New Dashboard'!$A$23,Visits!$E:$E,'User Engagement'!$A200)</f>
        <v>0</v>
      </c>
      <c r="K200">
        <f>COUNTIFS(Visits!$AG:$AG,'New Dashboard'!$A$24,Visits!$E:$E,'User Engagement'!$A200)</f>
        <v>0</v>
      </c>
      <c r="L200">
        <f>COUNTIFS(Visits!$AG:$AG,'New Dashboard'!$A$25,Visits!$E:$E,'User Engagement'!$A200)</f>
        <v>0</v>
      </c>
      <c r="M200">
        <f t="shared" si="19"/>
        <v>1</v>
      </c>
      <c r="N200">
        <f t="shared" si="20"/>
        <v>0</v>
      </c>
      <c r="O200">
        <f t="shared" si="20"/>
        <v>0</v>
      </c>
      <c r="P200">
        <f t="shared" si="21"/>
        <v>0</v>
      </c>
      <c r="Q200" s="4">
        <f>SUMIF(Visits!$E$2:$E$90,'User Engagement'!$A200,Visits!$T$2:$T$90)</f>
        <v>0</v>
      </c>
      <c r="R200" s="4">
        <f>SUMIFS(Visits!$T$2:$T$90,Visits!$E$2:$E$90,'User Engagement'!$A200,Visits!$AF$2:$AF$90,"&gt;3/28/24")</f>
        <v>0</v>
      </c>
      <c r="S200" s="13" t="e">
        <f t="shared" si="22"/>
        <v>#DIV/0!</v>
      </c>
      <c r="T200" s="13" t="str">
        <f t="shared" si="23"/>
        <v>n/a</v>
      </c>
    </row>
    <row r="201" spans="1:20" ht="15.95">
      <c r="A201">
        <f>Users!A198</f>
        <v>0</v>
      </c>
      <c r="B201" s="23"/>
      <c r="C201" s="23"/>
      <c r="D201" s="1" cm="1">
        <f t="array" ref="D201">MAX(_xlfn._xlws.FILTER(Visits!AF:AF,Visits!E:E='User Engagement'!A201))</f>
        <v>45434</v>
      </c>
      <c r="E201">
        <f>COUNTIF(Visits!$E$2:$E$993,'User Engagement'!$A201)</f>
        <v>0</v>
      </c>
      <c r="F201">
        <f>COUNTIFS(Visits!$E$2:$E$993,'User Engagement'!$A202,Visits!$AF$2:$AF$993,"&gt;"&amp;($B$1-7))</f>
        <v>0</v>
      </c>
      <c r="G201">
        <f>COUNTIFS(Visits!$E$2:$E$993,'User Engagement'!$A201,Visits!$AF$2:$AF$993,"&gt;"&amp;($B$1-30))</f>
        <v>0</v>
      </c>
      <c r="H201">
        <f>COUNTIFS(Visits!$E$2:$E$993,$A201,Visits!$AF$2:$AF$993,"&gt;"&amp;($B$1-60))-G201</f>
        <v>0</v>
      </c>
      <c r="I201">
        <f>COUNTIFS(Visits!$AG:$AG,'New Dashboard'!$A$22,Visits!$E:$E,'User Engagement'!$A201)</f>
        <v>0</v>
      </c>
      <c r="J201">
        <f>COUNTIFS(Visits!$AG:$AG,'New Dashboard'!$A$23,Visits!$E:$E,'User Engagement'!$A201)</f>
        <v>0</v>
      </c>
      <c r="K201">
        <f>COUNTIFS(Visits!$AG:$AG,'New Dashboard'!$A$24,Visits!$E:$E,'User Engagement'!$A201)</f>
        <v>0</v>
      </c>
      <c r="L201">
        <f>COUNTIFS(Visits!$AG:$AG,'New Dashboard'!$A$25,Visits!$E:$E,'User Engagement'!$A201)</f>
        <v>0</v>
      </c>
      <c r="M201">
        <f t="shared" si="19"/>
        <v>1</v>
      </c>
      <c r="N201">
        <f t="shared" si="20"/>
        <v>0</v>
      </c>
      <c r="O201">
        <f t="shared" si="20"/>
        <v>0</v>
      </c>
      <c r="P201">
        <f t="shared" si="21"/>
        <v>0</v>
      </c>
      <c r="Q201" s="4">
        <f>SUMIF(Visits!$E$2:$E$90,'User Engagement'!$A201,Visits!$T$2:$T$90)</f>
        <v>0</v>
      </c>
      <c r="R201" s="4">
        <f>SUMIFS(Visits!$T$2:$T$90,Visits!$E$2:$E$90,'User Engagement'!$A201,Visits!$AF$2:$AF$90,"&gt;3/28/24")</f>
        <v>0</v>
      </c>
      <c r="S201" s="13" t="e">
        <f t="shared" si="22"/>
        <v>#DIV/0!</v>
      </c>
      <c r="T201" s="13" t="str">
        <f t="shared" si="23"/>
        <v>n/a</v>
      </c>
    </row>
    <row r="202" spans="1:20" ht="15.95">
      <c r="A202">
        <f>Users!A199</f>
        <v>0</v>
      </c>
      <c r="B202" s="23"/>
      <c r="C202" s="23"/>
      <c r="D202" s="1" cm="1">
        <f t="array" ref="D202">MAX(_xlfn._xlws.FILTER(Visits!AF:AF,Visits!E:E='User Engagement'!A202))</f>
        <v>45434</v>
      </c>
      <c r="E202">
        <f>COUNTIF(Visits!$E$2:$E$993,'User Engagement'!$A202)</f>
        <v>0</v>
      </c>
      <c r="F202">
        <f>COUNTIFS(Visits!$E$2:$E$993,'User Engagement'!$A203,Visits!$AF$2:$AF$993,"&gt;"&amp;($B$1-7))</f>
        <v>0</v>
      </c>
      <c r="G202">
        <f>COUNTIFS(Visits!$E$2:$E$993,'User Engagement'!$A202,Visits!$AF$2:$AF$993,"&gt;"&amp;($B$1-30))</f>
        <v>0</v>
      </c>
      <c r="H202">
        <f>COUNTIFS(Visits!$E$2:$E$993,$A202,Visits!$AF$2:$AF$993,"&gt;"&amp;($B$1-60))-G202</f>
        <v>0</v>
      </c>
      <c r="I202">
        <f>COUNTIFS(Visits!$AG:$AG,'New Dashboard'!$A$22,Visits!$E:$E,'User Engagement'!$A202)</f>
        <v>0</v>
      </c>
      <c r="J202">
        <f>COUNTIFS(Visits!$AG:$AG,'New Dashboard'!$A$23,Visits!$E:$E,'User Engagement'!$A202)</f>
        <v>0</v>
      </c>
      <c r="K202">
        <f>COUNTIFS(Visits!$AG:$AG,'New Dashboard'!$A$24,Visits!$E:$E,'User Engagement'!$A202)</f>
        <v>0</v>
      </c>
      <c r="L202">
        <f>COUNTIFS(Visits!$AG:$AG,'New Dashboard'!$A$25,Visits!$E:$E,'User Engagement'!$A202)</f>
        <v>0</v>
      </c>
      <c r="M202">
        <f t="shared" ref="M202:M265" si="24">IF(E202-F202=0,1,0)</f>
        <v>1</v>
      </c>
      <c r="N202">
        <f t="shared" ref="N202:O265" si="25">IF(G202&gt;0,1,0)</f>
        <v>0</v>
      </c>
      <c r="O202">
        <f t="shared" si="25"/>
        <v>0</v>
      </c>
      <c r="P202">
        <f t="shared" si="21"/>
        <v>0</v>
      </c>
      <c r="Q202" s="4">
        <f>SUMIF(Visits!$E$2:$E$90,'User Engagement'!$A202,Visits!$T$2:$T$90)</f>
        <v>0</v>
      </c>
      <c r="R202" s="4">
        <f>SUMIFS(Visits!$T$2:$T$90,Visits!$E$2:$E$90,'User Engagement'!$A202,Visits!$AF$2:$AF$90,"&gt;3/28/24")</f>
        <v>0</v>
      </c>
      <c r="S202" s="13" t="e">
        <f t="shared" si="22"/>
        <v>#DIV/0!</v>
      </c>
      <c r="T202" s="13" t="str">
        <f t="shared" si="23"/>
        <v>n/a</v>
      </c>
    </row>
    <row r="203" spans="1:20" ht="15.95">
      <c r="A203">
        <f>Users!A200</f>
        <v>0</v>
      </c>
      <c r="B203" s="23"/>
      <c r="C203" s="23"/>
      <c r="D203" s="1" cm="1">
        <f t="array" ref="D203">MAX(_xlfn._xlws.FILTER(Visits!AF:AF,Visits!E:E='User Engagement'!A203))</f>
        <v>45434</v>
      </c>
      <c r="E203">
        <f>COUNTIF(Visits!$E$2:$E$993,'User Engagement'!$A203)</f>
        <v>0</v>
      </c>
      <c r="F203">
        <f>COUNTIFS(Visits!$E$2:$E$993,'User Engagement'!$A204,Visits!$AF$2:$AF$993,"&gt;"&amp;($B$1-7))</f>
        <v>0</v>
      </c>
      <c r="G203">
        <f>COUNTIFS(Visits!$E$2:$E$993,'User Engagement'!$A203,Visits!$AF$2:$AF$993,"&gt;"&amp;($B$1-30))</f>
        <v>0</v>
      </c>
      <c r="H203">
        <f>COUNTIFS(Visits!$E$2:$E$993,$A203,Visits!$AF$2:$AF$993,"&gt;"&amp;($B$1-60))-G203</f>
        <v>0</v>
      </c>
      <c r="I203">
        <f>COUNTIFS(Visits!$AG:$AG,'New Dashboard'!$A$22,Visits!$E:$E,'User Engagement'!$A203)</f>
        <v>0</v>
      </c>
      <c r="J203">
        <f>COUNTIFS(Visits!$AG:$AG,'New Dashboard'!$A$23,Visits!$E:$E,'User Engagement'!$A203)</f>
        <v>0</v>
      </c>
      <c r="K203">
        <f>COUNTIFS(Visits!$AG:$AG,'New Dashboard'!$A$24,Visits!$E:$E,'User Engagement'!$A203)</f>
        <v>0</v>
      </c>
      <c r="L203">
        <f>COUNTIFS(Visits!$AG:$AG,'New Dashboard'!$A$25,Visits!$E:$E,'User Engagement'!$A203)</f>
        <v>0</v>
      </c>
      <c r="M203">
        <f t="shared" si="24"/>
        <v>1</v>
      </c>
      <c r="N203">
        <f t="shared" si="25"/>
        <v>0</v>
      </c>
      <c r="O203">
        <f t="shared" si="25"/>
        <v>0</v>
      </c>
      <c r="P203">
        <f t="shared" si="21"/>
        <v>0</v>
      </c>
      <c r="Q203" s="4">
        <f>SUMIF(Visits!$E$2:$E$90,'User Engagement'!$A203,Visits!$T$2:$T$90)</f>
        <v>0</v>
      </c>
      <c r="R203" s="4">
        <f>SUMIFS(Visits!$T$2:$T$90,Visits!$E$2:$E$90,'User Engagement'!$A203,Visits!$AF$2:$AF$90,"&gt;3/28/24")</f>
        <v>0</v>
      </c>
      <c r="S203" s="13" t="e">
        <f t="shared" si="22"/>
        <v>#DIV/0!</v>
      </c>
      <c r="T203" s="13" t="str">
        <f t="shared" si="23"/>
        <v>n/a</v>
      </c>
    </row>
    <row r="204" spans="1:20" ht="15.95">
      <c r="A204">
        <f>Users!A201</f>
        <v>0</v>
      </c>
      <c r="B204" s="23"/>
      <c r="C204" s="23"/>
      <c r="D204" s="1" cm="1">
        <f t="array" ref="D204">MAX(_xlfn._xlws.FILTER(Visits!AF:AF,Visits!E:E='User Engagement'!A204))</f>
        <v>45434</v>
      </c>
      <c r="E204">
        <f>COUNTIF(Visits!$E$2:$E$993,'User Engagement'!$A204)</f>
        <v>0</v>
      </c>
      <c r="F204">
        <f>COUNTIFS(Visits!$E$2:$E$993,'User Engagement'!$A205,Visits!$AF$2:$AF$993,"&gt;"&amp;($B$1-7))</f>
        <v>0</v>
      </c>
      <c r="G204">
        <f>COUNTIFS(Visits!$E$2:$E$993,'User Engagement'!$A204,Visits!$AF$2:$AF$993,"&gt;"&amp;($B$1-30))</f>
        <v>0</v>
      </c>
      <c r="H204">
        <f>COUNTIFS(Visits!$E$2:$E$993,$A204,Visits!$AF$2:$AF$993,"&gt;"&amp;($B$1-60))-G204</f>
        <v>0</v>
      </c>
      <c r="I204">
        <f>COUNTIFS(Visits!$AG:$AG,'New Dashboard'!$A$22,Visits!$E:$E,'User Engagement'!$A204)</f>
        <v>0</v>
      </c>
      <c r="J204">
        <f>COUNTIFS(Visits!$AG:$AG,'New Dashboard'!$A$23,Visits!$E:$E,'User Engagement'!$A204)</f>
        <v>0</v>
      </c>
      <c r="K204">
        <f>COUNTIFS(Visits!$AG:$AG,'New Dashboard'!$A$24,Visits!$E:$E,'User Engagement'!$A204)</f>
        <v>0</v>
      </c>
      <c r="L204">
        <f>COUNTIFS(Visits!$AG:$AG,'New Dashboard'!$A$25,Visits!$E:$E,'User Engagement'!$A204)</f>
        <v>0</v>
      </c>
      <c r="M204">
        <f t="shared" si="24"/>
        <v>1</v>
      </c>
      <c r="N204">
        <f t="shared" si="25"/>
        <v>0</v>
      </c>
      <c r="O204">
        <f t="shared" si="25"/>
        <v>0</v>
      </c>
      <c r="P204">
        <f t="shared" si="21"/>
        <v>0</v>
      </c>
      <c r="Q204" s="4">
        <f>SUMIF(Visits!$E$2:$E$90,'User Engagement'!$A204,Visits!$T$2:$T$90)</f>
        <v>0</v>
      </c>
      <c r="R204" s="4">
        <f>SUMIFS(Visits!$T$2:$T$90,Visits!$E$2:$E$90,'User Engagement'!$A204,Visits!$AF$2:$AF$90,"&gt;3/28/24")</f>
        <v>0</v>
      </c>
      <c r="S204" s="13" t="e">
        <f t="shared" si="22"/>
        <v>#DIV/0!</v>
      </c>
      <c r="T204" s="13" t="str">
        <f t="shared" si="23"/>
        <v>n/a</v>
      </c>
    </row>
    <row r="205" spans="1:20" ht="15.95">
      <c r="A205">
        <f>Users!A202</f>
        <v>0</v>
      </c>
      <c r="B205" s="23"/>
      <c r="C205" s="23"/>
      <c r="D205" s="1" cm="1">
        <f t="array" ref="D205">MAX(_xlfn._xlws.FILTER(Visits!AF:AF,Visits!E:E='User Engagement'!A205))</f>
        <v>45434</v>
      </c>
      <c r="E205">
        <f>COUNTIF(Visits!$E$2:$E$993,'User Engagement'!$A205)</f>
        <v>0</v>
      </c>
      <c r="F205">
        <f>COUNTIFS(Visits!$E$2:$E$993,'User Engagement'!$A206,Visits!$AF$2:$AF$993,"&gt;"&amp;($B$1-7))</f>
        <v>0</v>
      </c>
      <c r="G205">
        <f>COUNTIFS(Visits!$E$2:$E$993,'User Engagement'!$A205,Visits!$AF$2:$AF$993,"&gt;"&amp;($B$1-30))</f>
        <v>0</v>
      </c>
      <c r="H205">
        <f>COUNTIFS(Visits!$E$2:$E$993,$A205,Visits!$AF$2:$AF$993,"&gt;"&amp;($B$1-60))-G205</f>
        <v>0</v>
      </c>
      <c r="I205">
        <f>COUNTIFS(Visits!$AG:$AG,'New Dashboard'!$A$22,Visits!$E:$E,'User Engagement'!$A205)</f>
        <v>0</v>
      </c>
      <c r="J205">
        <f>COUNTIFS(Visits!$AG:$AG,'New Dashboard'!$A$23,Visits!$E:$E,'User Engagement'!$A205)</f>
        <v>0</v>
      </c>
      <c r="K205">
        <f>COUNTIFS(Visits!$AG:$AG,'New Dashboard'!$A$24,Visits!$E:$E,'User Engagement'!$A205)</f>
        <v>0</v>
      </c>
      <c r="L205">
        <f>COUNTIFS(Visits!$AG:$AG,'New Dashboard'!$A$25,Visits!$E:$E,'User Engagement'!$A205)</f>
        <v>0</v>
      </c>
      <c r="M205">
        <f t="shared" si="24"/>
        <v>1</v>
      </c>
      <c r="N205">
        <f t="shared" si="25"/>
        <v>0</v>
      </c>
      <c r="O205">
        <f t="shared" si="25"/>
        <v>0</v>
      </c>
      <c r="P205">
        <f t="shared" si="21"/>
        <v>0</v>
      </c>
      <c r="Q205" s="4">
        <f>SUMIF(Visits!$E$2:$E$90,'User Engagement'!$A205,Visits!$T$2:$T$90)</f>
        <v>0</v>
      </c>
      <c r="R205" s="4">
        <f>SUMIFS(Visits!$T$2:$T$90,Visits!$E$2:$E$90,'User Engagement'!$A205,Visits!$AF$2:$AF$90,"&gt;3/28/24")</f>
        <v>0</v>
      </c>
      <c r="S205" s="13" t="e">
        <f t="shared" si="22"/>
        <v>#DIV/0!</v>
      </c>
      <c r="T205" s="13" t="str">
        <f t="shared" si="23"/>
        <v>n/a</v>
      </c>
    </row>
    <row r="206" spans="1:20" ht="15.95">
      <c r="A206">
        <f>Users!A203</f>
        <v>0</v>
      </c>
      <c r="B206" s="23"/>
      <c r="C206" s="23"/>
      <c r="D206" s="1" cm="1">
        <f t="array" ref="D206">MAX(_xlfn._xlws.FILTER(Visits!AF:AF,Visits!E:E='User Engagement'!A206))</f>
        <v>45434</v>
      </c>
      <c r="E206">
        <f>COUNTIF(Visits!$E$2:$E$993,'User Engagement'!$A206)</f>
        <v>0</v>
      </c>
      <c r="F206">
        <f>COUNTIFS(Visits!$E$2:$E$993,'User Engagement'!$A207,Visits!$AF$2:$AF$993,"&gt;"&amp;($B$1-7))</f>
        <v>0</v>
      </c>
      <c r="G206">
        <f>COUNTIFS(Visits!$E$2:$E$993,'User Engagement'!$A206,Visits!$AF$2:$AF$993,"&gt;"&amp;($B$1-30))</f>
        <v>0</v>
      </c>
      <c r="H206">
        <f>COUNTIFS(Visits!$E$2:$E$993,$A206,Visits!$AF$2:$AF$993,"&gt;"&amp;($B$1-60))-G206</f>
        <v>0</v>
      </c>
      <c r="I206">
        <f>COUNTIFS(Visits!$AG:$AG,'New Dashboard'!$A$22,Visits!$E:$E,'User Engagement'!$A206)</f>
        <v>0</v>
      </c>
      <c r="J206">
        <f>COUNTIFS(Visits!$AG:$AG,'New Dashboard'!$A$23,Visits!$E:$E,'User Engagement'!$A206)</f>
        <v>0</v>
      </c>
      <c r="K206">
        <f>COUNTIFS(Visits!$AG:$AG,'New Dashboard'!$A$24,Visits!$E:$E,'User Engagement'!$A206)</f>
        <v>0</v>
      </c>
      <c r="L206">
        <f>COUNTIFS(Visits!$AG:$AG,'New Dashboard'!$A$25,Visits!$E:$E,'User Engagement'!$A206)</f>
        <v>0</v>
      </c>
      <c r="M206">
        <f t="shared" si="24"/>
        <v>1</v>
      </c>
      <c r="N206">
        <f t="shared" si="25"/>
        <v>0</v>
      </c>
      <c r="O206">
        <f t="shared" si="25"/>
        <v>0</v>
      </c>
      <c r="P206">
        <f t="shared" si="21"/>
        <v>0</v>
      </c>
      <c r="Q206" s="4">
        <f>SUMIF(Visits!$E$2:$E$90,'User Engagement'!$A206,Visits!$T$2:$T$90)</f>
        <v>0</v>
      </c>
      <c r="R206" s="4">
        <f>SUMIFS(Visits!$T$2:$T$90,Visits!$E$2:$E$90,'User Engagement'!$A206,Visits!$AF$2:$AF$90,"&gt;3/28/24")</f>
        <v>0</v>
      </c>
      <c r="S206" s="13" t="e">
        <f t="shared" si="22"/>
        <v>#DIV/0!</v>
      </c>
      <c r="T206" s="13" t="str">
        <f t="shared" si="23"/>
        <v>n/a</v>
      </c>
    </row>
    <row r="207" spans="1:20" ht="15.95">
      <c r="A207">
        <f>Users!A204</f>
        <v>0</v>
      </c>
      <c r="B207" s="23"/>
      <c r="C207" s="23"/>
      <c r="D207" s="1" cm="1">
        <f t="array" ref="D207">MAX(_xlfn._xlws.FILTER(Visits!AF:AF,Visits!E:E='User Engagement'!A207))</f>
        <v>45434</v>
      </c>
      <c r="E207">
        <f>COUNTIF(Visits!$E$2:$E$993,'User Engagement'!$A207)</f>
        <v>0</v>
      </c>
      <c r="F207">
        <f>COUNTIFS(Visits!$E$2:$E$993,'User Engagement'!$A208,Visits!$AF$2:$AF$993,"&gt;"&amp;($B$1-7))</f>
        <v>0</v>
      </c>
      <c r="G207">
        <f>COUNTIFS(Visits!$E$2:$E$993,'User Engagement'!$A207,Visits!$AF$2:$AF$993,"&gt;"&amp;($B$1-30))</f>
        <v>0</v>
      </c>
      <c r="H207">
        <f>COUNTIFS(Visits!$E$2:$E$993,$A207,Visits!$AF$2:$AF$993,"&gt;"&amp;($B$1-60))-G207</f>
        <v>0</v>
      </c>
      <c r="I207">
        <f>COUNTIFS(Visits!$AG:$AG,'New Dashboard'!$A$22,Visits!$E:$E,'User Engagement'!$A207)</f>
        <v>0</v>
      </c>
      <c r="J207">
        <f>COUNTIFS(Visits!$AG:$AG,'New Dashboard'!$A$23,Visits!$E:$E,'User Engagement'!$A207)</f>
        <v>0</v>
      </c>
      <c r="K207">
        <f>COUNTIFS(Visits!$AG:$AG,'New Dashboard'!$A$24,Visits!$E:$E,'User Engagement'!$A207)</f>
        <v>0</v>
      </c>
      <c r="L207">
        <f>COUNTIFS(Visits!$AG:$AG,'New Dashboard'!$A$25,Visits!$E:$E,'User Engagement'!$A207)</f>
        <v>0</v>
      </c>
      <c r="M207">
        <f t="shared" si="24"/>
        <v>1</v>
      </c>
      <c r="N207">
        <f t="shared" si="25"/>
        <v>0</v>
      </c>
      <c r="O207">
        <f t="shared" si="25"/>
        <v>0</v>
      </c>
      <c r="P207">
        <f t="shared" si="21"/>
        <v>0</v>
      </c>
      <c r="Q207" s="4">
        <f>SUMIF(Visits!$E$2:$E$90,'User Engagement'!$A207,Visits!$T$2:$T$90)</f>
        <v>0</v>
      </c>
      <c r="R207" s="4">
        <f>SUMIFS(Visits!$T$2:$T$90,Visits!$E$2:$E$90,'User Engagement'!$A207,Visits!$AF$2:$AF$90,"&gt;3/28/24")</f>
        <v>0</v>
      </c>
      <c r="S207" s="13" t="e">
        <f t="shared" si="22"/>
        <v>#DIV/0!</v>
      </c>
      <c r="T207" s="13" t="str">
        <f t="shared" si="23"/>
        <v>n/a</v>
      </c>
    </row>
    <row r="208" spans="1:20" ht="15.95">
      <c r="A208">
        <f>Users!A205</f>
        <v>0</v>
      </c>
      <c r="B208" s="23"/>
      <c r="C208" s="23"/>
      <c r="D208" s="1" cm="1">
        <f t="array" ref="D208">MAX(_xlfn._xlws.FILTER(Visits!AF:AF,Visits!E:E='User Engagement'!A208))</f>
        <v>45434</v>
      </c>
      <c r="E208">
        <f>COUNTIF(Visits!$E$2:$E$993,'User Engagement'!$A208)</f>
        <v>0</v>
      </c>
      <c r="F208">
        <f>COUNTIFS(Visits!$E$2:$E$993,'User Engagement'!$A209,Visits!$AF$2:$AF$993,"&gt;"&amp;($B$1-7))</f>
        <v>0</v>
      </c>
      <c r="G208">
        <f>COUNTIFS(Visits!$E$2:$E$993,'User Engagement'!$A208,Visits!$AF$2:$AF$993,"&gt;"&amp;($B$1-30))</f>
        <v>0</v>
      </c>
      <c r="H208">
        <f>COUNTIFS(Visits!$E$2:$E$993,$A208,Visits!$AF$2:$AF$993,"&gt;"&amp;($B$1-60))-G208</f>
        <v>0</v>
      </c>
      <c r="I208">
        <f>COUNTIFS(Visits!$AG:$AG,'New Dashboard'!$A$22,Visits!$E:$E,'User Engagement'!$A208)</f>
        <v>0</v>
      </c>
      <c r="J208">
        <f>COUNTIFS(Visits!$AG:$AG,'New Dashboard'!$A$23,Visits!$E:$E,'User Engagement'!$A208)</f>
        <v>0</v>
      </c>
      <c r="K208">
        <f>COUNTIFS(Visits!$AG:$AG,'New Dashboard'!$A$24,Visits!$E:$E,'User Engagement'!$A208)</f>
        <v>0</v>
      </c>
      <c r="L208">
        <f>COUNTIFS(Visits!$AG:$AG,'New Dashboard'!$A$25,Visits!$E:$E,'User Engagement'!$A208)</f>
        <v>0</v>
      </c>
      <c r="M208">
        <f t="shared" si="24"/>
        <v>1</v>
      </c>
      <c r="N208">
        <f t="shared" si="25"/>
        <v>0</v>
      </c>
      <c r="O208">
        <f t="shared" si="25"/>
        <v>0</v>
      </c>
      <c r="P208">
        <f t="shared" si="21"/>
        <v>0</v>
      </c>
      <c r="Q208" s="4">
        <f>SUMIF(Visits!$E$2:$E$90,'User Engagement'!$A208,Visits!$T$2:$T$90)</f>
        <v>0</v>
      </c>
      <c r="R208" s="4">
        <f>SUMIFS(Visits!$T$2:$T$90,Visits!$E$2:$E$90,'User Engagement'!$A208,Visits!$AF$2:$AF$90,"&gt;3/28/24")</f>
        <v>0</v>
      </c>
      <c r="S208" s="13" t="e">
        <f t="shared" si="22"/>
        <v>#DIV/0!</v>
      </c>
      <c r="T208" s="13" t="str">
        <f t="shared" si="23"/>
        <v>n/a</v>
      </c>
    </row>
    <row r="209" spans="1:20" ht="15.95">
      <c r="A209">
        <f>Users!A206</f>
        <v>0</v>
      </c>
      <c r="B209" s="23"/>
      <c r="C209" s="23"/>
      <c r="D209" s="1" cm="1">
        <f t="array" ref="D209">MAX(_xlfn._xlws.FILTER(Visits!AF:AF,Visits!E:E='User Engagement'!A209))</f>
        <v>45434</v>
      </c>
      <c r="E209">
        <f>COUNTIF(Visits!$E$2:$E$993,'User Engagement'!$A209)</f>
        <v>0</v>
      </c>
      <c r="F209">
        <f>COUNTIFS(Visits!$E$2:$E$993,'User Engagement'!$A210,Visits!$AF$2:$AF$993,"&gt;"&amp;($B$1-7))</f>
        <v>0</v>
      </c>
      <c r="G209">
        <f>COUNTIFS(Visits!$E$2:$E$993,'User Engagement'!$A209,Visits!$AF$2:$AF$993,"&gt;"&amp;($B$1-30))</f>
        <v>0</v>
      </c>
      <c r="H209">
        <f>COUNTIFS(Visits!$E$2:$E$993,$A209,Visits!$AF$2:$AF$993,"&gt;"&amp;($B$1-60))-G209</f>
        <v>0</v>
      </c>
      <c r="I209">
        <f>COUNTIFS(Visits!$AG:$AG,'New Dashboard'!$A$22,Visits!$E:$E,'User Engagement'!$A209)</f>
        <v>0</v>
      </c>
      <c r="J209">
        <f>COUNTIFS(Visits!$AG:$AG,'New Dashboard'!$A$23,Visits!$E:$E,'User Engagement'!$A209)</f>
        <v>0</v>
      </c>
      <c r="K209">
        <f>COUNTIFS(Visits!$AG:$AG,'New Dashboard'!$A$24,Visits!$E:$E,'User Engagement'!$A209)</f>
        <v>0</v>
      </c>
      <c r="L209">
        <f>COUNTIFS(Visits!$AG:$AG,'New Dashboard'!$A$25,Visits!$E:$E,'User Engagement'!$A209)</f>
        <v>0</v>
      </c>
      <c r="M209">
        <f t="shared" si="24"/>
        <v>1</v>
      </c>
      <c r="N209">
        <f t="shared" si="25"/>
        <v>0</v>
      </c>
      <c r="O209">
        <f t="shared" si="25"/>
        <v>0</v>
      </c>
      <c r="P209">
        <f t="shared" si="21"/>
        <v>0</v>
      </c>
      <c r="Q209" s="4">
        <f>SUMIF(Visits!$E$2:$E$90,'User Engagement'!$A209,Visits!$T$2:$T$90)</f>
        <v>0</v>
      </c>
      <c r="R209" s="4">
        <f>SUMIFS(Visits!$T$2:$T$90,Visits!$E$2:$E$90,'User Engagement'!$A209,Visits!$AF$2:$AF$90,"&gt;3/28/24")</f>
        <v>0</v>
      </c>
      <c r="S209" s="13" t="e">
        <f t="shared" si="22"/>
        <v>#DIV/0!</v>
      </c>
      <c r="T209" s="13" t="str">
        <f t="shared" si="23"/>
        <v>n/a</v>
      </c>
    </row>
    <row r="210" spans="1:20" ht="15.95">
      <c r="A210">
        <f>Users!A207</f>
        <v>0</v>
      </c>
      <c r="B210" s="23"/>
      <c r="C210" s="23"/>
      <c r="D210" s="1" cm="1">
        <f t="array" ref="D210">MAX(_xlfn._xlws.FILTER(Visits!AF:AF,Visits!E:E='User Engagement'!A210))</f>
        <v>45434</v>
      </c>
      <c r="E210">
        <f>COUNTIF(Visits!$E$2:$E$993,'User Engagement'!$A210)</f>
        <v>0</v>
      </c>
      <c r="F210">
        <f>COUNTIFS(Visits!$E$2:$E$993,'User Engagement'!$A211,Visits!$AF$2:$AF$993,"&gt;"&amp;($B$1-7))</f>
        <v>0</v>
      </c>
      <c r="G210">
        <f>COUNTIFS(Visits!$E$2:$E$993,'User Engagement'!$A210,Visits!$AF$2:$AF$993,"&gt;"&amp;($B$1-30))</f>
        <v>0</v>
      </c>
      <c r="H210">
        <f>COUNTIFS(Visits!$E$2:$E$993,$A210,Visits!$AF$2:$AF$993,"&gt;"&amp;($B$1-60))-G210</f>
        <v>0</v>
      </c>
      <c r="I210">
        <f>COUNTIFS(Visits!$AG:$AG,'New Dashboard'!$A$22,Visits!$E:$E,'User Engagement'!$A210)</f>
        <v>0</v>
      </c>
      <c r="J210">
        <f>COUNTIFS(Visits!$AG:$AG,'New Dashboard'!$A$23,Visits!$E:$E,'User Engagement'!$A210)</f>
        <v>0</v>
      </c>
      <c r="K210">
        <f>COUNTIFS(Visits!$AG:$AG,'New Dashboard'!$A$24,Visits!$E:$E,'User Engagement'!$A210)</f>
        <v>0</v>
      </c>
      <c r="L210">
        <f>COUNTIFS(Visits!$AG:$AG,'New Dashboard'!$A$25,Visits!$E:$E,'User Engagement'!$A210)</f>
        <v>0</v>
      </c>
      <c r="M210">
        <f t="shared" si="24"/>
        <v>1</v>
      </c>
      <c r="N210">
        <f t="shared" si="25"/>
        <v>0</v>
      </c>
      <c r="O210">
        <f t="shared" si="25"/>
        <v>0</v>
      </c>
      <c r="P210">
        <f t="shared" si="21"/>
        <v>0</v>
      </c>
      <c r="Q210" s="4">
        <f>SUMIF(Visits!$E$2:$E$90,'User Engagement'!$A210,Visits!$T$2:$T$90)</f>
        <v>0</v>
      </c>
      <c r="R210" s="4">
        <f>SUMIFS(Visits!$T$2:$T$90,Visits!$E$2:$E$90,'User Engagement'!$A210,Visits!$AF$2:$AF$90,"&gt;3/28/24")</f>
        <v>0</v>
      </c>
      <c r="S210" s="13" t="e">
        <f t="shared" si="22"/>
        <v>#DIV/0!</v>
      </c>
      <c r="T210" s="13" t="str">
        <f t="shared" si="23"/>
        <v>n/a</v>
      </c>
    </row>
    <row r="211" spans="1:20" ht="15.95">
      <c r="A211">
        <f>Users!A208</f>
        <v>0</v>
      </c>
      <c r="B211" s="23"/>
      <c r="C211" s="23"/>
      <c r="D211" s="1" cm="1">
        <f t="array" ref="D211">MAX(_xlfn._xlws.FILTER(Visits!AF:AF,Visits!E:E='User Engagement'!A211))</f>
        <v>45434</v>
      </c>
      <c r="E211">
        <f>COUNTIF(Visits!$E$2:$E$993,'User Engagement'!$A211)</f>
        <v>0</v>
      </c>
      <c r="F211">
        <f>COUNTIFS(Visits!$E$2:$E$993,'User Engagement'!$A212,Visits!$AF$2:$AF$993,"&gt;"&amp;($B$1-7))</f>
        <v>0</v>
      </c>
      <c r="G211">
        <f>COUNTIFS(Visits!$E$2:$E$993,'User Engagement'!$A211,Visits!$AF$2:$AF$993,"&gt;"&amp;($B$1-30))</f>
        <v>0</v>
      </c>
      <c r="H211">
        <f>COUNTIFS(Visits!$E$2:$E$993,$A211,Visits!$AF$2:$AF$993,"&gt;"&amp;($B$1-60))-G211</f>
        <v>0</v>
      </c>
      <c r="I211">
        <f>COUNTIFS(Visits!$AG:$AG,'New Dashboard'!$A$22,Visits!$E:$E,'User Engagement'!$A211)</f>
        <v>0</v>
      </c>
      <c r="J211">
        <f>COUNTIFS(Visits!$AG:$AG,'New Dashboard'!$A$23,Visits!$E:$E,'User Engagement'!$A211)</f>
        <v>0</v>
      </c>
      <c r="K211">
        <f>COUNTIFS(Visits!$AG:$AG,'New Dashboard'!$A$24,Visits!$E:$E,'User Engagement'!$A211)</f>
        <v>0</v>
      </c>
      <c r="L211">
        <f>COUNTIFS(Visits!$AG:$AG,'New Dashboard'!$A$25,Visits!$E:$E,'User Engagement'!$A211)</f>
        <v>0</v>
      </c>
      <c r="M211">
        <f t="shared" si="24"/>
        <v>1</v>
      </c>
      <c r="N211">
        <f t="shared" si="25"/>
        <v>0</v>
      </c>
      <c r="O211">
        <f t="shared" si="25"/>
        <v>0</v>
      </c>
      <c r="P211">
        <f t="shared" si="21"/>
        <v>0</v>
      </c>
      <c r="Q211" s="4">
        <f>SUMIF(Visits!$E$2:$E$90,'User Engagement'!$A211,Visits!$T$2:$T$90)</f>
        <v>0</v>
      </c>
      <c r="R211" s="4">
        <f>SUMIFS(Visits!$T$2:$T$90,Visits!$E$2:$E$90,'User Engagement'!$A211,Visits!$AF$2:$AF$90,"&gt;3/28/24")</f>
        <v>0</v>
      </c>
      <c r="S211" s="13" t="e">
        <f t="shared" si="22"/>
        <v>#DIV/0!</v>
      </c>
      <c r="T211" s="13" t="str">
        <f t="shared" si="23"/>
        <v>n/a</v>
      </c>
    </row>
    <row r="212" spans="1:20" ht="15.95">
      <c r="A212">
        <f>Users!A209</f>
        <v>0</v>
      </c>
      <c r="B212" s="23"/>
      <c r="C212" s="23"/>
      <c r="D212" s="1" cm="1">
        <f t="array" ref="D212">MAX(_xlfn._xlws.FILTER(Visits!AF:AF,Visits!E:E='User Engagement'!A212))</f>
        <v>45434</v>
      </c>
      <c r="E212">
        <f>COUNTIF(Visits!$E$2:$E$993,'User Engagement'!$A212)</f>
        <v>0</v>
      </c>
      <c r="F212">
        <f>COUNTIFS(Visits!$E$2:$E$993,'User Engagement'!$A213,Visits!$AF$2:$AF$993,"&gt;"&amp;($B$1-7))</f>
        <v>0</v>
      </c>
      <c r="G212">
        <f>COUNTIFS(Visits!$E$2:$E$993,'User Engagement'!$A212,Visits!$AF$2:$AF$993,"&gt;"&amp;($B$1-30))</f>
        <v>0</v>
      </c>
      <c r="H212">
        <f>COUNTIFS(Visits!$E$2:$E$993,$A212,Visits!$AF$2:$AF$993,"&gt;"&amp;($B$1-60))-G212</f>
        <v>0</v>
      </c>
      <c r="I212">
        <f>COUNTIFS(Visits!$AG:$AG,'New Dashboard'!$A$22,Visits!$E:$E,'User Engagement'!$A212)</f>
        <v>0</v>
      </c>
      <c r="J212">
        <f>COUNTIFS(Visits!$AG:$AG,'New Dashboard'!$A$23,Visits!$E:$E,'User Engagement'!$A212)</f>
        <v>0</v>
      </c>
      <c r="K212">
        <f>COUNTIFS(Visits!$AG:$AG,'New Dashboard'!$A$24,Visits!$E:$E,'User Engagement'!$A212)</f>
        <v>0</v>
      </c>
      <c r="L212">
        <f>COUNTIFS(Visits!$AG:$AG,'New Dashboard'!$A$25,Visits!$E:$E,'User Engagement'!$A212)</f>
        <v>0</v>
      </c>
      <c r="M212">
        <f t="shared" si="24"/>
        <v>1</v>
      </c>
      <c r="N212">
        <f t="shared" si="25"/>
        <v>0</v>
      </c>
      <c r="O212">
        <f t="shared" si="25"/>
        <v>0</v>
      </c>
      <c r="P212">
        <f t="shared" si="21"/>
        <v>0</v>
      </c>
      <c r="Q212" s="4">
        <f>SUMIF(Visits!$E$2:$E$90,'User Engagement'!$A212,Visits!$T$2:$T$90)</f>
        <v>0</v>
      </c>
      <c r="R212" s="4">
        <f>SUMIFS(Visits!$T$2:$T$90,Visits!$E$2:$E$90,'User Engagement'!$A212,Visits!$AF$2:$AF$90,"&gt;3/28/24")</f>
        <v>0</v>
      </c>
      <c r="S212" s="13" t="e">
        <f t="shared" si="22"/>
        <v>#DIV/0!</v>
      </c>
      <c r="T212" s="13" t="str">
        <f t="shared" si="23"/>
        <v>n/a</v>
      </c>
    </row>
    <row r="213" spans="1:20" ht="15.95">
      <c r="A213">
        <f>Users!A210</f>
        <v>0</v>
      </c>
      <c r="B213" s="23"/>
      <c r="C213" s="23"/>
      <c r="D213" s="1" cm="1">
        <f t="array" ref="D213">MAX(_xlfn._xlws.FILTER(Visits!AF:AF,Visits!E:E='User Engagement'!A213))</f>
        <v>45434</v>
      </c>
      <c r="E213">
        <f>COUNTIF(Visits!$E$2:$E$993,'User Engagement'!$A213)</f>
        <v>0</v>
      </c>
      <c r="F213">
        <f>COUNTIFS(Visits!$E$2:$E$993,'User Engagement'!$A214,Visits!$AF$2:$AF$993,"&gt;"&amp;($B$1-7))</f>
        <v>0</v>
      </c>
      <c r="G213">
        <f>COUNTIFS(Visits!$E$2:$E$993,'User Engagement'!$A213,Visits!$AF$2:$AF$993,"&gt;"&amp;($B$1-30))</f>
        <v>0</v>
      </c>
      <c r="H213">
        <f>COUNTIFS(Visits!$E$2:$E$993,$A213,Visits!$AF$2:$AF$993,"&gt;"&amp;($B$1-60))-G213</f>
        <v>0</v>
      </c>
      <c r="I213">
        <f>COUNTIFS(Visits!$AG:$AG,'New Dashboard'!$A$22,Visits!$E:$E,'User Engagement'!$A213)</f>
        <v>0</v>
      </c>
      <c r="J213">
        <f>COUNTIFS(Visits!$AG:$AG,'New Dashboard'!$A$23,Visits!$E:$E,'User Engagement'!$A213)</f>
        <v>0</v>
      </c>
      <c r="K213">
        <f>COUNTIFS(Visits!$AG:$AG,'New Dashboard'!$A$24,Visits!$E:$E,'User Engagement'!$A213)</f>
        <v>0</v>
      </c>
      <c r="L213">
        <f>COUNTIFS(Visits!$AG:$AG,'New Dashboard'!$A$25,Visits!$E:$E,'User Engagement'!$A213)</f>
        <v>0</v>
      </c>
      <c r="M213">
        <f t="shared" si="24"/>
        <v>1</v>
      </c>
      <c r="N213">
        <f t="shared" si="25"/>
        <v>0</v>
      </c>
      <c r="O213">
        <f t="shared" si="25"/>
        <v>0</v>
      </c>
      <c r="P213">
        <f t="shared" si="21"/>
        <v>0</v>
      </c>
      <c r="Q213" s="4">
        <f>SUMIF(Visits!$E$2:$E$90,'User Engagement'!$A213,Visits!$T$2:$T$90)</f>
        <v>0</v>
      </c>
      <c r="R213" s="4">
        <f>SUMIFS(Visits!$T$2:$T$90,Visits!$E$2:$E$90,'User Engagement'!$A213,Visits!$AF$2:$AF$90,"&gt;3/28/24")</f>
        <v>0</v>
      </c>
      <c r="S213" s="13" t="e">
        <f t="shared" si="22"/>
        <v>#DIV/0!</v>
      </c>
      <c r="T213" s="13" t="str">
        <f t="shared" si="23"/>
        <v>n/a</v>
      </c>
    </row>
    <row r="214" spans="1:20" ht="15.95">
      <c r="A214">
        <f>Users!A211</f>
        <v>0</v>
      </c>
      <c r="B214" s="23"/>
      <c r="C214" s="23"/>
      <c r="D214" s="1" cm="1">
        <f t="array" ref="D214">MAX(_xlfn._xlws.FILTER(Visits!AF:AF,Visits!E:E='User Engagement'!A214))</f>
        <v>45434</v>
      </c>
      <c r="E214">
        <f>COUNTIF(Visits!$E$2:$E$993,'User Engagement'!$A214)</f>
        <v>0</v>
      </c>
      <c r="F214">
        <f>COUNTIFS(Visits!$E$2:$E$993,'User Engagement'!$A215,Visits!$AF$2:$AF$993,"&gt;"&amp;($B$1-7))</f>
        <v>0</v>
      </c>
      <c r="G214">
        <f>COUNTIFS(Visits!$E$2:$E$993,'User Engagement'!$A214,Visits!$AF$2:$AF$993,"&gt;"&amp;($B$1-30))</f>
        <v>0</v>
      </c>
      <c r="H214">
        <f>COUNTIFS(Visits!$E$2:$E$993,$A214,Visits!$AF$2:$AF$993,"&gt;"&amp;($B$1-60))-G214</f>
        <v>0</v>
      </c>
      <c r="I214">
        <f>COUNTIFS(Visits!$AG:$AG,'New Dashboard'!$A$22,Visits!$E:$E,'User Engagement'!$A214)</f>
        <v>0</v>
      </c>
      <c r="J214">
        <f>COUNTIFS(Visits!$AG:$AG,'New Dashboard'!$A$23,Visits!$E:$E,'User Engagement'!$A214)</f>
        <v>0</v>
      </c>
      <c r="K214">
        <f>COUNTIFS(Visits!$AG:$AG,'New Dashboard'!$A$24,Visits!$E:$E,'User Engagement'!$A214)</f>
        <v>0</v>
      </c>
      <c r="L214">
        <f>COUNTIFS(Visits!$AG:$AG,'New Dashboard'!$A$25,Visits!$E:$E,'User Engagement'!$A214)</f>
        <v>0</v>
      </c>
      <c r="M214">
        <f t="shared" si="24"/>
        <v>1</v>
      </c>
      <c r="N214">
        <f t="shared" si="25"/>
        <v>0</v>
      </c>
      <c r="O214">
        <f t="shared" si="25"/>
        <v>0</v>
      </c>
      <c r="P214">
        <f t="shared" si="21"/>
        <v>0</v>
      </c>
      <c r="Q214" s="4">
        <f>SUMIF(Visits!$E$2:$E$90,'User Engagement'!$A214,Visits!$T$2:$T$90)</f>
        <v>0</v>
      </c>
      <c r="R214" s="4">
        <f>SUMIFS(Visits!$T$2:$T$90,Visits!$E$2:$E$90,'User Engagement'!$A214,Visits!$AF$2:$AF$90,"&gt;3/28/24")</f>
        <v>0</v>
      </c>
      <c r="S214" s="13" t="e">
        <f t="shared" si="22"/>
        <v>#DIV/0!</v>
      </c>
      <c r="T214" s="13" t="str">
        <f t="shared" si="23"/>
        <v>n/a</v>
      </c>
    </row>
    <row r="215" spans="1:20" ht="15.95">
      <c r="A215">
        <f>Users!A212</f>
        <v>0</v>
      </c>
      <c r="B215" s="23"/>
      <c r="C215" s="23"/>
      <c r="D215" s="1" cm="1">
        <f t="array" ref="D215">MAX(_xlfn._xlws.FILTER(Visits!AF:AF,Visits!E:E='User Engagement'!A215))</f>
        <v>45434</v>
      </c>
      <c r="E215">
        <f>COUNTIF(Visits!$E$2:$E$993,'User Engagement'!$A215)</f>
        <v>0</v>
      </c>
      <c r="F215">
        <f>COUNTIFS(Visits!$E$2:$E$993,'User Engagement'!$A216,Visits!$AF$2:$AF$993,"&gt;"&amp;($B$1-7))</f>
        <v>0</v>
      </c>
      <c r="G215">
        <f>COUNTIFS(Visits!$E$2:$E$993,'User Engagement'!$A215,Visits!$AF$2:$AF$993,"&gt;"&amp;($B$1-30))</f>
        <v>0</v>
      </c>
      <c r="H215">
        <f>COUNTIFS(Visits!$E$2:$E$993,$A215,Visits!$AF$2:$AF$993,"&gt;"&amp;($B$1-60))-G215</f>
        <v>0</v>
      </c>
      <c r="I215">
        <f>COUNTIFS(Visits!$AG:$AG,'New Dashboard'!$A$22,Visits!$E:$E,'User Engagement'!$A215)</f>
        <v>0</v>
      </c>
      <c r="J215">
        <f>COUNTIFS(Visits!$AG:$AG,'New Dashboard'!$A$23,Visits!$E:$E,'User Engagement'!$A215)</f>
        <v>0</v>
      </c>
      <c r="K215">
        <f>COUNTIFS(Visits!$AG:$AG,'New Dashboard'!$A$24,Visits!$E:$E,'User Engagement'!$A215)</f>
        <v>0</v>
      </c>
      <c r="L215">
        <f>COUNTIFS(Visits!$AG:$AG,'New Dashboard'!$A$25,Visits!$E:$E,'User Engagement'!$A215)</f>
        <v>0</v>
      </c>
      <c r="M215">
        <f t="shared" si="24"/>
        <v>1</v>
      </c>
      <c r="N215">
        <f t="shared" si="25"/>
        <v>0</v>
      </c>
      <c r="O215">
        <f t="shared" si="25"/>
        <v>0</v>
      </c>
      <c r="P215">
        <f t="shared" si="21"/>
        <v>0</v>
      </c>
      <c r="Q215" s="4">
        <f>SUMIF(Visits!$E$2:$E$90,'User Engagement'!$A215,Visits!$T$2:$T$90)</f>
        <v>0</v>
      </c>
      <c r="R215" s="4">
        <f>SUMIFS(Visits!$T$2:$T$90,Visits!$E$2:$E$90,'User Engagement'!$A215,Visits!$AF$2:$AF$90,"&gt;3/28/24")</f>
        <v>0</v>
      </c>
      <c r="S215" s="13" t="e">
        <f t="shared" si="22"/>
        <v>#DIV/0!</v>
      </c>
      <c r="T215" s="13" t="str">
        <f t="shared" si="23"/>
        <v>n/a</v>
      </c>
    </row>
    <row r="216" spans="1:20" ht="15.95">
      <c r="A216">
        <f>Users!A213</f>
        <v>0</v>
      </c>
      <c r="B216" s="23"/>
      <c r="C216" s="23"/>
      <c r="D216" s="1" cm="1">
        <f t="array" ref="D216">MAX(_xlfn._xlws.FILTER(Visits!AF:AF,Visits!E:E='User Engagement'!A216))</f>
        <v>45434</v>
      </c>
      <c r="E216">
        <f>COUNTIF(Visits!$E$2:$E$993,'User Engagement'!$A216)</f>
        <v>0</v>
      </c>
      <c r="F216">
        <f>COUNTIFS(Visits!$E$2:$E$993,'User Engagement'!$A217,Visits!$AF$2:$AF$993,"&gt;"&amp;($B$1-7))</f>
        <v>0</v>
      </c>
      <c r="G216">
        <f>COUNTIFS(Visits!$E$2:$E$993,'User Engagement'!$A216,Visits!$AF$2:$AF$993,"&gt;"&amp;($B$1-30))</f>
        <v>0</v>
      </c>
      <c r="H216">
        <f>COUNTIFS(Visits!$E$2:$E$993,$A216,Visits!$AF$2:$AF$993,"&gt;"&amp;($B$1-60))-G216</f>
        <v>0</v>
      </c>
      <c r="I216">
        <f>COUNTIFS(Visits!$AG:$AG,'New Dashboard'!$A$22,Visits!$E:$E,'User Engagement'!$A216)</f>
        <v>0</v>
      </c>
      <c r="J216">
        <f>COUNTIFS(Visits!$AG:$AG,'New Dashboard'!$A$23,Visits!$E:$E,'User Engagement'!$A216)</f>
        <v>0</v>
      </c>
      <c r="K216">
        <f>COUNTIFS(Visits!$AG:$AG,'New Dashboard'!$A$24,Visits!$E:$E,'User Engagement'!$A216)</f>
        <v>0</v>
      </c>
      <c r="L216">
        <f>COUNTIFS(Visits!$AG:$AG,'New Dashboard'!$A$25,Visits!$E:$E,'User Engagement'!$A216)</f>
        <v>0</v>
      </c>
      <c r="M216">
        <f t="shared" si="24"/>
        <v>1</v>
      </c>
      <c r="N216">
        <f t="shared" si="25"/>
        <v>0</v>
      </c>
      <c r="O216">
        <f t="shared" si="25"/>
        <v>0</v>
      </c>
      <c r="P216">
        <f t="shared" si="21"/>
        <v>0</v>
      </c>
      <c r="Q216" s="4">
        <f>SUMIF(Visits!$E$2:$E$90,'User Engagement'!$A216,Visits!$T$2:$T$90)</f>
        <v>0</v>
      </c>
      <c r="R216" s="4">
        <f>SUMIFS(Visits!$T$2:$T$90,Visits!$E$2:$E$90,'User Engagement'!$A216,Visits!$AF$2:$AF$90,"&gt;3/28/24")</f>
        <v>0</v>
      </c>
      <c r="S216" s="13" t="e">
        <f t="shared" si="22"/>
        <v>#DIV/0!</v>
      </c>
      <c r="T216" s="13" t="str">
        <f t="shared" si="23"/>
        <v>n/a</v>
      </c>
    </row>
    <row r="217" spans="1:20" ht="15.95">
      <c r="A217">
        <f>Users!A214</f>
        <v>0</v>
      </c>
      <c r="B217" s="23"/>
      <c r="C217" s="23"/>
      <c r="D217" s="1" cm="1">
        <f t="array" ref="D217">MAX(_xlfn._xlws.FILTER(Visits!AF:AF,Visits!E:E='User Engagement'!A217))</f>
        <v>45434</v>
      </c>
      <c r="E217">
        <f>COUNTIF(Visits!$E$2:$E$993,'User Engagement'!$A217)</f>
        <v>0</v>
      </c>
      <c r="F217">
        <f>COUNTIFS(Visits!$E$2:$E$993,'User Engagement'!$A218,Visits!$AF$2:$AF$993,"&gt;"&amp;($B$1-7))</f>
        <v>0</v>
      </c>
      <c r="G217">
        <f>COUNTIFS(Visits!$E$2:$E$993,'User Engagement'!$A217,Visits!$AF$2:$AF$993,"&gt;"&amp;($B$1-30))</f>
        <v>0</v>
      </c>
      <c r="H217">
        <f>COUNTIFS(Visits!$E$2:$E$993,$A217,Visits!$AF$2:$AF$993,"&gt;"&amp;($B$1-60))-G217</f>
        <v>0</v>
      </c>
      <c r="I217">
        <f>COUNTIFS(Visits!$AG:$AG,'New Dashboard'!$A$22,Visits!$E:$E,'User Engagement'!$A217)</f>
        <v>0</v>
      </c>
      <c r="J217">
        <f>COUNTIFS(Visits!$AG:$AG,'New Dashboard'!$A$23,Visits!$E:$E,'User Engagement'!$A217)</f>
        <v>0</v>
      </c>
      <c r="K217">
        <f>COUNTIFS(Visits!$AG:$AG,'New Dashboard'!$A$24,Visits!$E:$E,'User Engagement'!$A217)</f>
        <v>0</v>
      </c>
      <c r="L217">
        <f>COUNTIFS(Visits!$AG:$AG,'New Dashboard'!$A$25,Visits!$E:$E,'User Engagement'!$A217)</f>
        <v>0</v>
      </c>
      <c r="M217">
        <f t="shared" si="24"/>
        <v>1</v>
      </c>
      <c r="N217">
        <f t="shared" si="25"/>
        <v>0</v>
      </c>
      <c r="O217">
        <f t="shared" si="25"/>
        <v>0</v>
      </c>
      <c r="P217">
        <f t="shared" si="21"/>
        <v>0</v>
      </c>
      <c r="Q217" s="4">
        <f>SUMIF(Visits!$E$2:$E$90,'User Engagement'!$A217,Visits!$T$2:$T$90)</f>
        <v>0</v>
      </c>
      <c r="R217" s="4">
        <f>SUMIFS(Visits!$T$2:$T$90,Visits!$E$2:$E$90,'User Engagement'!$A217,Visits!$AF$2:$AF$90,"&gt;3/28/24")</f>
        <v>0</v>
      </c>
      <c r="S217" s="13" t="e">
        <f t="shared" si="22"/>
        <v>#DIV/0!</v>
      </c>
      <c r="T217" s="13" t="str">
        <f t="shared" si="23"/>
        <v>n/a</v>
      </c>
    </row>
    <row r="218" spans="1:20" ht="15.95">
      <c r="A218">
        <f>Users!A215</f>
        <v>0</v>
      </c>
      <c r="B218" s="23"/>
      <c r="C218" s="23"/>
      <c r="D218" s="1" cm="1">
        <f t="array" ref="D218">MAX(_xlfn._xlws.FILTER(Visits!AF:AF,Visits!E:E='User Engagement'!A218))</f>
        <v>45434</v>
      </c>
      <c r="E218">
        <f>COUNTIF(Visits!$E$2:$E$993,'User Engagement'!$A218)</f>
        <v>0</v>
      </c>
      <c r="F218">
        <f>COUNTIFS(Visits!$E$2:$E$993,'User Engagement'!$A219,Visits!$AF$2:$AF$993,"&gt;"&amp;($B$1-7))</f>
        <v>0</v>
      </c>
      <c r="G218">
        <f>COUNTIFS(Visits!$E$2:$E$993,'User Engagement'!$A218,Visits!$AF$2:$AF$993,"&gt;"&amp;($B$1-30))</f>
        <v>0</v>
      </c>
      <c r="H218">
        <f>COUNTIFS(Visits!$E$2:$E$993,$A218,Visits!$AF$2:$AF$993,"&gt;"&amp;($B$1-60))-G218</f>
        <v>0</v>
      </c>
      <c r="I218">
        <f>COUNTIFS(Visits!$AG:$AG,'New Dashboard'!$A$22,Visits!$E:$E,'User Engagement'!$A218)</f>
        <v>0</v>
      </c>
      <c r="J218">
        <f>COUNTIFS(Visits!$AG:$AG,'New Dashboard'!$A$23,Visits!$E:$E,'User Engagement'!$A218)</f>
        <v>0</v>
      </c>
      <c r="K218">
        <f>COUNTIFS(Visits!$AG:$AG,'New Dashboard'!$A$24,Visits!$E:$E,'User Engagement'!$A218)</f>
        <v>0</v>
      </c>
      <c r="L218">
        <f>COUNTIFS(Visits!$AG:$AG,'New Dashboard'!$A$25,Visits!$E:$E,'User Engagement'!$A218)</f>
        <v>0</v>
      </c>
      <c r="M218">
        <f t="shared" si="24"/>
        <v>1</v>
      </c>
      <c r="N218">
        <f t="shared" si="25"/>
        <v>0</v>
      </c>
      <c r="O218">
        <f t="shared" si="25"/>
        <v>0</v>
      </c>
      <c r="P218">
        <f t="shared" si="21"/>
        <v>0</v>
      </c>
      <c r="Q218" s="4">
        <f>SUMIF(Visits!$E$2:$E$90,'User Engagement'!$A218,Visits!$T$2:$T$90)</f>
        <v>0</v>
      </c>
      <c r="R218" s="4">
        <f>SUMIFS(Visits!$T$2:$T$90,Visits!$E$2:$E$90,'User Engagement'!$A218,Visits!$AF$2:$AF$90,"&gt;3/28/24")</f>
        <v>0</v>
      </c>
      <c r="S218" s="13" t="e">
        <f t="shared" si="22"/>
        <v>#DIV/0!</v>
      </c>
      <c r="T218" s="13" t="str">
        <f t="shared" si="23"/>
        <v>n/a</v>
      </c>
    </row>
    <row r="219" spans="1:20" ht="15.95">
      <c r="A219">
        <f>Users!A216</f>
        <v>0</v>
      </c>
      <c r="B219" s="23"/>
      <c r="C219" s="23"/>
      <c r="D219" s="1" cm="1">
        <f t="array" ref="D219">MAX(_xlfn._xlws.FILTER(Visits!AF:AF,Visits!E:E='User Engagement'!A219))</f>
        <v>45434</v>
      </c>
      <c r="E219">
        <f>COUNTIF(Visits!$E$2:$E$993,'User Engagement'!$A219)</f>
        <v>0</v>
      </c>
      <c r="F219">
        <f>COUNTIFS(Visits!$E$2:$E$993,'User Engagement'!$A220,Visits!$AF$2:$AF$993,"&gt;"&amp;($B$1-7))</f>
        <v>0</v>
      </c>
      <c r="G219">
        <f>COUNTIFS(Visits!$E$2:$E$993,'User Engagement'!$A219,Visits!$AF$2:$AF$993,"&gt;"&amp;($B$1-30))</f>
        <v>0</v>
      </c>
      <c r="H219">
        <f>COUNTIFS(Visits!$E$2:$E$993,$A219,Visits!$AF$2:$AF$993,"&gt;"&amp;($B$1-60))-G219</f>
        <v>0</v>
      </c>
      <c r="I219">
        <f>COUNTIFS(Visits!$AG:$AG,'New Dashboard'!$A$22,Visits!$E:$E,'User Engagement'!$A219)</f>
        <v>0</v>
      </c>
      <c r="J219">
        <f>COUNTIFS(Visits!$AG:$AG,'New Dashboard'!$A$23,Visits!$E:$E,'User Engagement'!$A219)</f>
        <v>0</v>
      </c>
      <c r="K219">
        <f>COUNTIFS(Visits!$AG:$AG,'New Dashboard'!$A$24,Visits!$E:$E,'User Engagement'!$A219)</f>
        <v>0</v>
      </c>
      <c r="L219">
        <f>COUNTIFS(Visits!$AG:$AG,'New Dashboard'!$A$25,Visits!$E:$E,'User Engagement'!$A219)</f>
        <v>0</v>
      </c>
      <c r="M219">
        <f t="shared" si="24"/>
        <v>1</v>
      </c>
      <c r="N219">
        <f t="shared" si="25"/>
        <v>0</v>
      </c>
      <c r="O219">
        <f t="shared" si="25"/>
        <v>0</v>
      </c>
      <c r="P219">
        <f t="shared" si="21"/>
        <v>0</v>
      </c>
      <c r="Q219" s="4">
        <f>SUMIF(Visits!$E$2:$E$90,'User Engagement'!$A219,Visits!$T$2:$T$90)</f>
        <v>0</v>
      </c>
      <c r="R219" s="4">
        <f>SUMIFS(Visits!$T$2:$T$90,Visits!$E$2:$E$90,'User Engagement'!$A219,Visits!$AF$2:$AF$90,"&gt;3/28/24")</f>
        <v>0</v>
      </c>
      <c r="S219" s="13" t="e">
        <f t="shared" si="22"/>
        <v>#DIV/0!</v>
      </c>
      <c r="T219" s="13" t="str">
        <f t="shared" si="23"/>
        <v>n/a</v>
      </c>
    </row>
    <row r="220" spans="1:20" ht="15.95">
      <c r="A220">
        <f>Users!A217</f>
        <v>0</v>
      </c>
      <c r="B220" s="23"/>
      <c r="C220" s="23"/>
      <c r="D220" s="1" cm="1">
        <f t="array" ref="D220">MAX(_xlfn._xlws.FILTER(Visits!AF:AF,Visits!E:E='User Engagement'!A220))</f>
        <v>45434</v>
      </c>
      <c r="E220">
        <f>COUNTIF(Visits!$E$2:$E$993,'User Engagement'!$A220)</f>
        <v>0</v>
      </c>
      <c r="F220">
        <f>COUNTIFS(Visits!$E$2:$E$993,'User Engagement'!$A221,Visits!$AF$2:$AF$993,"&gt;"&amp;($B$1-7))</f>
        <v>0</v>
      </c>
      <c r="G220">
        <f>COUNTIFS(Visits!$E$2:$E$993,'User Engagement'!$A220,Visits!$AF$2:$AF$993,"&gt;"&amp;($B$1-30))</f>
        <v>0</v>
      </c>
      <c r="H220">
        <f>COUNTIFS(Visits!$E$2:$E$993,$A220,Visits!$AF$2:$AF$993,"&gt;"&amp;($B$1-60))-G220</f>
        <v>0</v>
      </c>
      <c r="I220">
        <f>COUNTIFS(Visits!$AG:$AG,'New Dashboard'!$A$22,Visits!$E:$E,'User Engagement'!$A220)</f>
        <v>0</v>
      </c>
      <c r="J220">
        <f>COUNTIFS(Visits!$AG:$AG,'New Dashboard'!$A$23,Visits!$E:$E,'User Engagement'!$A220)</f>
        <v>0</v>
      </c>
      <c r="K220">
        <f>COUNTIFS(Visits!$AG:$AG,'New Dashboard'!$A$24,Visits!$E:$E,'User Engagement'!$A220)</f>
        <v>0</v>
      </c>
      <c r="L220">
        <f>COUNTIFS(Visits!$AG:$AG,'New Dashboard'!$A$25,Visits!$E:$E,'User Engagement'!$A220)</f>
        <v>0</v>
      </c>
      <c r="M220">
        <f t="shared" si="24"/>
        <v>1</v>
      </c>
      <c r="N220">
        <f t="shared" si="25"/>
        <v>0</v>
      </c>
      <c r="O220">
        <f t="shared" si="25"/>
        <v>0</v>
      </c>
      <c r="P220">
        <f t="shared" si="21"/>
        <v>0</v>
      </c>
      <c r="Q220" s="4">
        <f>SUMIF(Visits!$E$2:$E$90,'User Engagement'!$A220,Visits!$T$2:$T$90)</f>
        <v>0</v>
      </c>
      <c r="R220" s="4">
        <f>SUMIFS(Visits!$T$2:$T$90,Visits!$E$2:$E$90,'User Engagement'!$A220,Visits!$AF$2:$AF$90,"&gt;3/28/24")</f>
        <v>0</v>
      </c>
      <c r="S220" s="13" t="e">
        <f t="shared" si="22"/>
        <v>#DIV/0!</v>
      </c>
      <c r="T220" s="13" t="str">
        <f t="shared" si="23"/>
        <v>n/a</v>
      </c>
    </row>
    <row r="221" spans="1:20" ht="15.95">
      <c r="A221">
        <f>Users!A218</f>
        <v>0</v>
      </c>
      <c r="B221" s="23"/>
      <c r="C221" s="23"/>
      <c r="D221" s="1" cm="1">
        <f t="array" ref="D221">MAX(_xlfn._xlws.FILTER(Visits!AF:AF,Visits!E:E='User Engagement'!A221))</f>
        <v>45434</v>
      </c>
      <c r="E221">
        <f>COUNTIF(Visits!$E$2:$E$993,'User Engagement'!$A221)</f>
        <v>0</v>
      </c>
      <c r="F221">
        <f>COUNTIFS(Visits!$E$2:$E$993,'User Engagement'!$A222,Visits!$AF$2:$AF$993,"&gt;"&amp;($B$1-7))</f>
        <v>0</v>
      </c>
      <c r="G221">
        <f>COUNTIFS(Visits!$E$2:$E$993,'User Engagement'!$A221,Visits!$AF$2:$AF$993,"&gt;"&amp;($B$1-30))</f>
        <v>0</v>
      </c>
      <c r="H221">
        <f>COUNTIFS(Visits!$E$2:$E$993,$A221,Visits!$AF$2:$AF$993,"&gt;"&amp;($B$1-60))-G221</f>
        <v>0</v>
      </c>
      <c r="I221">
        <f>COUNTIFS(Visits!$AG:$AG,'New Dashboard'!$A$22,Visits!$E:$E,'User Engagement'!$A221)</f>
        <v>0</v>
      </c>
      <c r="J221">
        <f>COUNTIFS(Visits!$AG:$AG,'New Dashboard'!$A$23,Visits!$E:$E,'User Engagement'!$A221)</f>
        <v>0</v>
      </c>
      <c r="K221">
        <f>COUNTIFS(Visits!$AG:$AG,'New Dashboard'!$A$24,Visits!$E:$E,'User Engagement'!$A221)</f>
        <v>0</v>
      </c>
      <c r="L221">
        <f>COUNTIFS(Visits!$AG:$AG,'New Dashboard'!$A$25,Visits!$E:$E,'User Engagement'!$A221)</f>
        <v>0</v>
      </c>
      <c r="M221">
        <f t="shared" si="24"/>
        <v>1</v>
      </c>
      <c r="N221">
        <f t="shared" si="25"/>
        <v>0</v>
      </c>
      <c r="O221">
        <f t="shared" si="25"/>
        <v>0</v>
      </c>
      <c r="P221">
        <f t="shared" si="21"/>
        <v>0</v>
      </c>
      <c r="Q221" s="4">
        <f>SUMIF(Visits!$E$2:$E$90,'User Engagement'!$A221,Visits!$T$2:$T$90)</f>
        <v>0</v>
      </c>
      <c r="R221" s="4">
        <f>SUMIFS(Visits!$T$2:$T$90,Visits!$E$2:$E$90,'User Engagement'!$A221,Visits!$AF$2:$AF$90,"&gt;3/28/24")</f>
        <v>0</v>
      </c>
      <c r="S221" s="13" t="e">
        <f t="shared" si="22"/>
        <v>#DIV/0!</v>
      </c>
      <c r="T221" s="13" t="str">
        <f t="shared" si="23"/>
        <v>n/a</v>
      </c>
    </row>
    <row r="222" spans="1:20" ht="15.95">
      <c r="A222">
        <f>Users!A219</f>
        <v>0</v>
      </c>
      <c r="B222" s="23"/>
      <c r="C222" s="23"/>
      <c r="D222" s="1" cm="1">
        <f t="array" ref="D222">MAX(_xlfn._xlws.FILTER(Visits!AF:AF,Visits!E:E='User Engagement'!A222))</f>
        <v>45434</v>
      </c>
      <c r="E222">
        <f>COUNTIF(Visits!$E$2:$E$993,'User Engagement'!$A222)</f>
        <v>0</v>
      </c>
      <c r="F222">
        <f>COUNTIFS(Visits!$E$2:$E$993,'User Engagement'!$A223,Visits!$AF$2:$AF$993,"&gt;"&amp;($B$1-7))</f>
        <v>0</v>
      </c>
      <c r="G222">
        <f>COUNTIFS(Visits!$E$2:$E$993,'User Engagement'!$A222,Visits!$AF$2:$AF$993,"&gt;"&amp;($B$1-30))</f>
        <v>0</v>
      </c>
      <c r="H222">
        <f>COUNTIFS(Visits!$E$2:$E$993,$A222,Visits!$AF$2:$AF$993,"&gt;"&amp;($B$1-60))-G222</f>
        <v>0</v>
      </c>
      <c r="I222">
        <f>COUNTIFS(Visits!$AG:$AG,'New Dashboard'!$A$22,Visits!$E:$E,'User Engagement'!$A222)</f>
        <v>0</v>
      </c>
      <c r="J222">
        <f>COUNTIFS(Visits!$AG:$AG,'New Dashboard'!$A$23,Visits!$E:$E,'User Engagement'!$A222)</f>
        <v>0</v>
      </c>
      <c r="K222">
        <f>COUNTIFS(Visits!$AG:$AG,'New Dashboard'!$A$24,Visits!$E:$E,'User Engagement'!$A222)</f>
        <v>0</v>
      </c>
      <c r="L222">
        <f>COUNTIFS(Visits!$AG:$AG,'New Dashboard'!$A$25,Visits!$E:$E,'User Engagement'!$A222)</f>
        <v>0</v>
      </c>
      <c r="M222">
        <f t="shared" si="24"/>
        <v>1</v>
      </c>
      <c r="N222">
        <f t="shared" si="25"/>
        <v>0</v>
      </c>
      <c r="O222">
        <f t="shared" si="25"/>
        <v>0</v>
      </c>
      <c r="P222">
        <f t="shared" si="21"/>
        <v>0</v>
      </c>
      <c r="Q222" s="4">
        <f>SUMIF(Visits!$E$2:$E$90,'User Engagement'!$A222,Visits!$T$2:$T$90)</f>
        <v>0</v>
      </c>
      <c r="R222" s="4">
        <f>SUMIFS(Visits!$T$2:$T$90,Visits!$E$2:$E$90,'User Engagement'!$A222,Visits!$AF$2:$AF$90,"&gt;3/28/24")</f>
        <v>0</v>
      </c>
      <c r="S222" s="13" t="e">
        <f t="shared" si="22"/>
        <v>#DIV/0!</v>
      </c>
      <c r="T222" s="13" t="str">
        <f t="shared" si="23"/>
        <v>n/a</v>
      </c>
    </row>
    <row r="223" spans="1:20" ht="15.95">
      <c r="A223">
        <f>Users!A220</f>
        <v>0</v>
      </c>
      <c r="B223" s="23"/>
      <c r="C223" s="23"/>
      <c r="D223" s="1" cm="1">
        <f t="array" ref="D223">MAX(_xlfn._xlws.FILTER(Visits!AF:AF,Visits!E:E='User Engagement'!A223))</f>
        <v>45434</v>
      </c>
      <c r="E223">
        <f>COUNTIF(Visits!$E$2:$E$993,'User Engagement'!$A223)</f>
        <v>0</v>
      </c>
      <c r="F223">
        <f>COUNTIFS(Visits!$E$2:$E$993,'User Engagement'!$A224,Visits!$AF$2:$AF$993,"&gt;"&amp;($B$1-7))</f>
        <v>0</v>
      </c>
      <c r="G223">
        <f>COUNTIFS(Visits!$E$2:$E$993,'User Engagement'!$A223,Visits!$AF$2:$AF$993,"&gt;"&amp;($B$1-30))</f>
        <v>0</v>
      </c>
      <c r="H223">
        <f>COUNTIFS(Visits!$E$2:$E$993,$A223,Visits!$AF$2:$AF$993,"&gt;"&amp;($B$1-60))-G223</f>
        <v>0</v>
      </c>
      <c r="I223">
        <f>COUNTIFS(Visits!$AG:$AG,'New Dashboard'!$A$22,Visits!$E:$E,'User Engagement'!$A223)</f>
        <v>0</v>
      </c>
      <c r="J223">
        <f>COUNTIFS(Visits!$AG:$AG,'New Dashboard'!$A$23,Visits!$E:$E,'User Engagement'!$A223)</f>
        <v>0</v>
      </c>
      <c r="K223">
        <f>COUNTIFS(Visits!$AG:$AG,'New Dashboard'!$A$24,Visits!$E:$E,'User Engagement'!$A223)</f>
        <v>0</v>
      </c>
      <c r="L223">
        <f>COUNTIFS(Visits!$AG:$AG,'New Dashboard'!$A$25,Visits!$E:$E,'User Engagement'!$A223)</f>
        <v>0</v>
      </c>
      <c r="M223">
        <f t="shared" si="24"/>
        <v>1</v>
      </c>
      <c r="N223">
        <f t="shared" si="25"/>
        <v>0</v>
      </c>
      <c r="O223">
        <f t="shared" si="25"/>
        <v>0</v>
      </c>
      <c r="P223">
        <f t="shared" si="21"/>
        <v>0</v>
      </c>
      <c r="Q223" s="4">
        <f>SUMIF(Visits!$E$2:$E$90,'User Engagement'!$A223,Visits!$T$2:$T$90)</f>
        <v>0</v>
      </c>
      <c r="R223" s="4">
        <f>SUMIFS(Visits!$T$2:$T$90,Visits!$E$2:$E$90,'User Engagement'!$A223,Visits!$AF$2:$AF$90,"&gt;3/28/24")</f>
        <v>0</v>
      </c>
      <c r="S223" s="13" t="e">
        <f t="shared" si="22"/>
        <v>#DIV/0!</v>
      </c>
      <c r="T223" s="13" t="str">
        <f t="shared" si="23"/>
        <v>n/a</v>
      </c>
    </row>
    <row r="224" spans="1:20" ht="15.95">
      <c r="A224">
        <f>Users!A221</f>
        <v>0</v>
      </c>
      <c r="B224" s="23"/>
      <c r="C224" s="23"/>
      <c r="D224" s="1" cm="1">
        <f t="array" ref="D224">MAX(_xlfn._xlws.FILTER(Visits!AF:AF,Visits!E:E='User Engagement'!A224))</f>
        <v>45434</v>
      </c>
      <c r="E224">
        <f>COUNTIF(Visits!$E$2:$E$993,'User Engagement'!$A224)</f>
        <v>0</v>
      </c>
      <c r="F224">
        <f>COUNTIFS(Visits!$E$2:$E$993,'User Engagement'!$A225,Visits!$AF$2:$AF$993,"&gt;"&amp;($B$1-7))</f>
        <v>0</v>
      </c>
      <c r="G224">
        <f>COUNTIFS(Visits!$E$2:$E$993,'User Engagement'!$A224,Visits!$AF$2:$AF$993,"&gt;"&amp;($B$1-30))</f>
        <v>0</v>
      </c>
      <c r="H224">
        <f>COUNTIFS(Visits!$E$2:$E$993,$A224,Visits!$AF$2:$AF$993,"&gt;"&amp;($B$1-60))-G224</f>
        <v>0</v>
      </c>
      <c r="I224">
        <f>COUNTIFS(Visits!$AG:$AG,'New Dashboard'!$A$22,Visits!$E:$E,'User Engagement'!$A224)</f>
        <v>0</v>
      </c>
      <c r="J224">
        <f>COUNTIFS(Visits!$AG:$AG,'New Dashboard'!$A$23,Visits!$E:$E,'User Engagement'!$A224)</f>
        <v>0</v>
      </c>
      <c r="K224">
        <f>COUNTIFS(Visits!$AG:$AG,'New Dashboard'!$A$24,Visits!$E:$E,'User Engagement'!$A224)</f>
        <v>0</v>
      </c>
      <c r="L224">
        <f>COUNTIFS(Visits!$AG:$AG,'New Dashboard'!$A$25,Visits!$E:$E,'User Engagement'!$A224)</f>
        <v>0</v>
      </c>
      <c r="M224">
        <f t="shared" si="24"/>
        <v>1</v>
      </c>
      <c r="N224">
        <f t="shared" si="25"/>
        <v>0</v>
      </c>
      <c r="O224">
        <f t="shared" si="25"/>
        <v>0</v>
      </c>
      <c r="P224">
        <f t="shared" si="21"/>
        <v>0</v>
      </c>
      <c r="Q224" s="4">
        <f>SUMIF(Visits!$E$2:$E$90,'User Engagement'!$A224,Visits!$T$2:$T$90)</f>
        <v>0</v>
      </c>
      <c r="R224" s="4">
        <f>SUMIFS(Visits!$T$2:$T$90,Visits!$E$2:$E$90,'User Engagement'!$A224,Visits!$AF$2:$AF$90,"&gt;3/28/24")</f>
        <v>0</v>
      </c>
      <c r="S224" s="13" t="e">
        <f t="shared" si="22"/>
        <v>#DIV/0!</v>
      </c>
      <c r="T224" s="13" t="str">
        <f t="shared" si="23"/>
        <v>n/a</v>
      </c>
    </row>
    <row r="225" spans="1:20" ht="15.95">
      <c r="A225">
        <f>Users!A222</f>
        <v>0</v>
      </c>
      <c r="B225" s="23"/>
      <c r="C225" s="23"/>
      <c r="D225" s="1" cm="1">
        <f t="array" ref="D225">MAX(_xlfn._xlws.FILTER(Visits!AF:AF,Visits!E:E='User Engagement'!A225))</f>
        <v>45434</v>
      </c>
      <c r="E225">
        <f>COUNTIF(Visits!$E$2:$E$993,'User Engagement'!$A225)</f>
        <v>0</v>
      </c>
      <c r="F225">
        <f>COUNTIFS(Visits!$E$2:$E$993,'User Engagement'!$A226,Visits!$AF$2:$AF$993,"&gt;"&amp;($B$1-7))</f>
        <v>0</v>
      </c>
      <c r="G225">
        <f>COUNTIFS(Visits!$E$2:$E$993,'User Engagement'!$A225,Visits!$AF$2:$AF$993,"&gt;"&amp;($B$1-30))</f>
        <v>0</v>
      </c>
      <c r="H225">
        <f>COUNTIFS(Visits!$E$2:$E$993,$A225,Visits!$AF$2:$AF$993,"&gt;"&amp;($B$1-60))-G225</f>
        <v>0</v>
      </c>
      <c r="I225">
        <f>COUNTIFS(Visits!$AG:$AG,'New Dashboard'!$A$22,Visits!$E:$E,'User Engagement'!$A225)</f>
        <v>0</v>
      </c>
      <c r="J225">
        <f>COUNTIFS(Visits!$AG:$AG,'New Dashboard'!$A$23,Visits!$E:$E,'User Engagement'!$A225)</f>
        <v>0</v>
      </c>
      <c r="K225">
        <f>COUNTIFS(Visits!$AG:$AG,'New Dashboard'!$A$24,Visits!$E:$E,'User Engagement'!$A225)</f>
        <v>0</v>
      </c>
      <c r="L225">
        <f>COUNTIFS(Visits!$AG:$AG,'New Dashboard'!$A$25,Visits!$E:$E,'User Engagement'!$A225)</f>
        <v>0</v>
      </c>
      <c r="M225">
        <f t="shared" si="24"/>
        <v>1</v>
      </c>
      <c r="N225">
        <f t="shared" si="25"/>
        <v>0</v>
      </c>
      <c r="O225">
        <f t="shared" si="25"/>
        <v>0</v>
      </c>
      <c r="P225">
        <f t="shared" si="21"/>
        <v>0</v>
      </c>
      <c r="Q225" s="4">
        <f>SUMIF(Visits!$E$2:$E$90,'User Engagement'!$A225,Visits!$T$2:$T$90)</f>
        <v>0</v>
      </c>
      <c r="R225" s="4">
        <f>SUMIFS(Visits!$T$2:$T$90,Visits!$E$2:$E$90,'User Engagement'!$A225,Visits!$AF$2:$AF$90,"&gt;3/28/24")</f>
        <v>0</v>
      </c>
      <c r="S225" s="13" t="e">
        <f t="shared" si="22"/>
        <v>#DIV/0!</v>
      </c>
      <c r="T225" s="13" t="str">
        <f t="shared" si="23"/>
        <v>n/a</v>
      </c>
    </row>
    <row r="226" spans="1:20" ht="15.95">
      <c r="A226">
        <f>Users!A223</f>
        <v>0</v>
      </c>
      <c r="B226" s="23"/>
      <c r="C226" s="23"/>
      <c r="D226" s="1" cm="1">
        <f t="array" ref="D226">MAX(_xlfn._xlws.FILTER(Visits!AF:AF,Visits!E:E='User Engagement'!A226))</f>
        <v>45434</v>
      </c>
      <c r="E226">
        <f>COUNTIF(Visits!$E$2:$E$993,'User Engagement'!$A226)</f>
        <v>0</v>
      </c>
      <c r="F226">
        <f>COUNTIFS(Visits!$E$2:$E$993,'User Engagement'!$A227,Visits!$AF$2:$AF$993,"&gt;"&amp;($B$1-7))</f>
        <v>0</v>
      </c>
      <c r="G226">
        <f>COUNTIFS(Visits!$E$2:$E$993,'User Engagement'!$A226,Visits!$AF$2:$AF$993,"&gt;"&amp;($B$1-30))</f>
        <v>0</v>
      </c>
      <c r="H226">
        <f>COUNTIFS(Visits!$E$2:$E$993,$A226,Visits!$AF$2:$AF$993,"&gt;"&amp;($B$1-60))-G226</f>
        <v>0</v>
      </c>
      <c r="I226">
        <f>COUNTIFS(Visits!$AG:$AG,'New Dashboard'!$A$22,Visits!$E:$E,'User Engagement'!$A226)</f>
        <v>0</v>
      </c>
      <c r="J226">
        <f>COUNTIFS(Visits!$AG:$AG,'New Dashboard'!$A$23,Visits!$E:$E,'User Engagement'!$A226)</f>
        <v>0</v>
      </c>
      <c r="K226">
        <f>COUNTIFS(Visits!$AG:$AG,'New Dashboard'!$A$24,Visits!$E:$E,'User Engagement'!$A226)</f>
        <v>0</v>
      </c>
      <c r="L226">
        <f>COUNTIFS(Visits!$AG:$AG,'New Dashboard'!$A$25,Visits!$E:$E,'User Engagement'!$A226)</f>
        <v>0</v>
      </c>
      <c r="M226">
        <f t="shared" si="24"/>
        <v>1</v>
      </c>
      <c r="N226">
        <f t="shared" si="25"/>
        <v>0</v>
      </c>
      <c r="O226">
        <f t="shared" si="25"/>
        <v>0</v>
      </c>
      <c r="P226">
        <f t="shared" si="21"/>
        <v>0</v>
      </c>
      <c r="Q226" s="4">
        <f>SUMIF(Visits!$E$2:$E$90,'User Engagement'!$A226,Visits!$T$2:$T$90)</f>
        <v>0</v>
      </c>
      <c r="R226" s="4">
        <f>SUMIFS(Visits!$T$2:$T$90,Visits!$E$2:$E$90,'User Engagement'!$A226,Visits!$AF$2:$AF$90,"&gt;3/28/24")</f>
        <v>0</v>
      </c>
      <c r="S226" s="13" t="e">
        <f t="shared" si="22"/>
        <v>#DIV/0!</v>
      </c>
      <c r="T226" s="13" t="str">
        <f t="shared" si="23"/>
        <v>n/a</v>
      </c>
    </row>
    <row r="227" spans="1:20" ht="15.95">
      <c r="A227">
        <f>Users!A224</f>
        <v>0</v>
      </c>
      <c r="B227" s="23"/>
      <c r="C227" s="23"/>
      <c r="D227" s="1" cm="1">
        <f t="array" ref="D227">MAX(_xlfn._xlws.FILTER(Visits!AF:AF,Visits!E:E='User Engagement'!A227))</f>
        <v>45434</v>
      </c>
      <c r="E227">
        <f>COUNTIF(Visits!$E$2:$E$993,'User Engagement'!$A227)</f>
        <v>0</v>
      </c>
      <c r="F227">
        <f>COUNTIFS(Visits!$E$2:$E$993,'User Engagement'!$A228,Visits!$AF$2:$AF$993,"&gt;"&amp;($B$1-7))</f>
        <v>0</v>
      </c>
      <c r="G227">
        <f>COUNTIFS(Visits!$E$2:$E$993,'User Engagement'!$A227,Visits!$AF$2:$AF$993,"&gt;"&amp;($B$1-30))</f>
        <v>0</v>
      </c>
      <c r="H227">
        <f>COUNTIFS(Visits!$E$2:$E$993,$A227,Visits!$AF$2:$AF$993,"&gt;"&amp;($B$1-60))-G227</f>
        <v>0</v>
      </c>
      <c r="I227">
        <f>COUNTIFS(Visits!$AG:$AG,'New Dashboard'!$A$22,Visits!$E:$E,'User Engagement'!$A227)</f>
        <v>0</v>
      </c>
      <c r="J227">
        <f>COUNTIFS(Visits!$AG:$AG,'New Dashboard'!$A$23,Visits!$E:$E,'User Engagement'!$A227)</f>
        <v>0</v>
      </c>
      <c r="K227">
        <f>COUNTIFS(Visits!$AG:$AG,'New Dashboard'!$A$24,Visits!$E:$E,'User Engagement'!$A227)</f>
        <v>0</v>
      </c>
      <c r="L227">
        <f>COUNTIFS(Visits!$AG:$AG,'New Dashboard'!$A$25,Visits!$E:$E,'User Engagement'!$A227)</f>
        <v>0</v>
      </c>
      <c r="M227">
        <f t="shared" si="24"/>
        <v>1</v>
      </c>
      <c r="N227">
        <f t="shared" si="25"/>
        <v>0</v>
      </c>
      <c r="O227">
        <f t="shared" si="25"/>
        <v>0</v>
      </c>
      <c r="P227">
        <f t="shared" si="21"/>
        <v>0</v>
      </c>
      <c r="Q227" s="4">
        <f>SUMIF(Visits!$E$2:$E$90,'User Engagement'!$A227,Visits!$T$2:$T$90)</f>
        <v>0</v>
      </c>
      <c r="R227" s="4">
        <f>SUMIFS(Visits!$T$2:$T$90,Visits!$E$2:$E$90,'User Engagement'!$A227,Visits!$AF$2:$AF$90,"&gt;3/28/24")</f>
        <v>0</v>
      </c>
      <c r="S227" s="13" t="e">
        <f t="shared" si="22"/>
        <v>#DIV/0!</v>
      </c>
      <c r="T227" s="13" t="str">
        <f t="shared" si="23"/>
        <v>n/a</v>
      </c>
    </row>
    <row r="228" spans="1:20" ht="15.95">
      <c r="A228">
        <f>Users!A225</f>
        <v>0</v>
      </c>
      <c r="B228" s="23"/>
      <c r="C228" s="23"/>
      <c r="D228" s="1" cm="1">
        <f t="array" ref="D228">MAX(_xlfn._xlws.FILTER(Visits!AF:AF,Visits!E:E='User Engagement'!A228))</f>
        <v>45434</v>
      </c>
      <c r="E228">
        <f>COUNTIF(Visits!$E$2:$E$993,'User Engagement'!$A228)</f>
        <v>0</v>
      </c>
      <c r="F228">
        <f>COUNTIFS(Visits!$E$2:$E$993,'User Engagement'!$A229,Visits!$AF$2:$AF$993,"&gt;"&amp;($B$1-7))</f>
        <v>0</v>
      </c>
      <c r="G228">
        <f>COUNTIFS(Visits!$E$2:$E$993,'User Engagement'!$A228,Visits!$AF$2:$AF$993,"&gt;"&amp;($B$1-30))</f>
        <v>0</v>
      </c>
      <c r="H228">
        <f>COUNTIFS(Visits!$E$2:$E$993,$A228,Visits!$AF$2:$AF$993,"&gt;"&amp;($B$1-60))-G228</f>
        <v>0</v>
      </c>
      <c r="I228">
        <f>COUNTIFS(Visits!$AG:$AG,'New Dashboard'!$A$22,Visits!$E:$E,'User Engagement'!$A228)</f>
        <v>0</v>
      </c>
      <c r="J228">
        <f>COUNTIFS(Visits!$AG:$AG,'New Dashboard'!$A$23,Visits!$E:$E,'User Engagement'!$A228)</f>
        <v>0</v>
      </c>
      <c r="K228">
        <f>COUNTIFS(Visits!$AG:$AG,'New Dashboard'!$A$24,Visits!$E:$E,'User Engagement'!$A228)</f>
        <v>0</v>
      </c>
      <c r="L228">
        <f>COUNTIFS(Visits!$AG:$AG,'New Dashboard'!$A$25,Visits!$E:$E,'User Engagement'!$A228)</f>
        <v>0</v>
      </c>
      <c r="M228">
        <f t="shared" si="24"/>
        <v>1</v>
      </c>
      <c r="N228">
        <f t="shared" si="25"/>
        <v>0</v>
      </c>
      <c r="O228">
        <f t="shared" si="25"/>
        <v>0</v>
      </c>
      <c r="P228">
        <f t="shared" si="21"/>
        <v>0</v>
      </c>
      <c r="Q228" s="4">
        <f>SUMIF(Visits!$E$2:$E$90,'User Engagement'!$A228,Visits!$T$2:$T$90)</f>
        <v>0</v>
      </c>
      <c r="R228" s="4">
        <f>SUMIFS(Visits!$T$2:$T$90,Visits!$E$2:$E$90,'User Engagement'!$A228,Visits!$AF$2:$AF$90,"&gt;3/28/24")</f>
        <v>0</v>
      </c>
      <c r="S228" s="13" t="e">
        <f t="shared" si="22"/>
        <v>#DIV/0!</v>
      </c>
      <c r="T228" s="13" t="str">
        <f t="shared" si="23"/>
        <v>n/a</v>
      </c>
    </row>
    <row r="229" spans="1:20" ht="15.95">
      <c r="A229">
        <f>Users!A226</f>
        <v>0</v>
      </c>
      <c r="B229" s="23"/>
      <c r="C229" s="23"/>
      <c r="D229" s="1" cm="1">
        <f t="array" ref="D229">MAX(_xlfn._xlws.FILTER(Visits!AF:AF,Visits!E:E='User Engagement'!A229))</f>
        <v>45434</v>
      </c>
      <c r="E229">
        <f>COUNTIF(Visits!$E$2:$E$993,'User Engagement'!$A229)</f>
        <v>0</v>
      </c>
      <c r="F229">
        <f>COUNTIFS(Visits!$E$2:$E$993,'User Engagement'!$A230,Visits!$AF$2:$AF$993,"&gt;"&amp;($B$1-7))</f>
        <v>0</v>
      </c>
      <c r="G229">
        <f>COUNTIFS(Visits!$E$2:$E$993,'User Engagement'!$A229,Visits!$AF$2:$AF$993,"&gt;"&amp;($B$1-30))</f>
        <v>0</v>
      </c>
      <c r="H229">
        <f>COUNTIFS(Visits!$E$2:$E$993,$A229,Visits!$AF$2:$AF$993,"&gt;"&amp;($B$1-60))-G229</f>
        <v>0</v>
      </c>
      <c r="I229">
        <f>COUNTIFS(Visits!$AG:$AG,'New Dashboard'!$A$22,Visits!$E:$E,'User Engagement'!$A229)</f>
        <v>0</v>
      </c>
      <c r="J229">
        <f>COUNTIFS(Visits!$AG:$AG,'New Dashboard'!$A$23,Visits!$E:$E,'User Engagement'!$A229)</f>
        <v>0</v>
      </c>
      <c r="K229">
        <f>COUNTIFS(Visits!$AG:$AG,'New Dashboard'!$A$24,Visits!$E:$E,'User Engagement'!$A229)</f>
        <v>0</v>
      </c>
      <c r="L229">
        <f>COUNTIFS(Visits!$AG:$AG,'New Dashboard'!$A$25,Visits!$E:$E,'User Engagement'!$A229)</f>
        <v>0</v>
      </c>
      <c r="M229">
        <f t="shared" si="24"/>
        <v>1</v>
      </c>
      <c r="N229">
        <f t="shared" si="25"/>
        <v>0</v>
      </c>
      <c r="O229">
        <f t="shared" si="25"/>
        <v>0</v>
      </c>
      <c r="P229">
        <f t="shared" si="21"/>
        <v>0</v>
      </c>
      <c r="Q229" s="4">
        <f>SUMIF(Visits!$E$2:$E$90,'User Engagement'!$A229,Visits!$T$2:$T$90)</f>
        <v>0</v>
      </c>
      <c r="R229" s="4">
        <f>SUMIFS(Visits!$T$2:$T$90,Visits!$E$2:$E$90,'User Engagement'!$A229,Visits!$AF$2:$AF$90,"&gt;3/28/24")</f>
        <v>0</v>
      </c>
      <c r="S229" s="13" t="e">
        <f t="shared" si="22"/>
        <v>#DIV/0!</v>
      </c>
      <c r="T229" s="13" t="str">
        <f t="shared" si="23"/>
        <v>n/a</v>
      </c>
    </row>
    <row r="230" spans="1:20" ht="15.95">
      <c r="A230">
        <f>Users!A227</f>
        <v>0</v>
      </c>
      <c r="B230" s="23"/>
      <c r="C230" s="23"/>
      <c r="D230" s="1" cm="1">
        <f t="array" ref="D230">MAX(_xlfn._xlws.FILTER(Visits!AF:AF,Visits!E:E='User Engagement'!A230))</f>
        <v>45434</v>
      </c>
      <c r="E230">
        <f>COUNTIF(Visits!$E$2:$E$993,'User Engagement'!$A230)</f>
        <v>0</v>
      </c>
      <c r="F230">
        <f>COUNTIFS(Visits!$E$2:$E$993,'User Engagement'!$A231,Visits!$AF$2:$AF$993,"&gt;"&amp;($B$1-7))</f>
        <v>0</v>
      </c>
      <c r="G230">
        <f>COUNTIFS(Visits!$E$2:$E$993,'User Engagement'!$A230,Visits!$AF$2:$AF$993,"&gt;"&amp;($B$1-30))</f>
        <v>0</v>
      </c>
      <c r="H230">
        <f>COUNTIFS(Visits!$E$2:$E$993,$A230,Visits!$AF$2:$AF$993,"&gt;"&amp;($B$1-60))-G230</f>
        <v>0</v>
      </c>
      <c r="I230">
        <f>COUNTIFS(Visits!$AG:$AG,'New Dashboard'!$A$22,Visits!$E:$E,'User Engagement'!$A230)</f>
        <v>0</v>
      </c>
      <c r="J230">
        <f>COUNTIFS(Visits!$AG:$AG,'New Dashboard'!$A$23,Visits!$E:$E,'User Engagement'!$A230)</f>
        <v>0</v>
      </c>
      <c r="K230">
        <f>COUNTIFS(Visits!$AG:$AG,'New Dashboard'!$A$24,Visits!$E:$E,'User Engagement'!$A230)</f>
        <v>0</v>
      </c>
      <c r="L230">
        <f>COUNTIFS(Visits!$AG:$AG,'New Dashboard'!$A$25,Visits!$E:$E,'User Engagement'!$A230)</f>
        <v>0</v>
      </c>
      <c r="M230">
        <f t="shared" si="24"/>
        <v>1</v>
      </c>
      <c r="N230">
        <f t="shared" si="25"/>
        <v>0</v>
      </c>
      <c r="O230">
        <f t="shared" si="25"/>
        <v>0</v>
      </c>
      <c r="P230">
        <f t="shared" si="21"/>
        <v>0</v>
      </c>
      <c r="Q230" s="4">
        <f>SUMIF(Visits!$E$2:$E$90,'User Engagement'!$A230,Visits!$T$2:$T$90)</f>
        <v>0</v>
      </c>
      <c r="R230" s="4">
        <f>SUMIFS(Visits!$T$2:$T$90,Visits!$E$2:$E$90,'User Engagement'!$A230,Visits!$AF$2:$AF$90,"&gt;3/28/24")</f>
        <v>0</v>
      </c>
      <c r="S230" s="13" t="e">
        <f t="shared" si="22"/>
        <v>#DIV/0!</v>
      </c>
      <c r="T230" s="13" t="str">
        <f t="shared" si="23"/>
        <v>n/a</v>
      </c>
    </row>
    <row r="231" spans="1:20" ht="15.95">
      <c r="A231">
        <f>Users!A228</f>
        <v>0</v>
      </c>
      <c r="B231" s="23"/>
      <c r="C231" s="23"/>
      <c r="D231" s="1" cm="1">
        <f t="array" ref="D231">MAX(_xlfn._xlws.FILTER(Visits!AF:AF,Visits!E:E='User Engagement'!A231))</f>
        <v>45434</v>
      </c>
      <c r="E231">
        <f>COUNTIF(Visits!$E$2:$E$993,'User Engagement'!$A231)</f>
        <v>0</v>
      </c>
      <c r="F231">
        <f>COUNTIFS(Visits!$E$2:$E$993,'User Engagement'!$A232,Visits!$AF$2:$AF$993,"&gt;"&amp;($B$1-7))</f>
        <v>0</v>
      </c>
      <c r="G231">
        <f>COUNTIFS(Visits!$E$2:$E$993,'User Engagement'!$A231,Visits!$AF$2:$AF$993,"&gt;"&amp;($B$1-30))</f>
        <v>0</v>
      </c>
      <c r="H231">
        <f>COUNTIFS(Visits!$E$2:$E$993,$A231,Visits!$AF$2:$AF$993,"&gt;"&amp;($B$1-60))-G231</f>
        <v>0</v>
      </c>
      <c r="I231">
        <f>COUNTIFS(Visits!$AG:$AG,'New Dashboard'!$A$22,Visits!$E:$E,'User Engagement'!$A231)</f>
        <v>0</v>
      </c>
      <c r="J231">
        <f>COUNTIFS(Visits!$AG:$AG,'New Dashboard'!$A$23,Visits!$E:$E,'User Engagement'!$A231)</f>
        <v>0</v>
      </c>
      <c r="K231">
        <f>COUNTIFS(Visits!$AG:$AG,'New Dashboard'!$A$24,Visits!$E:$E,'User Engagement'!$A231)</f>
        <v>0</v>
      </c>
      <c r="L231">
        <f>COUNTIFS(Visits!$AG:$AG,'New Dashboard'!$A$25,Visits!$E:$E,'User Engagement'!$A231)</f>
        <v>0</v>
      </c>
      <c r="M231">
        <f t="shared" si="24"/>
        <v>1</v>
      </c>
      <c r="N231">
        <f t="shared" si="25"/>
        <v>0</v>
      </c>
      <c r="O231">
        <f t="shared" si="25"/>
        <v>0</v>
      </c>
      <c r="P231">
        <f t="shared" si="21"/>
        <v>0</v>
      </c>
      <c r="Q231" s="4">
        <f>SUMIF(Visits!$E$2:$E$90,'User Engagement'!$A231,Visits!$T$2:$T$90)</f>
        <v>0</v>
      </c>
      <c r="R231" s="4">
        <f>SUMIFS(Visits!$T$2:$T$90,Visits!$E$2:$E$90,'User Engagement'!$A231,Visits!$AF$2:$AF$90,"&gt;3/28/24")</f>
        <v>0</v>
      </c>
      <c r="S231" s="13" t="e">
        <f t="shared" si="22"/>
        <v>#DIV/0!</v>
      </c>
      <c r="T231" s="13" t="str">
        <f t="shared" si="23"/>
        <v>n/a</v>
      </c>
    </row>
    <row r="232" spans="1:20" ht="15.95">
      <c r="A232">
        <f>Users!A229</f>
        <v>0</v>
      </c>
      <c r="B232" s="23"/>
      <c r="C232" s="23"/>
      <c r="D232" s="1" cm="1">
        <f t="array" ref="D232">MAX(_xlfn._xlws.FILTER(Visits!AF:AF,Visits!E:E='User Engagement'!A232))</f>
        <v>45434</v>
      </c>
      <c r="E232">
        <f>COUNTIF(Visits!$E$2:$E$993,'User Engagement'!$A232)</f>
        <v>0</v>
      </c>
      <c r="F232">
        <f>COUNTIFS(Visits!$E$2:$E$993,'User Engagement'!$A233,Visits!$AF$2:$AF$993,"&gt;"&amp;($B$1-7))</f>
        <v>0</v>
      </c>
      <c r="G232">
        <f>COUNTIFS(Visits!$E$2:$E$993,'User Engagement'!$A232,Visits!$AF$2:$AF$993,"&gt;"&amp;($B$1-30))</f>
        <v>0</v>
      </c>
      <c r="H232">
        <f>COUNTIFS(Visits!$E$2:$E$993,$A232,Visits!$AF$2:$AF$993,"&gt;"&amp;($B$1-60))-G232</f>
        <v>0</v>
      </c>
      <c r="I232">
        <f>COUNTIFS(Visits!$AG:$AG,'New Dashboard'!$A$22,Visits!$E:$E,'User Engagement'!$A232)</f>
        <v>0</v>
      </c>
      <c r="J232">
        <f>COUNTIFS(Visits!$AG:$AG,'New Dashboard'!$A$23,Visits!$E:$E,'User Engagement'!$A232)</f>
        <v>0</v>
      </c>
      <c r="K232">
        <f>COUNTIFS(Visits!$AG:$AG,'New Dashboard'!$A$24,Visits!$E:$E,'User Engagement'!$A232)</f>
        <v>0</v>
      </c>
      <c r="L232">
        <f>COUNTIFS(Visits!$AG:$AG,'New Dashboard'!$A$25,Visits!$E:$E,'User Engagement'!$A232)</f>
        <v>0</v>
      </c>
      <c r="M232">
        <f t="shared" si="24"/>
        <v>1</v>
      </c>
      <c r="N232">
        <f t="shared" si="25"/>
        <v>0</v>
      </c>
      <c r="O232">
        <f t="shared" si="25"/>
        <v>0</v>
      </c>
      <c r="P232">
        <f t="shared" si="21"/>
        <v>0</v>
      </c>
      <c r="Q232" s="4">
        <f>SUMIF(Visits!$E$2:$E$90,'User Engagement'!$A232,Visits!$T$2:$T$90)</f>
        <v>0</v>
      </c>
      <c r="R232" s="4">
        <f>SUMIFS(Visits!$T$2:$T$90,Visits!$E$2:$E$90,'User Engagement'!$A232,Visits!$AF$2:$AF$90,"&gt;3/28/24")</f>
        <v>0</v>
      </c>
      <c r="S232" s="13" t="e">
        <f t="shared" si="22"/>
        <v>#DIV/0!</v>
      </c>
      <c r="T232" s="13" t="str">
        <f t="shared" si="23"/>
        <v>n/a</v>
      </c>
    </row>
    <row r="233" spans="1:20" ht="15.95">
      <c r="A233">
        <f>Users!A230</f>
        <v>0</v>
      </c>
      <c r="B233" s="23"/>
      <c r="C233" s="23"/>
      <c r="D233" s="1" cm="1">
        <f t="array" ref="D233">MAX(_xlfn._xlws.FILTER(Visits!AF:AF,Visits!E:E='User Engagement'!A233))</f>
        <v>45434</v>
      </c>
      <c r="E233">
        <f>COUNTIF(Visits!$E$2:$E$993,'User Engagement'!$A233)</f>
        <v>0</v>
      </c>
      <c r="F233">
        <f>COUNTIFS(Visits!$E$2:$E$993,'User Engagement'!$A234,Visits!$AF$2:$AF$993,"&gt;"&amp;($B$1-7))</f>
        <v>0</v>
      </c>
      <c r="G233">
        <f>COUNTIFS(Visits!$E$2:$E$993,'User Engagement'!$A233,Visits!$AF$2:$AF$993,"&gt;"&amp;($B$1-30))</f>
        <v>0</v>
      </c>
      <c r="H233">
        <f>COUNTIFS(Visits!$E$2:$E$993,$A233,Visits!$AF$2:$AF$993,"&gt;"&amp;($B$1-60))-G233</f>
        <v>0</v>
      </c>
      <c r="I233">
        <f>COUNTIFS(Visits!$AG:$AG,'New Dashboard'!$A$22,Visits!$E:$E,'User Engagement'!$A233)</f>
        <v>0</v>
      </c>
      <c r="J233">
        <f>COUNTIFS(Visits!$AG:$AG,'New Dashboard'!$A$23,Visits!$E:$E,'User Engagement'!$A233)</f>
        <v>0</v>
      </c>
      <c r="K233">
        <f>COUNTIFS(Visits!$AG:$AG,'New Dashboard'!$A$24,Visits!$E:$E,'User Engagement'!$A233)</f>
        <v>0</v>
      </c>
      <c r="L233">
        <f>COUNTIFS(Visits!$AG:$AG,'New Dashboard'!$A$25,Visits!$E:$E,'User Engagement'!$A233)</f>
        <v>0</v>
      </c>
      <c r="M233">
        <f t="shared" si="24"/>
        <v>1</v>
      </c>
      <c r="N233">
        <f t="shared" si="25"/>
        <v>0</v>
      </c>
      <c r="O233">
        <f t="shared" si="25"/>
        <v>0</v>
      </c>
      <c r="P233">
        <f t="shared" si="21"/>
        <v>0</v>
      </c>
      <c r="Q233" s="4">
        <f>SUMIF(Visits!$E$2:$E$90,'User Engagement'!$A233,Visits!$T$2:$T$90)</f>
        <v>0</v>
      </c>
      <c r="R233" s="4">
        <f>SUMIFS(Visits!$T$2:$T$90,Visits!$E$2:$E$90,'User Engagement'!$A233,Visits!$AF$2:$AF$90,"&gt;3/28/24")</f>
        <v>0</v>
      </c>
      <c r="S233" s="13" t="e">
        <f t="shared" si="22"/>
        <v>#DIV/0!</v>
      </c>
      <c r="T233" s="13" t="str">
        <f t="shared" si="23"/>
        <v>n/a</v>
      </c>
    </row>
    <row r="234" spans="1:20" ht="15.95">
      <c r="A234">
        <f>Users!A231</f>
        <v>0</v>
      </c>
      <c r="B234" s="23"/>
      <c r="C234" s="23"/>
      <c r="D234" s="1" cm="1">
        <f t="array" ref="D234">MAX(_xlfn._xlws.FILTER(Visits!AF:AF,Visits!E:E='User Engagement'!A234))</f>
        <v>45434</v>
      </c>
      <c r="E234">
        <f>COUNTIF(Visits!$E$2:$E$993,'User Engagement'!$A234)</f>
        <v>0</v>
      </c>
      <c r="F234">
        <f>COUNTIFS(Visits!$E$2:$E$993,'User Engagement'!$A235,Visits!$AF$2:$AF$993,"&gt;"&amp;($B$1-7))</f>
        <v>0</v>
      </c>
      <c r="G234">
        <f>COUNTIFS(Visits!$E$2:$E$993,'User Engagement'!$A234,Visits!$AF$2:$AF$993,"&gt;"&amp;($B$1-30))</f>
        <v>0</v>
      </c>
      <c r="H234">
        <f>COUNTIFS(Visits!$E$2:$E$993,$A234,Visits!$AF$2:$AF$993,"&gt;"&amp;($B$1-60))-G234</f>
        <v>0</v>
      </c>
      <c r="I234">
        <f>COUNTIFS(Visits!$AG:$AG,'New Dashboard'!$A$22,Visits!$E:$E,'User Engagement'!$A234)</f>
        <v>0</v>
      </c>
      <c r="J234">
        <f>COUNTIFS(Visits!$AG:$AG,'New Dashboard'!$A$23,Visits!$E:$E,'User Engagement'!$A234)</f>
        <v>0</v>
      </c>
      <c r="K234">
        <f>COUNTIFS(Visits!$AG:$AG,'New Dashboard'!$A$24,Visits!$E:$E,'User Engagement'!$A234)</f>
        <v>0</v>
      </c>
      <c r="L234">
        <f>COUNTIFS(Visits!$AG:$AG,'New Dashboard'!$A$25,Visits!$E:$E,'User Engagement'!$A234)</f>
        <v>0</v>
      </c>
      <c r="M234">
        <f t="shared" si="24"/>
        <v>1</v>
      </c>
      <c r="N234">
        <f t="shared" si="25"/>
        <v>0</v>
      </c>
      <c r="O234">
        <f t="shared" si="25"/>
        <v>0</v>
      </c>
      <c r="P234">
        <f t="shared" si="21"/>
        <v>0</v>
      </c>
      <c r="Q234" s="4">
        <f>SUMIF(Visits!$E$2:$E$90,'User Engagement'!$A234,Visits!$T$2:$T$90)</f>
        <v>0</v>
      </c>
      <c r="R234" s="4">
        <f>SUMIFS(Visits!$T$2:$T$90,Visits!$E$2:$E$90,'User Engagement'!$A234,Visits!$AF$2:$AF$90,"&gt;3/28/24")</f>
        <v>0</v>
      </c>
      <c r="S234" s="13" t="e">
        <f t="shared" si="22"/>
        <v>#DIV/0!</v>
      </c>
      <c r="T234" s="13" t="str">
        <f t="shared" si="23"/>
        <v>n/a</v>
      </c>
    </row>
    <row r="235" spans="1:20" ht="15.95">
      <c r="A235">
        <f>Users!A232</f>
        <v>0</v>
      </c>
      <c r="B235" s="23"/>
      <c r="C235" s="23"/>
      <c r="D235" s="1" cm="1">
        <f t="array" ref="D235">MAX(_xlfn._xlws.FILTER(Visits!AF:AF,Visits!E:E='User Engagement'!A235))</f>
        <v>45434</v>
      </c>
      <c r="E235">
        <f>COUNTIF(Visits!$E$2:$E$993,'User Engagement'!$A235)</f>
        <v>0</v>
      </c>
      <c r="F235">
        <f>COUNTIFS(Visits!$E$2:$E$993,'User Engagement'!$A236,Visits!$AF$2:$AF$993,"&gt;"&amp;($B$1-7))</f>
        <v>0</v>
      </c>
      <c r="G235">
        <f>COUNTIFS(Visits!$E$2:$E$993,'User Engagement'!$A235,Visits!$AF$2:$AF$993,"&gt;"&amp;($B$1-30))</f>
        <v>0</v>
      </c>
      <c r="H235">
        <f>COUNTIFS(Visits!$E$2:$E$993,$A235,Visits!$AF$2:$AF$993,"&gt;"&amp;($B$1-60))-G235</f>
        <v>0</v>
      </c>
      <c r="I235">
        <f>COUNTIFS(Visits!$AG:$AG,'New Dashboard'!$A$22,Visits!$E:$E,'User Engagement'!$A235)</f>
        <v>0</v>
      </c>
      <c r="J235">
        <f>COUNTIFS(Visits!$AG:$AG,'New Dashboard'!$A$23,Visits!$E:$E,'User Engagement'!$A235)</f>
        <v>0</v>
      </c>
      <c r="K235">
        <f>COUNTIFS(Visits!$AG:$AG,'New Dashboard'!$A$24,Visits!$E:$E,'User Engagement'!$A235)</f>
        <v>0</v>
      </c>
      <c r="L235">
        <f>COUNTIFS(Visits!$AG:$AG,'New Dashboard'!$A$25,Visits!$E:$E,'User Engagement'!$A235)</f>
        <v>0</v>
      </c>
      <c r="M235">
        <f t="shared" si="24"/>
        <v>1</v>
      </c>
      <c r="N235">
        <f t="shared" si="25"/>
        <v>0</v>
      </c>
      <c r="O235">
        <f t="shared" si="25"/>
        <v>0</v>
      </c>
      <c r="P235">
        <f t="shared" si="21"/>
        <v>0</v>
      </c>
      <c r="Q235" s="4">
        <f>SUMIF(Visits!$E$2:$E$90,'User Engagement'!$A235,Visits!$T$2:$T$90)</f>
        <v>0</v>
      </c>
      <c r="R235" s="4">
        <f>SUMIFS(Visits!$T$2:$T$90,Visits!$E$2:$E$90,'User Engagement'!$A235,Visits!$AF$2:$AF$90,"&gt;3/28/24")</f>
        <v>0</v>
      </c>
      <c r="S235" s="13" t="e">
        <f t="shared" si="22"/>
        <v>#DIV/0!</v>
      </c>
      <c r="T235" s="13" t="str">
        <f t="shared" si="23"/>
        <v>n/a</v>
      </c>
    </row>
    <row r="236" spans="1:20" ht="15.95">
      <c r="A236">
        <f>Users!A233</f>
        <v>0</v>
      </c>
      <c r="B236" s="23"/>
      <c r="C236" s="23"/>
      <c r="D236" s="1" cm="1">
        <f t="array" ref="D236">MAX(_xlfn._xlws.FILTER(Visits!AF:AF,Visits!E:E='User Engagement'!A236))</f>
        <v>45434</v>
      </c>
      <c r="E236">
        <f>COUNTIF(Visits!$E$2:$E$993,'User Engagement'!$A236)</f>
        <v>0</v>
      </c>
      <c r="F236">
        <f>COUNTIFS(Visits!$E$2:$E$993,'User Engagement'!$A237,Visits!$AF$2:$AF$993,"&gt;"&amp;($B$1-7))</f>
        <v>0</v>
      </c>
      <c r="G236">
        <f>COUNTIFS(Visits!$E$2:$E$993,'User Engagement'!$A236,Visits!$AF$2:$AF$993,"&gt;"&amp;($B$1-30))</f>
        <v>0</v>
      </c>
      <c r="H236">
        <f>COUNTIFS(Visits!$E$2:$E$993,$A236,Visits!$AF$2:$AF$993,"&gt;"&amp;($B$1-60))-G236</f>
        <v>0</v>
      </c>
      <c r="I236">
        <f>COUNTIFS(Visits!$AG:$AG,'New Dashboard'!$A$22,Visits!$E:$E,'User Engagement'!$A236)</f>
        <v>0</v>
      </c>
      <c r="J236">
        <f>COUNTIFS(Visits!$AG:$AG,'New Dashboard'!$A$23,Visits!$E:$E,'User Engagement'!$A236)</f>
        <v>0</v>
      </c>
      <c r="K236">
        <f>COUNTIFS(Visits!$AG:$AG,'New Dashboard'!$A$24,Visits!$E:$E,'User Engagement'!$A236)</f>
        <v>0</v>
      </c>
      <c r="L236">
        <f>COUNTIFS(Visits!$AG:$AG,'New Dashboard'!$A$25,Visits!$E:$E,'User Engagement'!$A236)</f>
        <v>0</v>
      </c>
      <c r="M236">
        <f t="shared" si="24"/>
        <v>1</v>
      </c>
      <c r="N236">
        <f t="shared" si="25"/>
        <v>0</v>
      </c>
      <c r="O236">
        <f t="shared" si="25"/>
        <v>0</v>
      </c>
      <c r="P236">
        <f t="shared" si="21"/>
        <v>0</v>
      </c>
      <c r="Q236" s="4">
        <f>SUMIF(Visits!$E$2:$E$90,'User Engagement'!$A236,Visits!$T$2:$T$90)</f>
        <v>0</v>
      </c>
      <c r="R236" s="4">
        <f>SUMIFS(Visits!$T$2:$T$90,Visits!$E$2:$E$90,'User Engagement'!$A236,Visits!$AF$2:$AF$90,"&gt;3/28/24")</f>
        <v>0</v>
      </c>
      <c r="S236" s="13" t="e">
        <f t="shared" si="22"/>
        <v>#DIV/0!</v>
      </c>
      <c r="T236" s="13" t="str">
        <f t="shared" si="23"/>
        <v>n/a</v>
      </c>
    </row>
    <row r="237" spans="1:20" ht="15.95">
      <c r="A237">
        <f>Users!A234</f>
        <v>0</v>
      </c>
      <c r="B237" s="23"/>
      <c r="C237" s="23"/>
      <c r="D237" s="1" cm="1">
        <f t="array" ref="D237">MAX(_xlfn._xlws.FILTER(Visits!AF:AF,Visits!E:E='User Engagement'!A237))</f>
        <v>45434</v>
      </c>
      <c r="E237">
        <f>COUNTIF(Visits!$E$2:$E$993,'User Engagement'!$A237)</f>
        <v>0</v>
      </c>
      <c r="F237">
        <f>COUNTIFS(Visits!$E$2:$E$993,'User Engagement'!$A238,Visits!$AF$2:$AF$993,"&gt;"&amp;($B$1-7))</f>
        <v>0</v>
      </c>
      <c r="G237">
        <f>COUNTIFS(Visits!$E$2:$E$993,'User Engagement'!$A237,Visits!$AF$2:$AF$993,"&gt;"&amp;($B$1-30))</f>
        <v>0</v>
      </c>
      <c r="H237">
        <f>COUNTIFS(Visits!$E$2:$E$993,$A237,Visits!$AF$2:$AF$993,"&gt;"&amp;($B$1-60))-G237</f>
        <v>0</v>
      </c>
      <c r="I237">
        <f>COUNTIFS(Visits!$AG:$AG,'New Dashboard'!$A$22,Visits!$E:$E,'User Engagement'!$A237)</f>
        <v>0</v>
      </c>
      <c r="J237">
        <f>COUNTIFS(Visits!$AG:$AG,'New Dashboard'!$A$23,Visits!$E:$E,'User Engagement'!$A237)</f>
        <v>0</v>
      </c>
      <c r="K237">
        <f>COUNTIFS(Visits!$AG:$AG,'New Dashboard'!$A$24,Visits!$E:$E,'User Engagement'!$A237)</f>
        <v>0</v>
      </c>
      <c r="L237">
        <f>COUNTIFS(Visits!$AG:$AG,'New Dashboard'!$A$25,Visits!$E:$E,'User Engagement'!$A237)</f>
        <v>0</v>
      </c>
      <c r="M237">
        <f t="shared" si="24"/>
        <v>1</v>
      </c>
      <c r="N237">
        <f t="shared" si="25"/>
        <v>0</v>
      </c>
      <c r="O237">
        <f t="shared" si="25"/>
        <v>0</v>
      </c>
      <c r="P237">
        <f t="shared" si="21"/>
        <v>0</v>
      </c>
      <c r="Q237" s="4">
        <f>SUMIF(Visits!$E$2:$E$90,'User Engagement'!$A237,Visits!$T$2:$T$90)</f>
        <v>0</v>
      </c>
      <c r="R237" s="4">
        <f>SUMIFS(Visits!$T$2:$T$90,Visits!$E$2:$E$90,'User Engagement'!$A237,Visits!$AF$2:$AF$90,"&gt;3/28/24")</f>
        <v>0</v>
      </c>
      <c r="S237" s="13" t="e">
        <f t="shared" si="22"/>
        <v>#DIV/0!</v>
      </c>
      <c r="T237" s="13" t="str">
        <f t="shared" si="23"/>
        <v>n/a</v>
      </c>
    </row>
    <row r="238" spans="1:20" ht="15.95">
      <c r="A238">
        <f>Users!A235</f>
        <v>0</v>
      </c>
      <c r="B238" s="23"/>
      <c r="C238" s="23"/>
      <c r="D238" s="1" cm="1">
        <f t="array" ref="D238">MAX(_xlfn._xlws.FILTER(Visits!AF:AF,Visits!E:E='User Engagement'!A238))</f>
        <v>45434</v>
      </c>
      <c r="E238">
        <f>COUNTIF(Visits!$E$2:$E$993,'User Engagement'!$A238)</f>
        <v>0</v>
      </c>
      <c r="F238">
        <f>COUNTIFS(Visits!$E$2:$E$993,'User Engagement'!$A239,Visits!$AF$2:$AF$993,"&gt;"&amp;($B$1-7))</f>
        <v>0</v>
      </c>
      <c r="G238">
        <f>COUNTIFS(Visits!$E$2:$E$993,'User Engagement'!$A238,Visits!$AF$2:$AF$993,"&gt;"&amp;($B$1-30))</f>
        <v>0</v>
      </c>
      <c r="H238">
        <f>COUNTIFS(Visits!$E$2:$E$993,$A238,Visits!$AF$2:$AF$993,"&gt;"&amp;($B$1-60))-G238</f>
        <v>0</v>
      </c>
      <c r="I238">
        <f>COUNTIFS(Visits!$AG:$AG,'New Dashboard'!$A$22,Visits!$E:$E,'User Engagement'!$A238)</f>
        <v>0</v>
      </c>
      <c r="J238">
        <f>COUNTIFS(Visits!$AG:$AG,'New Dashboard'!$A$23,Visits!$E:$E,'User Engagement'!$A238)</f>
        <v>0</v>
      </c>
      <c r="K238">
        <f>COUNTIFS(Visits!$AG:$AG,'New Dashboard'!$A$24,Visits!$E:$E,'User Engagement'!$A238)</f>
        <v>0</v>
      </c>
      <c r="L238">
        <f>COUNTIFS(Visits!$AG:$AG,'New Dashboard'!$A$25,Visits!$E:$E,'User Engagement'!$A238)</f>
        <v>0</v>
      </c>
      <c r="M238">
        <f t="shared" si="24"/>
        <v>1</v>
      </c>
      <c r="N238">
        <f t="shared" si="25"/>
        <v>0</v>
      </c>
      <c r="O238">
        <f t="shared" si="25"/>
        <v>0</v>
      </c>
      <c r="P238">
        <f t="shared" si="21"/>
        <v>0</v>
      </c>
      <c r="Q238" s="4">
        <f>SUMIF(Visits!$E$2:$E$90,'User Engagement'!$A238,Visits!$T$2:$T$90)</f>
        <v>0</v>
      </c>
      <c r="R238" s="4">
        <f>SUMIFS(Visits!$T$2:$T$90,Visits!$E$2:$E$90,'User Engagement'!$A238,Visits!$AF$2:$AF$90,"&gt;3/28/24")</f>
        <v>0</v>
      </c>
      <c r="S238" s="13" t="e">
        <f t="shared" si="22"/>
        <v>#DIV/0!</v>
      </c>
      <c r="T238" s="13" t="str">
        <f t="shared" si="23"/>
        <v>n/a</v>
      </c>
    </row>
    <row r="239" spans="1:20" ht="15.95">
      <c r="A239">
        <f>Users!A236</f>
        <v>0</v>
      </c>
      <c r="B239" s="23"/>
      <c r="C239" s="23"/>
      <c r="D239" s="1" cm="1">
        <f t="array" ref="D239">MAX(_xlfn._xlws.FILTER(Visits!AF:AF,Visits!E:E='User Engagement'!A239))</f>
        <v>45434</v>
      </c>
      <c r="E239">
        <f>COUNTIF(Visits!$E$2:$E$993,'User Engagement'!$A239)</f>
        <v>0</v>
      </c>
      <c r="F239">
        <f>COUNTIFS(Visits!$E$2:$E$993,'User Engagement'!$A240,Visits!$AF$2:$AF$993,"&gt;"&amp;($B$1-7))</f>
        <v>0</v>
      </c>
      <c r="G239">
        <f>COUNTIFS(Visits!$E$2:$E$993,'User Engagement'!$A239,Visits!$AF$2:$AF$993,"&gt;"&amp;($B$1-30))</f>
        <v>0</v>
      </c>
      <c r="H239">
        <f>COUNTIFS(Visits!$E$2:$E$993,$A239,Visits!$AF$2:$AF$993,"&gt;"&amp;($B$1-60))-G239</f>
        <v>0</v>
      </c>
      <c r="I239">
        <f>COUNTIFS(Visits!$AG:$AG,'New Dashboard'!$A$22,Visits!$E:$E,'User Engagement'!$A239)</f>
        <v>0</v>
      </c>
      <c r="J239">
        <f>COUNTIFS(Visits!$AG:$AG,'New Dashboard'!$A$23,Visits!$E:$E,'User Engagement'!$A239)</f>
        <v>0</v>
      </c>
      <c r="K239">
        <f>COUNTIFS(Visits!$AG:$AG,'New Dashboard'!$A$24,Visits!$E:$E,'User Engagement'!$A239)</f>
        <v>0</v>
      </c>
      <c r="L239">
        <f>COUNTIFS(Visits!$AG:$AG,'New Dashboard'!$A$25,Visits!$E:$E,'User Engagement'!$A239)</f>
        <v>0</v>
      </c>
      <c r="M239">
        <f t="shared" si="24"/>
        <v>1</v>
      </c>
      <c r="N239">
        <f t="shared" si="25"/>
        <v>0</v>
      </c>
      <c r="O239">
        <f t="shared" si="25"/>
        <v>0</v>
      </c>
      <c r="P239">
        <f t="shared" si="21"/>
        <v>0</v>
      </c>
      <c r="Q239" s="4">
        <f>SUMIF(Visits!$E$2:$E$90,'User Engagement'!$A239,Visits!$T$2:$T$90)</f>
        <v>0</v>
      </c>
      <c r="R239" s="4">
        <f>SUMIFS(Visits!$T$2:$T$90,Visits!$E$2:$E$90,'User Engagement'!$A239,Visits!$AF$2:$AF$90,"&gt;3/28/24")</f>
        <v>0</v>
      </c>
      <c r="S239" s="13" t="e">
        <f t="shared" si="22"/>
        <v>#DIV/0!</v>
      </c>
      <c r="T239" s="13" t="str">
        <f t="shared" si="23"/>
        <v>n/a</v>
      </c>
    </row>
    <row r="240" spans="1:20" ht="15.95">
      <c r="A240">
        <f>Users!A237</f>
        <v>0</v>
      </c>
      <c r="B240" s="23"/>
      <c r="C240" s="23"/>
      <c r="D240" s="1" cm="1">
        <f t="array" ref="D240">MAX(_xlfn._xlws.FILTER(Visits!AF:AF,Visits!E:E='User Engagement'!A240))</f>
        <v>45434</v>
      </c>
      <c r="E240">
        <f>COUNTIF(Visits!$E$2:$E$993,'User Engagement'!$A240)</f>
        <v>0</v>
      </c>
      <c r="F240">
        <f>COUNTIFS(Visits!$E$2:$E$993,'User Engagement'!$A241,Visits!$AF$2:$AF$993,"&gt;"&amp;($B$1-7))</f>
        <v>0</v>
      </c>
      <c r="G240">
        <f>COUNTIFS(Visits!$E$2:$E$993,'User Engagement'!$A240,Visits!$AF$2:$AF$993,"&gt;"&amp;($B$1-30))</f>
        <v>0</v>
      </c>
      <c r="H240">
        <f>COUNTIFS(Visits!$E$2:$E$993,$A240,Visits!$AF$2:$AF$993,"&gt;"&amp;($B$1-60))-G240</f>
        <v>0</v>
      </c>
      <c r="I240">
        <f>COUNTIFS(Visits!$AG:$AG,'New Dashboard'!$A$22,Visits!$E:$E,'User Engagement'!$A240)</f>
        <v>0</v>
      </c>
      <c r="J240">
        <f>COUNTIFS(Visits!$AG:$AG,'New Dashboard'!$A$23,Visits!$E:$E,'User Engagement'!$A240)</f>
        <v>0</v>
      </c>
      <c r="K240">
        <f>COUNTIFS(Visits!$AG:$AG,'New Dashboard'!$A$24,Visits!$E:$E,'User Engagement'!$A240)</f>
        <v>0</v>
      </c>
      <c r="L240">
        <f>COUNTIFS(Visits!$AG:$AG,'New Dashboard'!$A$25,Visits!$E:$E,'User Engagement'!$A240)</f>
        <v>0</v>
      </c>
      <c r="M240">
        <f t="shared" si="24"/>
        <v>1</v>
      </c>
      <c r="N240">
        <f t="shared" si="25"/>
        <v>0</v>
      </c>
      <c r="O240">
        <f t="shared" si="25"/>
        <v>0</v>
      </c>
      <c r="P240">
        <f t="shared" si="21"/>
        <v>0</v>
      </c>
      <c r="Q240" s="4">
        <f>SUMIF(Visits!$E$2:$E$90,'User Engagement'!$A240,Visits!$T$2:$T$90)</f>
        <v>0</v>
      </c>
      <c r="R240" s="4">
        <f>SUMIFS(Visits!$T$2:$T$90,Visits!$E$2:$E$90,'User Engagement'!$A240,Visits!$AF$2:$AF$90,"&gt;3/28/24")</f>
        <v>0</v>
      </c>
      <c r="S240" s="13" t="e">
        <f t="shared" si="22"/>
        <v>#DIV/0!</v>
      </c>
      <c r="T240" s="13" t="str">
        <f t="shared" si="23"/>
        <v>n/a</v>
      </c>
    </row>
    <row r="241" spans="1:20" ht="15.95">
      <c r="A241">
        <f>Users!A238</f>
        <v>0</v>
      </c>
      <c r="B241" s="23"/>
      <c r="C241" s="23"/>
      <c r="D241" s="1" cm="1">
        <f t="array" ref="D241">MAX(_xlfn._xlws.FILTER(Visits!AF:AF,Visits!E:E='User Engagement'!A241))</f>
        <v>45434</v>
      </c>
      <c r="E241">
        <f>COUNTIF(Visits!$E$2:$E$993,'User Engagement'!$A241)</f>
        <v>0</v>
      </c>
      <c r="F241">
        <f>COUNTIFS(Visits!$E$2:$E$993,'User Engagement'!$A242,Visits!$AF$2:$AF$993,"&gt;"&amp;($B$1-7))</f>
        <v>0</v>
      </c>
      <c r="G241">
        <f>COUNTIFS(Visits!$E$2:$E$993,'User Engagement'!$A241,Visits!$AF$2:$AF$993,"&gt;"&amp;($B$1-30))</f>
        <v>0</v>
      </c>
      <c r="H241">
        <f>COUNTIFS(Visits!$E$2:$E$993,$A241,Visits!$AF$2:$AF$993,"&gt;"&amp;($B$1-60))-G241</f>
        <v>0</v>
      </c>
      <c r="I241">
        <f>COUNTIFS(Visits!$AG:$AG,'New Dashboard'!$A$22,Visits!$E:$E,'User Engagement'!$A241)</f>
        <v>0</v>
      </c>
      <c r="J241">
        <f>COUNTIFS(Visits!$AG:$AG,'New Dashboard'!$A$23,Visits!$E:$E,'User Engagement'!$A241)</f>
        <v>0</v>
      </c>
      <c r="K241">
        <f>COUNTIFS(Visits!$AG:$AG,'New Dashboard'!$A$24,Visits!$E:$E,'User Engagement'!$A241)</f>
        <v>0</v>
      </c>
      <c r="L241">
        <f>COUNTIFS(Visits!$AG:$AG,'New Dashboard'!$A$25,Visits!$E:$E,'User Engagement'!$A241)</f>
        <v>0</v>
      </c>
      <c r="M241">
        <f t="shared" si="24"/>
        <v>1</v>
      </c>
      <c r="N241">
        <f t="shared" si="25"/>
        <v>0</v>
      </c>
      <c r="O241">
        <f t="shared" si="25"/>
        <v>0</v>
      </c>
      <c r="P241">
        <f t="shared" si="21"/>
        <v>0</v>
      </c>
      <c r="Q241" s="4">
        <f>SUMIF(Visits!$E$2:$E$90,'User Engagement'!$A241,Visits!$T$2:$T$90)</f>
        <v>0</v>
      </c>
      <c r="R241" s="4">
        <f>SUMIFS(Visits!$T$2:$T$90,Visits!$E$2:$E$90,'User Engagement'!$A241,Visits!$AF$2:$AF$90,"&gt;3/28/24")</f>
        <v>0</v>
      </c>
      <c r="S241" s="13" t="e">
        <f t="shared" si="22"/>
        <v>#DIV/0!</v>
      </c>
      <c r="T241" s="13" t="str">
        <f t="shared" si="23"/>
        <v>n/a</v>
      </c>
    </row>
    <row r="242" spans="1:20" ht="15.95">
      <c r="A242">
        <f>Users!A239</f>
        <v>0</v>
      </c>
      <c r="B242" s="23"/>
      <c r="C242" s="23"/>
      <c r="D242" s="1" cm="1">
        <f t="array" ref="D242">MAX(_xlfn._xlws.FILTER(Visits!AF:AF,Visits!E:E='User Engagement'!A242))</f>
        <v>45434</v>
      </c>
      <c r="E242">
        <f>COUNTIF(Visits!$E$2:$E$993,'User Engagement'!$A242)</f>
        <v>0</v>
      </c>
      <c r="F242">
        <f>COUNTIFS(Visits!$E$2:$E$993,'User Engagement'!$A243,Visits!$AF$2:$AF$993,"&gt;"&amp;($B$1-7))</f>
        <v>0</v>
      </c>
      <c r="G242">
        <f>COUNTIFS(Visits!$E$2:$E$993,'User Engagement'!$A242,Visits!$AF$2:$AF$993,"&gt;"&amp;($B$1-30))</f>
        <v>0</v>
      </c>
      <c r="H242">
        <f>COUNTIFS(Visits!$E$2:$E$993,$A242,Visits!$AF$2:$AF$993,"&gt;"&amp;($B$1-60))-G242</f>
        <v>0</v>
      </c>
      <c r="I242">
        <f>COUNTIFS(Visits!$AG:$AG,'New Dashboard'!$A$22,Visits!$E:$E,'User Engagement'!$A242)</f>
        <v>0</v>
      </c>
      <c r="J242">
        <f>COUNTIFS(Visits!$AG:$AG,'New Dashboard'!$A$23,Visits!$E:$E,'User Engagement'!$A242)</f>
        <v>0</v>
      </c>
      <c r="K242">
        <f>COUNTIFS(Visits!$AG:$AG,'New Dashboard'!$A$24,Visits!$E:$E,'User Engagement'!$A242)</f>
        <v>0</v>
      </c>
      <c r="L242">
        <f>COUNTIFS(Visits!$AG:$AG,'New Dashboard'!$A$25,Visits!$E:$E,'User Engagement'!$A242)</f>
        <v>0</v>
      </c>
      <c r="M242">
        <f t="shared" si="24"/>
        <v>1</v>
      </c>
      <c r="N242">
        <f t="shared" si="25"/>
        <v>0</v>
      </c>
      <c r="O242">
        <f t="shared" si="25"/>
        <v>0</v>
      </c>
      <c r="P242">
        <f t="shared" si="21"/>
        <v>0</v>
      </c>
      <c r="Q242" s="4">
        <f>SUMIF(Visits!$E$2:$E$90,'User Engagement'!$A242,Visits!$T$2:$T$90)</f>
        <v>0</v>
      </c>
      <c r="R242" s="4">
        <f>SUMIFS(Visits!$T$2:$T$90,Visits!$E$2:$E$90,'User Engagement'!$A242,Visits!$AF$2:$AF$90,"&gt;3/28/24")</f>
        <v>0</v>
      </c>
      <c r="S242" s="13" t="e">
        <f t="shared" si="22"/>
        <v>#DIV/0!</v>
      </c>
      <c r="T242" s="13" t="str">
        <f t="shared" si="23"/>
        <v>n/a</v>
      </c>
    </row>
    <row r="243" spans="1:20" ht="15.95">
      <c r="A243">
        <f>Users!A240</f>
        <v>0</v>
      </c>
      <c r="B243" s="23"/>
      <c r="C243" s="23"/>
      <c r="D243" s="1" cm="1">
        <f t="array" ref="D243">MAX(_xlfn._xlws.FILTER(Visits!AF:AF,Visits!E:E='User Engagement'!A243))</f>
        <v>45434</v>
      </c>
      <c r="E243">
        <f>COUNTIF(Visits!$E$2:$E$993,'User Engagement'!$A243)</f>
        <v>0</v>
      </c>
      <c r="F243">
        <f>COUNTIFS(Visits!$E$2:$E$993,'User Engagement'!$A244,Visits!$AF$2:$AF$993,"&gt;"&amp;($B$1-7))</f>
        <v>0</v>
      </c>
      <c r="G243">
        <f>COUNTIFS(Visits!$E$2:$E$993,'User Engagement'!$A243,Visits!$AF$2:$AF$993,"&gt;"&amp;($B$1-30))</f>
        <v>0</v>
      </c>
      <c r="H243">
        <f>COUNTIFS(Visits!$E$2:$E$993,$A243,Visits!$AF$2:$AF$993,"&gt;"&amp;($B$1-60))-G243</f>
        <v>0</v>
      </c>
      <c r="I243">
        <f>COUNTIFS(Visits!$AG:$AG,'New Dashboard'!$A$22,Visits!$E:$E,'User Engagement'!$A243)</f>
        <v>0</v>
      </c>
      <c r="J243">
        <f>COUNTIFS(Visits!$AG:$AG,'New Dashboard'!$A$23,Visits!$E:$E,'User Engagement'!$A243)</f>
        <v>0</v>
      </c>
      <c r="K243">
        <f>COUNTIFS(Visits!$AG:$AG,'New Dashboard'!$A$24,Visits!$E:$E,'User Engagement'!$A243)</f>
        <v>0</v>
      </c>
      <c r="L243">
        <f>COUNTIFS(Visits!$AG:$AG,'New Dashboard'!$A$25,Visits!$E:$E,'User Engagement'!$A243)</f>
        <v>0</v>
      </c>
      <c r="M243">
        <f t="shared" si="24"/>
        <v>1</v>
      </c>
      <c r="N243">
        <f t="shared" si="25"/>
        <v>0</v>
      </c>
      <c r="O243">
        <f t="shared" si="25"/>
        <v>0</v>
      </c>
      <c r="P243">
        <f t="shared" si="21"/>
        <v>0</v>
      </c>
      <c r="Q243" s="4">
        <f>SUMIF(Visits!$E$2:$E$90,'User Engagement'!$A243,Visits!$T$2:$T$90)</f>
        <v>0</v>
      </c>
      <c r="R243" s="4">
        <f>SUMIFS(Visits!$T$2:$T$90,Visits!$E$2:$E$90,'User Engagement'!$A243,Visits!$AF$2:$AF$90,"&gt;3/28/24")</f>
        <v>0</v>
      </c>
      <c r="S243" s="13" t="e">
        <f t="shared" si="22"/>
        <v>#DIV/0!</v>
      </c>
      <c r="T243" s="13" t="str">
        <f t="shared" si="23"/>
        <v>n/a</v>
      </c>
    </row>
    <row r="244" spans="1:20" ht="15.95">
      <c r="A244">
        <f>Users!A241</f>
        <v>0</v>
      </c>
      <c r="B244" s="23"/>
      <c r="C244" s="23"/>
      <c r="D244" s="1" cm="1">
        <f t="array" ref="D244">MAX(_xlfn._xlws.FILTER(Visits!AF:AF,Visits!E:E='User Engagement'!A244))</f>
        <v>45434</v>
      </c>
      <c r="E244">
        <f>COUNTIF(Visits!$E$2:$E$993,'User Engagement'!$A244)</f>
        <v>0</v>
      </c>
      <c r="F244">
        <f>COUNTIFS(Visits!$E$2:$E$993,'User Engagement'!$A245,Visits!$AF$2:$AF$993,"&gt;"&amp;($B$1-7))</f>
        <v>0</v>
      </c>
      <c r="G244">
        <f>COUNTIFS(Visits!$E$2:$E$993,'User Engagement'!$A244,Visits!$AF$2:$AF$993,"&gt;"&amp;($B$1-30))</f>
        <v>0</v>
      </c>
      <c r="H244">
        <f>COUNTIFS(Visits!$E$2:$E$993,$A244,Visits!$AF$2:$AF$993,"&gt;"&amp;($B$1-60))-G244</f>
        <v>0</v>
      </c>
      <c r="I244">
        <f>COUNTIFS(Visits!$AG:$AG,'New Dashboard'!$A$22,Visits!$E:$E,'User Engagement'!$A244)</f>
        <v>0</v>
      </c>
      <c r="J244">
        <f>COUNTIFS(Visits!$AG:$AG,'New Dashboard'!$A$23,Visits!$E:$E,'User Engagement'!$A244)</f>
        <v>0</v>
      </c>
      <c r="K244">
        <f>COUNTIFS(Visits!$AG:$AG,'New Dashboard'!$A$24,Visits!$E:$E,'User Engagement'!$A244)</f>
        <v>0</v>
      </c>
      <c r="L244">
        <f>COUNTIFS(Visits!$AG:$AG,'New Dashboard'!$A$25,Visits!$E:$E,'User Engagement'!$A244)</f>
        <v>0</v>
      </c>
      <c r="M244">
        <f t="shared" si="24"/>
        <v>1</v>
      </c>
      <c r="N244">
        <f t="shared" si="25"/>
        <v>0</v>
      </c>
      <c r="O244">
        <f t="shared" si="25"/>
        <v>0</v>
      </c>
      <c r="P244">
        <f t="shared" si="21"/>
        <v>0</v>
      </c>
      <c r="Q244" s="4">
        <f>SUMIF(Visits!$E$2:$E$90,'User Engagement'!$A244,Visits!$T$2:$T$90)</f>
        <v>0</v>
      </c>
      <c r="R244" s="4">
        <f>SUMIFS(Visits!$T$2:$T$90,Visits!$E$2:$E$90,'User Engagement'!$A244,Visits!$AF$2:$AF$90,"&gt;3/28/24")</f>
        <v>0</v>
      </c>
      <c r="S244" s="13" t="e">
        <f t="shared" si="22"/>
        <v>#DIV/0!</v>
      </c>
      <c r="T244" s="13" t="str">
        <f t="shared" si="23"/>
        <v>n/a</v>
      </c>
    </row>
    <row r="245" spans="1:20" ht="15.95">
      <c r="A245">
        <f>Users!A242</f>
        <v>0</v>
      </c>
      <c r="B245" s="23"/>
      <c r="C245" s="23"/>
      <c r="D245" s="1" cm="1">
        <f t="array" ref="D245">MAX(_xlfn._xlws.FILTER(Visits!AF:AF,Visits!E:E='User Engagement'!A245))</f>
        <v>45434</v>
      </c>
      <c r="E245">
        <f>COUNTIF(Visits!$E$2:$E$993,'User Engagement'!$A245)</f>
        <v>0</v>
      </c>
      <c r="F245">
        <f>COUNTIFS(Visits!$E$2:$E$993,'User Engagement'!$A246,Visits!$AF$2:$AF$993,"&gt;"&amp;($B$1-7))</f>
        <v>0</v>
      </c>
      <c r="G245">
        <f>COUNTIFS(Visits!$E$2:$E$993,'User Engagement'!$A245,Visits!$AF$2:$AF$993,"&gt;"&amp;($B$1-30))</f>
        <v>0</v>
      </c>
      <c r="H245">
        <f>COUNTIFS(Visits!$E$2:$E$993,$A245,Visits!$AF$2:$AF$993,"&gt;"&amp;($B$1-60))-G245</f>
        <v>0</v>
      </c>
      <c r="I245">
        <f>COUNTIFS(Visits!$AG:$AG,'New Dashboard'!$A$22,Visits!$E:$E,'User Engagement'!$A245)</f>
        <v>0</v>
      </c>
      <c r="J245">
        <f>COUNTIFS(Visits!$AG:$AG,'New Dashboard'!$A$23,Visits!$E:$E,'User Engagement'!$A245)</f>
        <v>0</v>
      </c>
      <c r="K245">
        <f>COUNTIFS(Visits!$AG:$AG,'New Dashboard'!$A$24,Visits!$E:$E,'User Engagement'!$A245)</f>
        <v>0</v>
      </c>
      <c r="L245">
        <f>COUNTIFS(Visits!$AG:$AG,'New Dashboard'!$A$25,Visits!$E:$E,'User Engagement'!$A245)</f>
        <v>0</v>
      </c>
      <c r="M245">
        <f t="shared" si="24"/>
        <v>1</v>
      </c>
      <c r="N245">
        <f t="shared" si="25"/>
        <v>0</v>
      </c>
      <c r="O245">
        <f t="shared" si="25"/>
        <v>0</v>
      </c>
      <c r="P245">
        <f t="shared" si="21"/>
        <v>0</v>
      </c>
      <c r="Q245" s="4">
        <f>SUMIF(Visits!$E$2:$E$90,'User Engagement'!$A245,Visits!$T$2:$T$90)</f>
        <v>0</v>
      </c>
      <c r="R245" s="4">
        <f>SUMIFS(Visits!$T$2:$T$90,Visits!$E$2:$E$90,'User Engagement'!$A245,Visits!$AF$2:$AF$90,"&gt;3/28/24")</f>
        <v>0</v>
      </c>
      <c r="S245" s="13" t="e">
        <f t="shared" si="22"/>
        <v>#DIV/0!</v>
      </c>
      <c r="T245" s="13" t="str">
        <f t="shared" si="23"/>
        <v>n/a</v>
      </c>
    </row>
    <row r="246" spans="1:20" ht="15.95">
      <c r="A246">
        <f>Users!A243</f>
        <v>0</v>
      </c>
      <c r="B246" s="23"/>
      <c r="C246" s="23"/>
      <c r="D246" s="1" cm="1">
        <f t="array" ref="D246">MAX(_xlfn._xlws.FILTER(Visits!AF:AF,Visits!E:E='User Engagement'!A246))</f>
        <v>45434</v>
      </c>
      <c r="E246">
        <f>COUNTIF(Visits!$E$2:$E$993,'User Engagement'!$A246)</f>
        <v>0</v>
      </c>
      <c r="F246">
        <f>COUNTIFS(Visits!$E$2:$E$993,'User Engagement'!$A247,Visits!$AF$2:$AF$993,"&gt;"&amp;($B$1-7))</f>
        <v>0</v>
      </c>
      <c r="G246">
        <f>COUNTIFS(Visits!$E$2:$E$993,'User Engagement'!$A246,Visits!$AF$2:$AF$993,"&gt;"&amp;($B$1-30))</f>
        <v>0</v>
      </c>
      <c r="H246">
        <f>COUNTIFS(Visits!$E$2:$E$993,$A246,Visits!$AF$2:$AF$993,"&gt;"&amp;($B$1-60))-G246</f>
        <v>0</v>
      </c>
      <c r="I246">
        <f>COUNTIFS(Visits!$AG:$AG,'New Dashboard'!$A$22,Visits!$E:$E,'User Engagement'!$A246)</f>
        <v>0</v>
      </c>
      <c r="J246">
        <f>COUNTIFS(Visits!$AG:$AG,'New Dashboard'!$A$23,Visits!$E:$E,'User Engagement'!$A246)</f>
        <v>0</v>
      </c>
      <c r="K246">
        <f>COUNTIFS(Visits!$AG:$AG,'New Dashboard'!$A$24,Visits!$E:$E,'User Engagement'!$A246)</f>
        <v>0</v>
      </c>
      <c r="L246">
        <f>COUNTIFS(Visits!$AG:$AG,'New Dashboard'!$A$25,Visits!$E:$E,'User Engagement'!$A246)</f>
        <v>0</v>
      </c>
      <c r="M246">
        <f t="shared" si="24"/>
        <v>1</v>
      </c>
      <c r="N246">
        <f t="shared" si="25"/>
        <v>0</v>
      </c>
      <c r="O246">
        <f t="shared" si="25"/>
        <v>0</v>
      </c>
      <c r="P246">
        <f t="shared" si="21"/>
        <v>0</v>
      </c>
      <c r="Q246" s="4">
        <f>SUMIF(Visits!$E$2:$E$90,'User Engagement'!$A246,Visits!$T$2:$T$90)</f>
        <v>0</v>
      </c>
      <c r="R246" s="4">
        <f>SUMIFS(Visits!$T$2:$T$90,Visits!$E$2:$E$90,'User Engagement'!$A246,Visits!$AF$2:$AF$90,"&gt;3/28/24")</f>
        <v>0</v>
      </c>
      <c r="S246" s="13" t="e">
        <f t="shared" si="22"/>
        <v>#DIV/0!</v>
      </c>
      <c r="T246" s="13" t="str">
        <f t="shared" si="23"/>
        <v>n/a</v>
      </c>
    </row>
    <row r="247" spans="1:20" ht="15.95">
      <c r="A247">
        <f>Users!A244</f>
        <v>0</v>
      </c>
      <c r="B247" s="23"/>
      <c r="C247" s="23"/>
      <c r="D247" s="1" cm="1">
        <f t="array" ref="D247">MAX(_xlfn._xlws.FILTER(Visits!AF:AF,Visits!E:E='User Engagement'!A247))</f>
        <v>45434</v>
      </c>
      <c r="E247">
        <f>COUNTIF(Visits!$E$2:$E$993,'User Engagement'!$A247)</f>
        <v>0</v>
      </c>
      <c r="F247">
        <f>COUNTIFS(Visits!$E$2:$E$993,'User Engagement'!$A248,Visits!$AF$2:$AF$993,"&gt;"&amp;($B$1-7))</f>
        <v>0</v>
      </c>
      <c r="G247">
        <f>COUNTIFS(Visits!$E$2:$E$993,'User Engagement'!$A247,Visits!$AF$2:$AF$993,"&gt;"&amp;($B$1-30))</f>
        <v>0</v>
      </c>
      <c r="H247">
        <f>COUNTIFS(Visits!$E$2:$E$993,$A247,Visits!$AF$2:$AF$993,"&gt;"&amp;($B$1-60))-G247</f>
        <v>0</v>
      </c>
      <c r="I247">
        <f>COUNTIFS(Visits!$AG:$AG,'New Dashboard'!$A$22,Visits!$E:$E,'User Engagement'!$A247)</f>
        <v>0</v>
      </c>
      <c r="J247">
        <f>COUNTIFS(Visits!$AG:$AG,'New Dashboard'!$A$23,Visits!$E:$E,'User Engagement'!$A247)</f>
        <v>0</v>
      </c>
      <c r="K247">
        <f>COUNTIFS(Visits!$AG:$AG,'New Dashboard'!$A$24,Visits!$E:$E,'User Engagement'!$A247)</f>
        <v>0</v>
      </c>
      <c r="L247">
        <f>COUNTIFS(Visits!$AG:$AG,'New Dashboard'!$A$25,Visits!$E:$E,'User Engagement'!$A247)</f>
        <v>0</v>
      </c>
      <c r="M247">
        <f t="shared" si="24"/>
        <v>1</v>
      </c>
      <c r="N247">
        <f t="shared" si="25"/>
        <v>0</v>
      </c>
      <c r="O247">
        <f t="shared" si="25"/>
        <v>0</v>
      </c>
      <c r="P247">
        <f t="shared" si="21"/>
        <v>0</v>
      </c>
      <c r="Q247" s="4">
        <f>SUMIF(Visits!$E$2:$E$90,'User Engagement'!$A247,Visits!$T$2:$T$90)</f>
        <v>0</v>
      </c>
      <c r="R247" s="4">
        <f>SUMIFS(Visits!$T$2:$T$90,Visits!$E$2:$E$90,'User Engagement'!$A247,Visits!$AF$2:$AF$90,"&gt;3/28/24")</f>
        <v>0</v>
      </c>
      <c r="S247" s="13" t="e">
        <f t="shared" si="22"/>
        <v>#DIV/0!</v>
      </c>
      <c r="T247" s="13" t="str">
        <f t="shared" si="23"/>
        <v>n/a</v>
      </c>
    </row>
    <row r="248" spans="1:20" ht="15.95">
      <c r="A248">
        <f>Users!A245</f>
        <v>0</v>
      </c>
      <c r="B248" s="23"/>
      <c r="C248" s="23"/>
      <c r="D248" s="1" cm="1">
        <f t="array" ref="D248">MAX(_xlfn._xlws.FILTER(Visits!AF:AF,Visits!E:E='User Engagement'!A248))</f>
        <v>45434</v>
      </c>
      <c r="E248">
        <f>COUNTIF(Visits!$E$2:$E$993,'User Engagement'!$A248)</f>
        <v>0</v>
      </c>
      <c r="F248">
        <f>COUNTIFS(Visits!$E$2:$E$993,'User Engagement'!$A249,Visits!$AF$2:$AF$993,"&gt;"&amp;($B$1-7))</f>
        <v>0</v>
      </c>
      <c r="G248">
        <f>COUNTIFS(Visits!$E$2:$E$993,'User Engagement'!$A248,Visits!$AF$2:$AF$993,"&gt;"&amp;($B$1-30))</f>
        <v>0</v>
      </c>
      <c r="H248">
        <f>COUNTIFS(Visits!$E$2:$E$993,$A248,Visits!$AF$2:$AF$993,"&gt;"&amp;($B$1-60))-G248</f>
        <v>0</v>
      </c>
      <c r="I248">
        <f>COUNTIFS(Visits!$AG:$AG,'New Dashboard'!$A$22,Visits!$E:$E,'User Engagement'!$A248)</f>
        <v>0</v>
      </c>
      <c r="J248">
        <f>COUNTIFS(Visits!$AG:$AG,'New Dashboard'!$A$23,Visits!$E:$E,'User Engagement'!$A248)</f>
        <v>0</v>
      </c>
      <c r="K248">
        <f>COUNTIFS(Visits!$AG:$AG,'New Dashboard'!$A$24,Visits!$E:$E,'User Engagement'!$A248)</f>
        <v>0</v>
      </c>
      <c r="L248">
        <f>COUNTIFS(Visits!$AG:$AG,'New Dashboard'!$A$25,Visits!$E:$E,'User Engagement'!$A248)</f>
        <v>0</v>
      </c>
      <c r="M248">
        <f t="shared" si="24"/>
        <v>1</v>
      </c>
      <c r="N248">
        <f t="shared" si="25"/>
        <v>0</v>
      </c>
      <c r="O248">
        <f t="shared" si="25"/>
        <v>0</v>
      </c>
      <c r="P248">
        <f t="shared" si="21"/>
        <v>0</v>
      </c>
      <c r="Q248" s="4">
        <f>SUMIF(Visits!$E$2:$E$90,'User Engagement'!$A248,Visits!$T$2:$T$90)</f>
        <v>0</v>
      </c>
      <c r="R248" s="4">
        <f>SUMIFS(Visits!$T$2:$T$90,Visits!$E$2:$E$90,'User Engagement'!$A248,Visits!$AF$2:$AF$90,"&gt;3/28/24")</f>
        <v>0</v>
      </c>
      <c r="S248" s="13" t="e">
        <f t="shared" si="22"/>
        <v>#DIV/0!</v>
      </c>
      <c r="T248" s="13" t="str">
        <f t="shared" si="23"/>
        <v>n/a</v>
      </c>
    </row>
    <row r="249" spans="1:20" ht="15.95">
      <c r="A249">
        <f>Users!A246</f>
        <v>0</v>
      </c>
      <c r="B249" s="23"/>
      <c r="C249" s="23"/>
      <c r="D249" s="1" cm="1">
        <f t="array" ref="D249">MAX(_xlfn._xlws.FILTER(Visits!AF:AF,Visits!E:E='User Engagement'!A249))</f>
        <v>45434</v>
      </c>
      <c r="E249">
        <f>COUNTIF(Visits!$E$2:$E$993,'User Engagement'!$A249)</f>
        <v>0</v>
      </c>
      <c r="F249">
        <f>COUNTIFS(Visits!$E$2:$E$993,'User Engagement'!$A250,Visits!$AF$2:$AF$993,"&gt;"&amp;($B$1-7))</f>
        <v>0</v>
      </c>
      <c r="G249">
        <f>COUNTIFS(Visits!$E$2:$E$993,'User Engagement'!$A249,Visits!$AF$2:$AF$993,"&gt;"&amp;($B$1-30))</f>
        <v>0</v>
      </c>
      <c r="H249">
        <f>COUNTIFS(Visits!$E$2:$E$993,$A249,Visits!$AF$2:$AF$993,"&gt;"&amp;($B$1-60))-G249</f>
        <v>0</v>
      </c>
      <c r="I249">
        <f>COUNTIFS(Visits!$AG:$AG,'New Dashboard'!$A$22,Visits!$E:$E,'User Engagement'!$A249)</f>
        <v>0</v>
      </c>
      <c r="J249">
        <f>COUNTIFS(Visits!$AG:$AG,'New Dashboard'!$A$23,Visits!$E:$E,'User Engagement'!$A249)</f>
        <v>0</v>
      </c>
      <c r="K249">
        <f>COUNTIFS(Visits!$AG:$AG,'New Dashboard'!$A$24,Visits!$E:$E,'User Engagement'!$A249)</f>
        <v>0</v>
      </c>
      <c r="L249">
        <f>COUNTIFS(Visits!$AG:$AG,'New Dashboard'!$A$25,Visits!$E:$E,'User Engagement'!$A249)</f>
        <v>0</v>
      </c>
      <c r="M249">
        <f t="shared" si="24"/>
        <v>1</v>
      </c>
      <c r="N249">
        <f t="shared" si="25"/>
        <v>0</v>
      </c>
      <c r="O249">
        <f t="shared" si="25"/>
        <v>0</v>
      </c>
      <c r="P249">
        <f t="shared" si="21"/>
        <v>0</v>
      </c>
      <c r="Q249" s="4">
        <f>SUMIF(Visits!$E$2:$E$90,'User Engagement'!$A249,Visits!$T$2:$T$90)</f>
        <v>0</v>
      </c>
      <c r="R249" s="4">
        <f>SUMIFS(Visits!$T$2:$T$90,Visits!$E$2:$E$90,'User Engagement'!$A249,Visits!$AF$2:$AF$90,"&gt;3/28/24")</f>
        <v>0</v>
      </c>
      <c r="S249" s="13" t="e">
        <f t="shared" si="22"/>
        <v>#DIV/0!</v>
      </c>
      <c r="T249" s="13" t="str">
        <f t="shared" si="23"/>
        <v>n/a</v>
      </c>
    </row>
    <row r="250" spans="1:20" ht="15.95">
      <c r="A250">
        <f>Users!A247</f>
        <v>0</v>
      </c>
      <c r="B250" s="23"/>
      <c r="C250" s="23"/>
      <c r="D250" s="1" cm="1">
        <f t="array" ref="D250">MAX(_xlfn._xlws.FILTER(Visits!AF:AF,Visits!E:E='User Engagement'!A250))</f>
        <v>45434</v>
      </c>
      <c r="E250">
        <f>COUNTIF(Visits!$E$2:$E$993,'User Engagement'!$A250)</f>
        <v>0</v>
      </c>
      <c r="F250">
        <f>COUNTIFS(Visits!$E$2:$E$993,'User Engagement'!$A251,Visits!$AF$2:$AF$993,"&gt;"&amp;($B$1-7))</f>
        <v>0</v>
      </c>
      <c r="G250">
        <f>COUNTIFS(Visits!$E$2:$E$993,'User Engagement'!$A250,Visits!$AF$2:$AF$993,"&gt;"&amp;($B$1-30))</f>
        <v>0</v>
      </c>
      <c r="H250">
        <f>COUNTIFS(Visits!$E$2:$E$993,$A250,Visits!$AF$2:$AF$993,"&gt;"&amp;($B$1-60))-G250</f>
        <v>0</v>
      </c>
      <c r="I250">
        <f>COUNTIFS(Visits!$AG:$AG,'New Dashboard'!$A$22,Visits!$E:$E,'User Engagement'!$A250)</f>
        <v>0</v>
      </c>
      <c r="J250">
        <f>COUNTIFS(Visits!$AG:$AG,'New Dashboard'!$A$23,Visits!$E:$E,'User Engagement'!$A250)</f>
        <v>0</v>
      </c>
      <c r="K250">
        <f>COUNTIFS(Visits!$AG:$AG,'New Dashboard'!$A$24,Visits!$E:$E,'User Engagement'!$A250)</f>
        <v>0</v>
      </c>
      <c r="L250">
        <f>COUNTIFS(Visits!$AG:$AG,'New Dashboard'!$A$25,Visits!$E:$E,'User Engagement'!$A250)</f>
        <v>0</v>
      </c>
      <c r="M250">
        <f t="shared" si="24"/>
        <v>1</v>
      </c>
      <c r="N250">
        <f t="shared" si="25"/>
        <v>0</v>
      </c>
      <c r="O250">
        <f t="shared" si="25"/>
        <v>0</v>
      </c>
      <c r="P250">
        <f t="shared" si="21"/>
        <v>0</v>
      </c>
      <c r="Q250" s="4">
        <f>SUMIF(Visits!$E$2:$E$90,'User Engagement'!$A250,Visits!$T$2:$T$90)</f>
        <v>0</v>
      </c>
      <c r="R250" s="4">
        <f>SUMIFS(Visits!$T$2:$T$90,Visits!$E$2:$E$90,'User Engagement'!$A250,Visits!$AF$2:$AF$90,"&gt;3/28/24")</f>
        <v>0</v>
      </c>
      <c r="S250" s="13" t="e">
        <f t="shared" si="22"/>
        <v>#DIV/0!</v>
      </c>
      <c r="T250" s="13" t="str">
        <f t="shared" si="23"/>
        <v>n/a</v>
      </c>
    </row>
    <row r="251" spans="1:20" ht="15.95">
      <c r="A251">
        <f>Users!A248</f>
        <v>0</v>
      </c>
      <c r="B251" s="23"/>
      <c r="C251" s="23"/>
      <c r="D251" s="1" cm="1">
        <f t="array" ref="D251">MAX(_xlfn._xlws.FILTER(Visits!AF:AF,Visits!E:E='User Engagement'!A251))</f>
        <v>45434</v>
      </c>
      <c r="E251">
        <f>COUNTIF(Visits!$E$2:$E$993,'User Engagement'!$A251)</f>
        <v>0</v>
      </c>
      <c r="F251">
        <f>COUNTIFS(Visits!$E$2:$E$993,'User Engagement'!$A252,Visits!$AF$2:$AF$993,"&gt;"&amp;($B$1-7))</f>
        <v>0</v>
      </c>
      <c r="G251">
        <f>COUNTIFS(Visits!$E$2:$E$993,'User Engagement'!$A251,Visits!$AF$2:$AF$993,"&gt;"&amp;($B$1-30))</f>
        <v>0</v>
      </c>
      <c r="H251">
        <f>COUNTIFS(Visits!$E$2:$E$993,$A251,Visits!$AF$2:$AF$993,"&gt;"&amp;($B$1-60))-G251</f>
        <v>0</v>
      </c>
      <c r="I251">
        <f>COUNTIFS(Visits!$AG:$AG,'New Dashboard'!$A$22,Visits!$E:$E,'User Engagement'!$A251)</f>
        <v>0</v>
      </c>
      <c r="J251">
        <f>COUNTIFS(Visits!$AG:$AG,'New Dashboard'!$A$23,Visits!$E:$E,'User Engagement'!$A251)</f>
        <v>0</v>
      </c>
      <c r="K251">
        <f>COUNTIFS(Visits!$AG:$AG,'New Dashboard'!$A$24,Visits!$E:$E,'User Engagement'!$A251)</f>
        <v>0</v>
      </c>
      <c r="L251">
        <f>COUNTIFS(Visits!$AG:$AG,'New Dashboard'!$A$25,Visits!$E:$E,'User Engagement'!$A251)</f>
        <v>0</v>
      </c>
      <c r="M251">
        <f t="shared" si="24"/>
        <v>1</v>
      </c>
      <c r="N251">
        <f t="shared" si="25"/>
        <v>0</v>
      </c>
      <c r="O251">
        <f t="shared" si="25"/>
        <v>0</v>
      </c>
      <c r="P251">
        <f t="shared" si="21"/>
        <v>0</v>
      </c>
      <c r="Q251" s="4">
        <f>SUMIF(Visits!$E$2:$E$90,'User Engagement'!$A251,Visits!$T$2:$T$90)</f>
        <v>0</v>
      </c>
      <c r="R251" s="4">
        <f>SUMIFS(Visits!$T$2:$T$90,Visits!$E$2:$E$90,'User Engagement'!$A251,Visits!$AF$2:$AF$90,"&gt;3/28/24")</f>
        <v>0</v>
      </c>
      <c r="S251" s="13" t="e">
        <f t="shared" si="22"/>
        <v>#DIV/0!</v>
      </c>
      <c r="T251" s="13" t="str">
        <f t="shared" si="23"/>
        <v>n/a</v>
      </c>
    </row>
    <row r="252" spans="1:20" ht="15.95">
      <c r="A252">
        <f>Users!A249</f>
        <v>0</v>
      </c>
      <c r="B252" s="23"/>
      <c r="C252" s="23"/>
      <c r="D252" s="1" cm="1">
        <f t="array" ref="D252">MAX(_xlfn._xlws.FILTER(Visits!AF:AF,Visits!E:E='User Engagement'!A252))</f>
        <v>45434</v>
      </c>
      <c r="E252">
        <f>COUNTIF(Visits!$E$2:$E$993,'User Engagement'!$A252)</f>
        <v>0</v>
      </c>
      <c r="F252">
        <f>COUNTIFS(Visits!$E$2:$E$993,'User Engagement'!$A253,Visits!$AF$2:$AF$993,"&gt;"&amp;($B$1-7))</f>
        <v>0</v>
      </c>
      <c r="G252">
        <f>COUNTIFS(Visits!$E$2:$E$993,'User Engagement'!$A252,Visits!$AF$2:$AF$993,"&gt;"&amp;($B$1-30))</f>
        <v>0</v>
      </c>
      <c r="H252">
        <f>COUNTIFS(Visits!$E$2:$E$993,$A252,Visits!$AF$2:$AF$993,"&gt;"&amp;($B$1-60))-G252</f>
        <v>0</v>
      </c>
      <c r="I252">
        <f>COUNTIFS(Visits!$AG:$AG,'New Dashboard'!$A$22,Visits!$E:$E,'User Engagement'!$A252)</f>
        <v>0</v>
      </c>
      <c r="J252">
        <f>COUNTIFS(Visits!$AG:$AG,'New Dashboard'!$A$23,Visits!$E:$E,'User Engagement'!$A252)</f>
        <v>0</v>
      </c>
      <c r="K252">
        <f>COUNTIFS(Visits!$AG:$AG,'New Dashboard'!$A$24,Visits!$E:$E,'User Engagement'!$A252)</f>
        <v>0</v>
      </c>
      <c r="L252">
        <f>COUNTIFS(Visits!$AG:$AG,'New Dashboard'!$A$25,Visits!$E:$E,'User Engagement'!$A252)</f>
        <v>0</v>
      </c>
      <c r="M252">
        <f t="shared" si="24"/>
        <v>1</v>
      </c>
      <c r="N252">
        <f t="shared" si="25"/>
        <v>0</v>
      </c>
      <c r="O252">
        <f t="shared" si="25"/>
        <v>0</v>
      </c>
      <c r="P252">
        <f t="shared" si="21"/>
        <v>0</v>
      </c>
      <c r="Q252" s="4">
        <f>SUMIF(Visits!$E$2:$E$90,'User Engagement'!$A252,Visits!$T$2:$T$90)</f>
        <v>0</v>
      </c>
      <c r="R252" s="4">
        <f>SUMIFS(Visits!$T$2:$T$90,Visits!$E$2:$E$90,'User Engagement'!$A252,Visits!$AF$2:$AF$90,"&gt;3/28/24")</f>
        <v>0</v>
      </c>
      <c r="S252" s="13" t="e">
        <f t="shared" si="22"/>
        <v>#DIV/0!</v>
      </c>
      <c r="T252" s="13" t="str">
        <f t="shared" si="23"/>
        <v>n/a</v>
      </c>
    </row>
    <row r="253" spans="1:20" ht="15.95">
      <c r="A253">
        <f>Users!A250</f>
        <v>0</v>
      </c>
      <c r="B253" s="23"/>
      <c r="C253" s="23"/>
      <c r="D253" s="1" cm="1">
        <f t="array" ref="D253">MAX(_xlfn._xlws.FILTER(Visits!AF:AF,Visits!E:E='User Engagement'!A253))</f>
        <v>45434</v>
      </c>
      <c r="E253">
        <f>COUNTIF(Visits!$E$2:$E$993,'User Engagement'!$A253)</f>
        <v>0</v>
      </c>
      <c r="F253">
        <f>COUNTIFS(Visits!$E$2:$E$993,'User Engagement'!$A254,Visits!$AF$2:$AF$993,"&gt;"&amp;($B$1-7))</f>
        <v>0</v>
      </c>
      <c r="G253">
        <f>COUNTIFS(Visits!$E$2:$E$993,'User Engagement'!$A253,Visits!$AF$2:$AF$993,"&gt;"&amp;($B$1-30))</f>
        <v>0</v>
      </c>
      <c r="H253">
        <f>COUNTIFS(Visits!$E$2:$E$993,$A253,Visits!$AF$2:$AF$993,"&gt;"&amp;($B$1-60))-G253</f>
        <v>0</v>
      </c>
      <c r="I253">
        <f>COUNTIFS(Visits!$AG:$AG,'New Dashboard'!$A$22,Visits!$E:$E,'User Engagement'!$A253)</f>
        <v>0</v>
      </c>
      <c r="J253">
        <f>COUNTIFS(Visits!$AG:$AG,'New Dashboard'!$A$23,Visits!$E:$E,'User Engagement'!$A253)</f>
        <v>0</v>
      </c>
      <c r="K253">
        <f>COUNTIFS(Visits!$AG:$AG,'New Dashboard'!$A$24,Visits!$E:$E,'User Engagement'!$A253)</f>
        <v>0</v>
      </c>
      <c r="L253">
        <f>COUNTIFS(Visits!$AG:$AG,'New Dashboard'!$A$25,Visits!$E:$E,'User Engagement'!$A253)</f>
        <v>0</v>
      </c>
      <c r="M253">
        <f t="shared" si="24"/>
        <v>1</v>
      </c>
      <c r="N253">
        <f t="shared" si="25"/>
        <v>0</v>
      </c>
      <c r="O253">
        <f t="shared" si="25"/>
        <v>0</v>
      </c>
      <c r="P253">
        <f t="shared" si="21"/>
        <v>0</v>
      </c>
      <c r="Q253" s="4">
        <f>SUMIF(Visits!$E$2:$E$90,'User Engagement'!$A253,Visits!$T$2:$T$90)</f>
        <v>0</v>
      </c>
      <c r="R253" s="4">
        <f>SUMIFS(Visits!$T$2:$T$90,Visits!$E$2:$E$90,'User Engagement'!$A253,Visits!$AF$2:$AF$90,"&gt;3/28/24")</f>
        <v>0</v>
      </c>
      <c r="S253" s="13" t="e">
        <f t="shared" si="22"/>
        <v>#DIV/0!</v>
      </c>
      <c r="T253" s="13" t="str">
        <f t="shared" si="23"/>
        <v>n/a</v>
      </c>
    </row>
    <row r="254" spans="1:20" ht="15.95">
      <c r="A254">
        <f>Users!A251</f>
        <v>0</v>
      </c>
      <c r="B254" s="23"/>
      <c r="C254" s="23"/>
      <c r="D254" s="1" cm="1">
        <f t="array" ref="D254">MAX(_xlfn._xlws.FILTER(Visits!AF:AF,Visits!E:E='User Engagement'!A254))</f>
        <v>45434</v>
      </c>
      <c r="E254">
        <f>COUNTIF(Visits!$E$2:$E$993,'User Engagement'!$A254)</f>
        <v>0</v>
      </c>
      <c r="F254">
        <f>COUNTIFS(Visits!$E$2:$E$993,'User Engagement'!$A255,Visits!$AF$2:$AF$993,"&gt;"&amp;($B$1-7))</f>
        <v>0</v>
      </c>
      <c r="G254">
        <f>COUNTIFS(Visits!$E$2:$E$993,'User Engagement'!$A254,Visits!$AF$2:$AF$993,"&gt;"&amp;($B$1-30))</f>
        <v>0</v>
      </c>
      <c r="H254">
        <f>COUNTIFS(Visits!$E$2:$E$993,$A254,Visits!$AF$2:$AF$993,"&gt;"&amp;($B$1-60))-G254</f>
        <v>0</v>
      </c>
      <c r="I254">
        <f>COUNTIFS(Visits!$AG:$AG,'New Dashboard'!$A$22,Visits!$E:$E,'User Engagement'!$A254)</f>
        <v>0</v>
      </c>
      <c r="J254">
        <f>COUNTIFS(Visits!$AG:$AG,'New Dashboard'!$A$23,Visits!$E:$E,'User Engagement'!$A254)</f>
        <v>0</v>
      </c>
      <c r="K254">
        <f>COUNTIFS(Visits!$AG:$AG,'New Dashboard'!$A$24,Visits!$E:$E,'User Engagement'!$A254)</f>
        <v>0</v>
      </c>
      <c r="L254">
        <f>COUNTIFS(Visits!$AG:$AG,'New Dashboard'!$A$25,Visits!$E:$E,'User Engagement'!$A254)</f>
        <v>0</v>
      </c>
      <c r="M254">
        <f t="shared" si="24"/>
        <v>1</v>
      </c>
      <c r="N254">
        <f t="shared" si="25"/>
        <v>0</v>
      </c>
      <c r="O254">
        <f t="shared" si="25"/>
        <v>0</v>
      </c>
      <c r="P254">
        <f t="shared" si="21"/>
        <v>0</v>
      </c>
      <c r="Q254" s="4">
        <f>SUMIF(Visits!$E$2:$E$90,'User Engagement'!$A254,Visits!$T$2:$T$90)</f>
        <v>0</v>
      </c>
      <c r="R254" s="4">
        <f>SUMIFS(Visits!$T$2:$T$90,Visits!$E$2:$E$90,'User Engagement'!$A254,Visits!$AF$2:$AF$90,"&gt;3/28/24")</f>
        <v>0</v>
      </c>
      <c r="S254" s="13" t="e">
        <f t="shared" si="22"/>
        <v>#DIV/0!</v>
      </c>
      <c r="T254" s="13" t="str">
        <f t="shared" si="23"/>
        <v>n/a</v>
      </c>
    </row>
    <row r="255" spans="1:20" ht="15.95">
      <c r="A255">
        <f>Users!A252</f>
        <v>0</v>
      </c>
      <c r="B255" s="23"/>
      <c r="C255" s="23"/>
      <c r="D255" s="1" cm="1">
        <f t="array" ref="D255">MAX(_xlfn._xlws.FILTER(Visits!AF:AF,Visits!E:E='User Engagement'!A255))</f>
        <v>45434</v>
      </c>
      <c r="E255">
        <f>COUNTIF(Visits!$E$2:$E$993,'User Engagement'!$A255)</f>
        <v>0</v>
      </c>
      <c r="F255">
        <f>COUNTIFS(Visits!$E$2:$E$993,'User Engagement'!$A256,Visits!$AF$2:$AF$993,"&gt;"&amp;($B$1-7))</f>
        <v>0</v>
      </c>
      <c r="G255">
        <f>COUNTIFS(Visits!$E$2:$E$993,'User Engagement'!$A255,Visits!$AF$2:$AF$993,"&gt;"&amp;($B$1-30))</f>
        <v>0</v>
      </c>
      <c r="H255">
        <f>COUNTIFS(Visits!$E$2:$E$993,$A255,Visits!$AF$2:$AF$993,"&gt;"&amp;($B$1-60))-G255</f>
        <v>0</v>
      </c>
      <c r="I255">
        <f>COUNTIFS(Visits!$AG:$AG,'New Dashboard'!$A$22,Visits!$E:$E,'User Engagement'!$A255)</f>
        <v>0</v>
      </c>
      <c r="J255">
        <f>COUNTIFS(Visits!$AG:$AG,'New Dashboard'!$A$23,Visits!$E:$E,'User Engagement'!$A255)</f>
        <v>0</v>
      </c>
      <c r="K255">
        <f>COUNTIFS(Visits!$AG:$AG,'New Dashboard'!$A$24,Visits!$E:$E,'User Engagement'!$A255)</f>
        <v>0</v>
      </c>
      <c r="L255">
        <f>COUNTIFS(Visits!$AG:$AG,'New Dashboard'!$A$25,Visits!$E:$E,'User Engagement'!$A255)</f>
        <v>0</v>
      </c>
      <c r="M255">
        <f t="shared" si="24"/>
        <v>1</v>
      </c>
      <c r="N255">
        <f t="shared" si="25"/>
        <v>0</v>
      </c>
      <c r="O255">
        <f t="shared" si="25"/>
        <v>0</v>
      </c>
      <c r="P255">
        <f t="shared" si="21"/>
        <v>0</v>
      </c>
      <c r="Q255" s="4">
        <f>SUMIF(Visits!$E$2:$E$90,'User Engagement'!$A255,Visits!$T$2:$T$90)</f>
        <v>0</v>
      </c>
      <c r="R255" s="4">
        <f>SUMIFS(Visits!$T$2:$T$90,Visits!$E$2:$E$90,'User Engagement'!$A255,Visits!$AF$2:$AF$90,"&gt;3/28/24")</f>
        <v>0</v>
      </c>
      <c r="S255" s="13" t="e">
        <f t="shared" si="22"/>
        <v>#DIV/0!</v>
      </c>
      <c r="T255" s="13" t="str">
        <f t="shared" si="23"/>
        <v>n/a</v>
      </c>
    </row>
    <row r="256" spans="1:20" ht="15.95">
      <c r="A256">
        <f>Users!A253</f>
        <v>0</v>
      </c>
      <c r="B256" s="23"/>
      <c r="C256" s="23"/>
      <c r="D256" s="1" cm="1">
        <f t="array" ref="D256">MAX(_xlfn._xlws.FILTER(Visits!AF:AF,Visits!E:E='User Engagement'!A256))</f>
        <v>45434</v>
      </c>
      <c r="E256">
        <f>COUNTIF(Visits!$E$2:$E$993,'User Engagement'!$A256)</f>
        <v>0</v>
      </c>
      <c r="F256">
        <f>COUNTIFS(Visits!$E$2:$E$993,'User Engagement'!$A257,Visits!$AF$2:$AF$993,"&gt;"&amp;($B$1-7))</f>
        <v>0</v>
      </c>
      <c r="G256">
        <f>COUNTIFS(Visits!$E$2:$E$993,'User Engagement'!$A256,Visits!$AF$2:$AF$993,"&gt;"&amp;($B$1-30))</f>
        <v>0</v>
      </c>
      <c r="H256">
        <f>COUNTIFS(Visits!$E$2:$E$993,$A256,Visits!$AF$2:$AF$993,"&gt;"&amp;($B$1-60))-G256</f>
        <v>0</v>
      </c>
      <c r="I256">
        <f>COUNTIFS(Visits!$AG:$AG,'New Dashboard'!$A$22,Visits!$E:$E,'User Engagement'!$A256)</f>
        <v>0</v>
      </c>
      <c r="J256">
        <f>COUNTIFS(Visits!$AG:$AG,'New Dashboard'!$A$23,Visits!$E:$E,'User Engagement'!$A256)</f>
        <v>0</v>
      </c>
      <c r="K256">
        <f>COUNTIFS(Visits!$AG:$AG,'New Dashboard'!$A$24,Visits!$E:$E,'User Engagement'!$A256)</f>
        <v>0</v>
      </c>
      <c r="L256">
        <f>COUNTIFS(Visits!$AG:$AG,'New Dashboard'!$A$25,Visits!$E:$E,'User Engagement'!$A256)</f>
        <v>0</v>
      </c>
      <c r="M256">
        <f t="shared" si="24"/>
        <v>1</v>
      </c>
      <c r="N256">
        <f t="shared" si="25"/>
        <v>0</v>
      </c>
      <c r="O256">
        <f t="shared" si="25"/>
        <v>0</v>
      </c>
      <c r="P256">
        <f t="shared" si="21"/>
        <v>0</v>
      </c>
      <c r="Q256" s="4">
        <f>SUMIF(Visits!$E$2:$E$90,'User Engagement'!$A256,Visits!$T$2:$T$90)</f>
        <v>0</v>
      </c>
      <c r="R256" s="4">
        <f>SUMIFS(Visits!$T$2:$T$90,Visits!$E$2:$E$90,'User Engagement'!$A256,Visits!$AF$2:$AF$90,"&gt;3/28/24")</f>
        <v>0</v>
      </c>
      <c r="S256" s="13" t="e">
        <f t="shared" si="22"/>
        <v>#DIV/0!</v>
      </c>
      <c r="T256" s="13" t="str">
        <f t="shared" si="23"/>
        <v>n/a</v>
      </c>
    </row>
    <row r="257" spans="1:20" ht="15.95">
      <c r="A257">
        <f>Users!A254</f>
        <v>0</v>
      </c>
      <c r="B257" s="23"/>
      <c r="C257" s="23"/>
      <c r="D257" s="1" cm="1">
        <f t="array" ref="D257">MAX(_xlfn._xlws.FILTER(Visits!AF:AF,Visits!E:E='User Engagement'!A257))</f>
        <v>45434</v>
      </c>
      <c r="E257">
        <f>COUNTIF(Visits!$E$2:$E$993,'User Engagement'!$A257)</f>
        <v>0</v>
      </c>
      <c r="F257">
        <f>COUNTIFS(Visits!$E$2:$E$993,'User Engagement'!$A258,Visits!$AF$2:$AF$993,"&gt;"&amp;($B$1-7))</f>
        <v>0</v>
      </c>
      <c r="G257">
        <f>COUNTIFS(Visits!$E$2:$E$993,'User Engagement'!$A257,Visits!$AF$2:$AF$993,"&gt;"&amp;($B$1-30))</f>
        <v>0</v>
      </c>
      <c r="H257">
        <f>COUNTIFS(Visits!$E$2:$E$993,$A257,Visits!$AF$2:$AF$993,"&gt;"&amp;($B$1-60))-G257</f>
        <v>0</v>
      </c>
      <c r="I257">
        <f>COUNTIFS(Visits!$AG:$AG,'New Dashboard'!$A$22,Visits!$E:$E,'User Engagement'!$A257)</f>
        <v>0</v>
      </c>
      <c r="J257">
        <f>COUNTIFS(Visits!$AG:$AG,'New Dashboard'!$A$23,Visits!$E:$E,'User Engagement'!$A257)</f>
        <v>0</v>
      </c>
      <c r="K257">
        <f>COUNTIFS(Visits!$AG:$AG,'New Dashboard'!$A$24,Visits!$E:$E,'User Engagement'!$A257)</f>
        <v>0</v>
      </c>
      <c r="L257">
        <f>COUNTIFS(Visits!$AG:$AG,'New Dashboard'!$A$25,Visits!$E:$E,'User Engagement'!$A257)</f>
        <v>0</v>
      </c>
      <c r="M257">
        <f t="shared" si="24"/>
        <v>1</v>
      </c>
      <c r="N257">
        <f t="shared" si="25"/>
        <v>0</v>
      </c>
      <c r="O257">
        <f t="shared" si="25"/>
        <v>0</v>
      </c>
      <c r="P257">
        <f t="shared" si="21"/>
        <v>0</v>
      </c>
      <c r="Q257" s="4">
        <f>SUMIF(Visits!$E$2:$E$90,'User Engagement'!$A257,Visits!$T$2:$T$90)</f>
        <v>0</v>
      </c>
      <c r="R257" s="4">
        <f>SUMIFS(Visits!$T$2:$T$90,Visits!$E$2:$E$90,'User Engagement'!$A257,Visits!$AF$2:$AF$90,"&gt;3/28/24")</f>
        <v>0</v>
      </c>
      <c r="S257" s="13" t="e">
        <f t="shared" si="22"/>
        <v>#DIV/0!</v>
      </c>
      <c r="T257" s="13" t="str">
        <f t="shared" si="23"/>
        <v>n/a</v>
      </c>
    </row>
    <row r="258" spans="1:20" ht="15.95">
      <c r="A258">
        <f>Users!A255</f>
        <v>0</v>
      </c>
      <c r="B258" s="23"/>
      <c r="C258" s="23"/>
      <c r="D258" s="1" cm="1">
        <f t="array" ref="D258">MAX(_xlfn._xlws.FILTER(Visits!AF:AF,Visits!E:E='User Engagement'!A258))</f>
        <v>45434</v>
      </c>
      <c r="E258">
        <f>COUNTIF(Visits!$E$2:$E$993,'User Engagement'!$A258)</f>
        <v>0</v>
      </c>
      <c r="F258">
        <f>COUNTIFS(Visits!$E$2:$E$993,'User Engagement'!$A259,Visits!$AF$2:$AF$993,"&gt;"&amp;($B$1-7))</f>
        <v>0</v>
      </c>
      <c r="G258">
        <f>COUNTIFS(Visits!$E$2:$E$993,'User Engagement'!$A258,Visits!$AF$2:$AF$993,"&gt;"&amp;($B$1-30))</f>
        <v>0</v>
      </c>
      <c r="H258">
        <f>COUNTIFS(Visits!$E$2:$E$993,$A258,Visits!$AF$2:$AF$993,"&gt;"&amp;($B$1-60))-G258</f>
        <v>0</v>
      </c>
      <c r="I258">
        <f>COUNTIFS(Visits!$AG:$AG,'New Dashboard'!$A$22,Visits!$E:$E,'User Engagement'!$A258)</f>
        <v>0</v>
      </c>
      <c r="J258">
        <f>COUNTIFS(Visits!$AG:$AG,'New Dashboard'!$A$23,Visits!$E:$E,'User Engagement'!$A258)</f>
        <v>0</v>
      </c>
      <c r="K258">
        <f>COUNTIFS(Visits!$AG:$AG,'New Dashboard'!$A$24,Visits!$E:$E,'User Engagement'!$A258)</f>
        <v>0</v>
      </c>
      <c r="L258">
        <f>COUNTIFS(Visits!$AG:$AG,'New Dashboard'!$A$25,Visits!$E:$E,'User Engagement'!$A258)</f>
        <v>0</v>
      </c>
      <c r="M258">
        <f t="shared" si="24"/>
        <v>1</v>
      </c>
      <c r="N258">
        <f t="shared" si="25"/>
        <v>0</v>
      </c>
      <c r="O258">
        <f t="shared" si="25"/>
        <v>0</v>
      </c>
      <c r="P258">
        <f t="shared" si="21"/>
        <v>0</v>
      </c>
      <c r="Q258" s="4">
        <f>SUMIF(Visits!$E$2:$E$90,'User Engagement'!$A258,Visits!$T$2:$T$90)</f>
        <v>0</v>
      </c>
      <c r="R258" s="4">
        <f>SUMIFS(Visits!$T$2:$T$90,Visits!$E$2:$E$90,'User Engagement'!$A258,Visits!$AF$2:$AF$90,"&gt;3/28/24")</f>
        <v>0</v>
      </c>
      <c r="S258" s="13" t="e">
        <f t="shared" si="22"/>
        <v>#DIV/0!</v>
      </c>
      <c r="T258" s="13" t="str">
        <f t="shared" si="23"/>
        <v>n/a</v>
      </c>
    </row>
    <row r="259" spans="1:20" ht="15.95">
      <c r="A259">
        <f>Users!A256</f>
        <v>0</v>
      </c>
      <c r="B259" s="23"/>
      <c r="C259" s="23"/>
      <c r="D259" s="1" cm="1">
        <f t="array" ref="D259">MAX(_xlfn._xlws.FILTER(Visits!AF:AF,Visits!E:E='User Engagement'!A259))</f>
        <v>45434</v>
      </c>
      <c r="E259">
        <f>COUNTIF(Visits!$E$2:$E$993,'User Engagement'!$A259)</f>
        <v>0</v>
      </c>
      <c r="F259">
        <f>COUNTIFS(Visits!$E$2:$E$993,'User Engagement'!$A260,Visits!$AF$2:$AF$993,"&gt;"&amp;($B$1-7))</f>
        <v>0</v>
      </c>
      <c r="G259">
        <f>COUNTIFS(Visits!$E$2:$E$993,'User Engagement'!$A259,Visits!$AF$2:$AF$993,"&gt;"&amp;($B$1-30))</f>
        <v>0</v>
      </c>
      <c r="H259">
        <f>COUNTIFS(Visits!$E$2:$E$993,$A259,Visits!$AF$2:$AF$993,"&gt;"&amp;($B$1-60))-G259</f>
        <v>0</v>
      </c>
      <c r="I259">
        <f>COUNTIFS(Visits!$AG:$AG,'New Dashboard'!$A$22,Visits!$E:$E,'User Engagement'!$A259)</f>
        <v>0</v>
      </c>
      <c r="J259">
        <f>COUNTIFS(Visits!$AG:$AG,'New Dashboard'!$A$23,Visits!$E:$E,'User Engagement'!$A259)</f>
        <v>0</v>
      </c>
      <c r="K259">
        <f>COUNTIFS(Visits!$AG:$AG,'New Dashboard'!$A$24,Visits!$E:$E,'User Engagement'!$A259)</f>
        <v>0</v>
      </c>
      <c r="L259">
        <f>COUNTIFS(Visits!$AG:$AG,'New Dashboard'!$A$25,Visits!$E:$E,'User Engagement'!$A259)</f>
        <v>0</v>
      </c>
      <c r="M259">
        <f t="shared" si="24"/>
        <v>1</v>
      </c>
      <c r="N259">
        <f t="shared" si="25"/>
        <v>0</v>
      </c>
      <c r="O259">
        <f t="shared" si="25"/>
        <v>0</v>
      </c>
      <c r="P259">
        <f t="shared" si="21"/>
        <v>0</v>
      </c>
      <c r="Q259" s="4">
        <f>SUMIF(Visits!$E$2:$E$90,'User Engagement'!$A259,Visits!$T$2:$T$90)</f>
        <v>0</v>
      </c>
      <c r="R259" s="4">
        <f>SUMIFS(Visits!$T$2:$T$90,Visits!$E$2:$E$90,'User Engagement'!$A259,Visits!$AF$2:$AF$90,"&gt;3/28/24")</f>
        <v>0</v>
      </c>
      <c r="S259" s="13" t="e">
        <f t="shared" si="22"/>
        <v>#DIV/0!</v>
      </c>
      <c r="T259" s="13" t="str">
        <f t="shared" si="23"/>
        <v>n/a</v>
      </c>
    </row>
    <row r="260" spans="1:20" ht="15.95">
      <c r="A260">
        <f>Users!A257</f>
        <v>0</v>
      </c>
      <c r="B260" s="23"/>
      <c r="C260" s="23"/>
      <c r="D260" s="1" cm="1">
        <f t="array" ref="D260">MAX(_xlfn._xlws.FILTER(Visits!AF:AF,Visits!E:E='User Engagement'!A260))</f>
        <v>45434</v>
      </c>
      <c r="E260">
        <f>COUNTIF(Visits!$E$2:$E$993,'User Engagement'!$A260)</f>
        <v>0</v>
      </c>
      <c r="F260">
        <f>COUNTIFS(Visits!$E$2:$E$993,'User Engagement'!$A261,Visits!$AF$2:$AF$993,"&gt;"&amp;($B$1-7))</f>
        <v>0</v>
      </c>
      <c r="G260">
        <f>COUNTIFS(Visits!$E$2:$E$993,'User Engagement'!$A260,Visits!$AF$2:$AF$993,"&gt;"&amp;($B$1-30))</f>
        <v>0</v>
      </c>
      <c r="H260">
        <f>COUNTIFS(Visits!$E$2:$E$993,$A260,Visits!$AF$2:$AF$993,"&gt;"&amp;($B$1-60))-G260</f>
        <v>0</v>
      </c>
      <c r="I260">
        <f>COUNTIFS(Visits!$AG:$AG,'New Dashboard'!$A$22,Visits!$E:$E,'User Engagement'!$A260)</f>
        <v>0</v>
      </c>
      <c r="J260">
        <f>COUNTIFS(Visits!$AG:$AG,'New Dashboard'!$A$23,Visits!$E:$E,'User Engagement'!$A260)</f>
        <v>0</v>
      </c>
      <c r="K260">
        <f>COUNTIFS(Visits!$AG:$AG,'New Dashboard'!$A$24,Visits!$E:$E,'User Engagement'!$A260)</f>
        <v>0</v>
      </c>
      <c r="L260">
        <f>COUNTIFS(Visits!$AG:$AG,'New Dashboard'!$A$25,Visits!$E:$E,'User Engagement'!$A260)</f>
        <v>0</v>
      </c>
      <c r="M260">
        <f t="shared" si="24"/>
        <v>1</v>
      </c>
      <c r="N260">
        <f t="shared" si="25"/>
        <v>0</v>
      </c>
      <c r="O260">
        <f t="shared" si="25"/>
        <v>0</v>
      </c>
      <c r="P260">
        <f t="shared" ref="P260:P316" si="26">IF(G260&gt;2,N260,0)</f>
        <v>0</v>
      </c>
      <c r="Q260" s="4">
        <f>SUMIF(Visits!$E$2:$E$90,'User Engagement'!$A260,Visits!$T$2:$T$90)</f>
        <v>0</v>
      </c>
      <c r="R260" s="4">
        <f>SUMIFS(Visits!$T$2:$T$90,Visits!$E$2:$E$90,'User Engagement'!$A260,Visits!$AF$2:$AF$90,"&gt;3/28/24")</f>
        <v>0</v>
      </c>
      <c r="S260" s="13" t="e">
        <f t="shared" ref="S260:S316" si="27">Q260/E260</f>
        <v>#DIV/0!</v>
      </c>
      <c r="T260" s="13" t="str">
        <f t="shared" ref="T260:T316" si="28">IFERROR(R260/G260,"n/a")</f>
        <v>n/a</v>
      </c>
    </row>
    <row r="261" spans="1:20" ht="15.95">
      <c r="A261">
        <f>Users!A258</f>
        <v>0</v>
      </c>
      <c r="B261" s="23"/>
      <c r="C261" s="23"/>
      <c r="D261" s="1" cm="1">
        <f t="array" ref="D261">MAX(_xlfn._xlws.FILTER(Visits!AF:AF,Visits!E:E='User Engagement'!A261))</f>
        <v>45434</v>
      </c>
      <c r="E261">
        <f>COUNTIF(Visits!$E$2:$E$993,'User Engagement'!$A261)</f>
        <v>0</v>
      </c>
      <c r="F261">
        <f>COUNTIFS(Visits!$E$2:$E$993,'User Engagement'!$A262,Visits!$AF$2:$AF$993,"&gt;"&amp;($B$1-7))</f>
        <v>0</v>
      </c>
      <c r="G261">
        <f>COUNTIFS(Visits!$E$2:$E$993,'User Engagement'!$A261,Visits!$AF$2:$AF$993,"&gt;"&amp;($B$1-30))</f>
        <v>0</v>
      </c>
      <c r="H261">
        <f>COUNTIFS(Visits!$E$2:$E$993,$A261,Visits!$AF$2:$AF$993,"&gt;"&amp;($B$1-60))-G261</f>
        <v>0</v>
      </c>
      <c r="I261">
        <f>COUNTIFS(Visits!$AG:$AG,'New Dashboard'!$A$22,Visits!$E:$E,'User Engagement'!$A261)</f>
        <v>0</v>
      </c>
      <c r="J261">
        <f>COUNTIFS(Visits!$AG:$AG,'New Dashboard'!$A$23,Visits!$E:$E,'User Engagement'!$A261)</f>
        <v>0</v>
      </c>
      <c r="K261">
        <f>COUNTIFS(Visits!$AG:$AG,'New Dashboard'!$A$24,Visits!$E:$E,'User Engagement'!$A261)</f>
        <v>0</v>
      </c>
      <c r="L261">
        <f>COUNTIFS(Visits!$AG:$AG,'New Dashboard'!$A$25,Visits!$E:$E,'User Engagement'!$A261)</f>
        <v>0</v>
      </c>
      <c r="M261">
        <f t="shared" si="24"/>
        <v>1</v>
      </c>
      <c r="N261">
        <f t="shared" si="25"/>
        <v>0</v>
      </c>
      <c r="O261">
        <f t="shared" si="25"/>
        <v>0</v>
      </c>
      <c r="P261">
        <f t="shared" si="26"/>
        <v>0</v>
      </c>
      <c r="Q261" s="4">
        <f>SUMIF(Visits!$E$2:$E$90,'User Engagement'!$A261,Visits!$T$2:$T$90)</f>
        <v>0</v>
      </c>
      <c r="R261" s="4">
        <f>SUMIFS(Visits!$T$2:$T$90,Visits!$E$2:$E$90,'User Engagement'!$A261,Visits!$AF$2:$AF$90,"&gt;3/28/24")</f>
        <v>0</v>
      </c>
      <c r="S261" s="13" t="e">
        <f t="shared" si="27"/>
        <v>#DIV/0!</v>
      </c>
      <c r="T261" s="13" t="str">
        <f t="shared" si="28"/>
        <v>n/a</v>
      </c>
    </row>
    <row r="262" spans="1:20" ht="15.95">
      <c r="A262">
        <f>Users!A259</f>
        <v>0</v>
      </c>
      <c r="B262" s="23"/>
      <c r="C262" s="23"/>
      <c r="D262" s="1" cm="1">
        <f t="array" ref="D262">MAX(_xlfn._xlws.FILTER(Visits!AF:AF,Visits!E:E='User Engagement'!A262))</f>
        <v>45434</v>
      </c>
      <c r="E262">
        <f>COUNTIF(Visits!$E$2:$E$993,'User Engagement'!$A262)</f>
        <v>0</v>
      </c>
      <c r="F262">
        <f>COUNTIFS(Visits!$E$2:$E$993,'User Engagement'!$A263,Visits!$AF$2:$AF$993,"&gt;"&amp;($B$1-7))</f>
        <v>0</v>
      </c>
      <c r="G262">
        <f>COUNTIFS(Visits!$E$2:$E$993,'User Engagement'!$A262,Visits!$AF$2:$AF$993,"&gt;"&amp;($B$1-30))</f>
        <v>0</v>
      </c>
      <c r="H262">
        <f>COUNTIFS(Visits!$E$2:$E$993,$A262,Visits!$AF$2:$AF$993,"&gt;"&amp;($B$1-60))-G262</f>
        <v>0</v>
      </c>
      <c r="I262">
        <f>COUNTIFS(Visits!$AG:$AG,'New Dashboard'!$A$22,Visits!$E:$E,'User Engagement'!$A262)</f>
        <v>0</v>
      </c>
      <c r="J262">
        <f>COUNTIFS(Visits!$AG:$AG,'New Dashboard'!$A$23,Visits!$E:$E,'User Engagement'!$A262)</f>
        <v>0</v>
      </c>
      <c r="K262">
        <f>COUNTIFS(Visits!$AG:$AG,'New Dashboard'!$A$24,Visits!$E:$E,'User Engagement'!$A262)</f>
        <v>0</v>
      </c>
      <c r="L262">
        <f>COUNTIFS(Visits!$AG:$AG,'New Dashboard'!$A$25,Visits!$E:$E,'User Engagement'!$A262)</f>
        <v>0</v>
      </c>
      <c r="M262">
        <f t="shared" si="24"/>
        <v>1</v>
      </c>
      <c r="N262">
        <f t="shared" si="25"/>
        <v>0</v>
      </c>
      <c r="O262">
        <f t="shared" si="25"/>
        <v>0</v>
      </c>
      <c r="P262">
        <f t="shared" si="26"/>
        <v>0</v>
      </c>
      <c r="Q262" s="4">
        <f>SUMIF(Visits!$E$2:$E$90,'User Engagement'!$A262,Visits!$T$2:$T$90)</f>
        <v>0</v>
      </c>
      <c r="R262" s="4">
        <f>SUMIFS(Visits!$T$2:$T$90,Visits!$E$2:$E$90,'User Engagement'!$A262,Visits!$AF$2:$AF$90,"&gt;3/28/24")</f>
        <v>0</v>
      </c>
      <c r="S262" s="13" t="e">
        <f t="shared" si="27"/>
        <v>#DIV/0!</v>
      </c>
      <c r="T262" s="13" t="str">
        <f t="shared" si="28"/>
        <v>n/a</v>
      </c>
    </row>
    <row r="263" spans="1:20" ht="15.95">
      <c r="A263">
        <f>Users!A260</f>
        <v>0</v>
      </c>
      <c r="B263" s="23"/>
      <c r="C263" s="23"/>
      <c r="D263" s="1" cm="1">
        <f t="array" ref="D263">MAX(_xlfn._xlws.FILTER(Visits!AF:AF,Visits!E:E='User Engagement'!A263))</f>
        <v>45434</v>
      </c>
      <c r="E263">
        <f>COUNTIF(Visits!$E$2:$E$993,'User Engagement'!$A263)</f>
        <v>0</v>
      </c>
      <c r="F263">
        <f>COUNTIFS(Visits!$E$2:$E$993,'User Engagement'!$A264,Visits!$AF$2:$AF$993,"&gt;"&amp;($B$1-7))</f>
        <v>0</v>
      </c>
      <c r="G263">
        <f>COUNTIFS(Visits!$E$2:$E$993,'User Engagement'!$A263,Visits!$AF$2:$AF$993,"&gt;"&amp;($B$1-30))</f>
        <v>0</v>
      </c>
      <c r="H263">
        <f>COUNTIFS(Visits!$E$2:$E$993,$A263,Visits!$AF$2:$AF$993,"&gt;"&amp;($B$1-60))-G263</f>
        <v>0</v>
      </c>
      <c r="I263">
        <f>COUNTIFS(Visits!$AG:$AG,'New Dashboard'!$A$22,Visits!$E:$E,'User Engagement'!$A263)</f>
        <v>0</v>
      </c>
      <c r="J263">
        <f>COUNTIFS(Visits!$AG:$AG,'New Dashboard'!$A$23,Visits!$E:$E,'User Engagement'!$A263)</f>
        <v>0</v>
      </c>
      <c r="K263">
        <f>COUNTIFS(Visits!$AG:$AG,'New Dashboard'!$A$24,Visits!$E:$E,'User Engagement'!$A263)</f>
        <v>0</v>
      </c>
      <c r="L263">
        <f>COUNTIFS(Visits!$AG:$AG,'New Dashboard'!$A$25,Visits!$E:$E,'User Engagement'!$A263)</f>
        <v>0</v>
      </c>
      <c r="M263">
        <f t="shared" si="24"/>
        <v>1</v>
      </c>
      <c r="N263">
        <f t="shared" si="25"/>
        <v>0</v>
      </c>
      <c r="O263">
        <f t="shared" si="25"/>
        <v>0</v>
      </c>
      <c r="P263">
        <f t="shared" si="26"/>
        <v>0</v>
      </c>
      <c r="Q263" s="4">
        <f>SUMIF(Visits!$E$2:$E$90,'User Engagement'!$A263,Visits!$T$2:$T$90)</f>
        <v>0</v>
      </c>
      <c r="R263" s="4">
        <f>SUMIFS(Visits!$T$2:$T$90,Visits!$E$2:$E$90,'User Engagement'!$A263,Visits!$AF$2:$AF$90,"&gt;3/28/24")</f>
        <v>0</v>
      </c>
      <c r="S263" s="13" t="e">
        <f t="shared" si="27"/>
        <v>#DIV/0!</v>
      </c>
      <c r="T263" s="13" t="str">
        <f t="shared" si="28"/>
        <v>n/a</v>
      </c>
    </row>
    <row r="264" spans="1:20" ht="15.95">
      <c r="A264">
        <f>Users!A261</f>
        <v>0</v>
      </c>
      <c r="B264" s="23"/>
      <c r="C264" s="23"/>
      <c r="D264" s="1" cm="1">
        <f t="array" ref="D264">MAX(_xlfn._xlws.FILTER(Visits!AF:AF,Visits!E:E='User Engagement'!A264))</f>
        <v>45434</v>
      </c>
      <c r="E264">
        <f>COUNTIF(Visits!$E$2:$E$993,'User Engagement'!$A264)</f>
        <v>0</v>
      </c>
      <c r="F264">
        <f>COUNTIFS(Visits!$E$2:$E$993,'User Engagement'!$A265,Visits!$AF$2:$AF$993,"&gt;"&amp;($B$1-7))</f>
        <v>0</v>
      </c>
      <c r="G264">
        <f>COUNTIFS(Visits!$E$2:$E$993,'User Engagement'!$A264,Visits!$AF$2:$AF$993,"&gt;"&amp;($B$1-30))</f>
        <v>0</v>
      </c>
      <c r="H264">
        <f>COUNTIFS(Visits!$E$2:$E$993,$A264,Visits!$AF$2:$AF$993,"&gt;"&amp;($B$1-60))-G264</f>
        <v>0</v>
      </c>
      <c r="I264">
        <f>COUNTIFS(Visits!$AG:$AG,'New Dashboard'!$A$22,Visits!$E:$E,'User Engagement'!$A264)</f>
        <v>0</v>
      </c>
      <c r="J264">
        <f>COUNTIFS(Visits!$AG:$AG,'New Dashboard'!$A$23,Visits!$E:$E,'User Engagement'!$A264)</f>
        <v>0</v>
      </c>
      <c r="K264">
        <f>COUNTIFS(Visits!$AG:$AG,'New Dashboard'!$A$24,Visits!$E:$E,'User Engagement'!$A264)</f>
        <v>0</v>
      </c>
      <c r="L264">
        <f>COUNTIFS(Visits!$AG:$AG,'New Dashboard'!$A$25,Visits!$E:$E,'User Engagement'!$A264)</f>
        <v>0</v>
      </c>
      <c r="M264">
        <f t="shared" si="24"/>
        <v>1</v>
      </c>
      <c r="N264">
        <f t="shared" si="25"/>
        <v>0</v>
      </c>
      <c r="O264">
        <f t="shared" si="25"/>
        <v>0</v>
      </c>
      <c r="P264">
        <f t="shared" si="26"/>
        <v>0</v>
      </c>
      <c r="Q264" s="4">
        <f>SUMIF(Visits!$E$2:$E$90,'User Engagement'!$A264,Visits!$T$2:$T$90)</f>
        <v>0</v>
      </c>
      <c r="R264" s="4">
        <f>SUMIFS(Visits!$T$2:$T$90,Visits!$E$2:$E$90,'User Engagement'!$A264,Visits!$AF$2:$AF$90,"&gt;3/28/24")</f>
        <v>0</v>
      </c>
      <c r="S264" s="13" t="e">
        <f t="shared" si="27"/>
        <v>#DIV/0!</v>
      </c>
      <c r="T264" s="13" t="str">
        <f t="shared" si="28"/>
        <v>n/a</v>
      </c>
    </row>
    <row r="265" spans="1:20" ht="15.95">
      <c r="A265">
        <f>Users!A262</f>
        <v>0</v>
      </c>
      <c r="B265" s="23"/>
      <c r="C265" s="23"/>
      <c r="D265" s="1" cm="1">
        <f t="array" ref="D265">MAX(_xlfn._xlws.FILTER(Visits!AF:AF,Visits!E:E='User Engagement'!A265))</f>
        <v>45434</v>
      </c>
      <c r="E265">
        <f>COUNTIF(Visits!$E$2:$E$993,'User Engagement'!$A265)</f>
        <v>0</v>
      </c>
      <c r="F265">
        <f>COUNTIFS(Visits!$E$2:$E$993,'User Engagement'!$A266,Visits!$AF$2:$AF$993,"&gt;"&amp;($B$1-7))</f>
        <v>0</v>
      </c>
      <c r="G265">
        <f>COUNTIFS(Visits!$E$2:$E$993,'User Engagement'!$A265,Visits!$AF$2:$AF$993,"&gt;"&amp;($B$1-30))</f>
        <v>0</v>
      </c>
      <c r="H265">
        <f>COUNTIFS(Visits!$E$2:$E$993,$A265,Visits!$AF$2:$AF$993,"&gt;"&amp;($B$1-60))-G265</f>
        <v>0</v>
      </c>
      <c r="I265">
        <f>COUNTIFS(Visits!$AG:$AG,'New Dashboard'!$A$22,Visits!$E:$E,'User Engagement'!$A265)</f>
        <v>0</v>
      </c>
      <c r="J265">
        <f>COUNTIFS(Visits!$AG:$AG,'New Dashboard'!$A$23,Visits!$E:$E,'User Engagement'!$A265)</f>
        <v>0</v>
      </c>
      <c r="K265">
        <f>COUNTIFS(Visits!$AG:$AG,'New Dashboard'!$A$24,Visits!$E:$E,'User Engagement'!$A265)</f>
        <v>0</v>
      </c>
      <c r="L265">
        <f>COUNTIFS(Visits!$AG:$AG,'New Dashboard'!$A$25,Visits!$E:$E,'User Engagement'!$A265)</f>
        <v>0</v>
      </c>
      <c r="M265">
        <f t="shared" si="24"/>
        <v>1</v>
      </c>
      <c r="N265">
        <f t="shared" si="25"/>
        <v>0</v>
      </c>
      <c r="O265">
        <f t="shared" si="25"/>
        <v>0</v>
      </c>
      <c r="P265">
        <f t="shared" si="26"/>
        <v>0</v>
      </c>
      <c r="Q265" s="4">
        <f>SUMIF(Visits!$E$2:$E$90,'User Engagement'!$A265,Visits!$T$2:$T$90)</f>
        <v>0</v>
      </c>
      <c r="R265" s="4">
        <f>SUMIFS(Visits!$T$2:$T$90,Visits!$E$2:$E$90,'User Engagement'!$A265,Visits!$AF$2:$AF$90,"&gt;3/28/24")</f>
        <v>0</v>
      </c>
      <c r="S265" s="13" t="e">
        <f t="shared" si="27"/>
        <v>#DIV/0!</v>
      </c>
      <c r="T265" s="13" t="str">
        <f t="shared" si="28"/>
        <v>n/a</v>
      </c>
    </row>
    <row r="266" spans="1:20" ht="15.95">
      <c r="A266">
        <f>Users!A263</f>
        <v>0</v>
      </c>
      <c r="B266" s="23"/>
      <c r="C266" s="23"/>
      <c r="D266" s="1" cm="1">
        <f t="array" ref="D266">MAX(_xlfn._xlws.FILTER(Visits!AF:AF,Visits!E:E='User Engagement'!A266))</f>
        <v>45434</v>
      </c>
      <c r="E266">
        <f>COUNTIF(Visits!$E$2:$E$993,'User Engagement'!$A266)</f>
        <v>0</v>
      </c>
      <c r="F266">
        <f>COUNTIFS(Visits!$E$2:$E$993,'User Engagement'!$A267,Visits!$AF$2:$AF$993,"&gt;"&amp;($B$1-7))</f>
        <v>0</v>
      </c>
      <c r="G266">
        <f>COUNTIFS(Visits!$E$2:$E$993,'User Engagement'!$A266,Visits!$AF$2:$AF$993,"&gt;"&amp;($B$1-30))</f>
        <v>0</v>
      </c>
      <c r="H266">
        <f>COUNTIFS(Visits!$E$2:$E$993,$A266,Visits!$AF$2:$AF$993,"&gt;"&amp;($B$1-60))-G266</f>
        <v>0</v>
      </c>
      <c r="I266">
        <f>COUNTIFS(Visits!$AG:$AG,'New Dashboard'!$A$22,Visits!$E:$E,'User Engagement'!$A266)</f>
        <v>0</v>
      </c>
      <c r="J266">
        <f>COUNTIFS(Visits!$AG:$AG,'New Dashboard'!$A$23,Visits!$E:$E,'User Engagement'!$A266)</f>
        <v>0</v>
      </c>
      <c r="K266">
        <f>COUNTIFS(Visits!$AG:$AG,'New Dashboard'!$A$24,Visits!$E:$E,'User Engagement'!$A266)</f>
        <v>0</v>
      </c>
      <c r="L266">
        <f>COUNTIFS(Visits!$AG:$AG,'New Dashboard'!$A$25,Visits!$E:$E,'User Engagement'!$A266)</f>
        <v>0</v>
      </c>
      <c r="M266">
        <f t="shared" ref="M266:M316" si="29">IF(E266-F266=0,1,0)</f>
        <v>1</v>
      </c>
      <c r="N266">
        <f t="shared" ref="N266:O316" si="30">IF(G266&gt;0,1,0)</f>
        <v>0</v>
      </c>
      <c r="O266">
        <f t="shared" si="30"/>
        <v>0</v>
      </c>
      <c r="P266">
        <f t="shared" si="26"/>
        <v>0</v>
      </c>
      <c r="Q266" s="4">
        <f>SUMIF(Visits!$E$2:$E$90,'User Engagement'!$A266,Visits!$T$2:$T$90)</f>
        <v>0</v>
      </c>
      <c r="R266" s="4">
        <f>SUMIFS(Visits!$T$2:$T$90,Visits!$E$2:$E$90,'User Engagement'!$A266,Visits!$AF$2:$AF$90,"&gt;3/28/24")</f>
        <v>0</v>
      </c>
      <c r="S266" s="13" t="e">
        <f t="shared" si="27"/>
        <v>#DIV/0!</v>
      </c>
      <c r="T266" s="13" t="str">
        <f t="shared" si="28"/>
        <v>n/a</v>
      </c>
    </row>
    <row r="267" spans="1:20" ht="15.95">
      <c r="A267">
        <f>Users!A264</f>
        <v>0</v>
      </c>
      <c r="B267" s="23"/>
      <c r="C267" s="23"/>
      <c r="D267" s="1" cm="1">
        <f t="array" ref="D267">MAX(_xlfn._xlws.FILTER(Visits!AF:AF,Visits!E:E='User Engagement'!A267))</f>
        <v>45434</v>
      </c>
      <c r="E267">
        <f>COUNTIF(Visits!$E$2:$E$993,'User Engagement'!$A267)</f>
        <v>0</v>
      </c>
      <c r="F267">
        <f>COUNTIFS(Visits!$E$2:$E$993,'User Engagement'!$A268,Visits!$AF$2:$AF$993,"&gt;"&amp;($B$1-7))</f>
        <v>0</v>
      </c>
      <c r="G267">
        <f>COUNTIFS(Visits!$E$2:$E$993,'User Engagement'!$A267,Visits!$AF$2:$AF$993,"&gt;"&amp;($B$1-30))</f>
        <v>0</v>
      </c>
      <c r="H267">
        <f>COUNTIFS(Visits!$E$2:$E$993,$A267,Visits!$AF$2:$AF$993,"&gt;"&amp;($B$1-60))-G267</f>
        <v>0</v>
      </c>
      <c r="I267">
        <f>COUNTIFS(Visits!$AG:$AG,'New Dashboard'!$A$22,Visits!$E:$E,'User Engagement'!$A267)</f>
        <v>0</v>
      </c>
      <c r="J267">
        <f>COUNTIFS(Visits!$AG:$AG,'New Dashboard'!$A$23,Visits!$E:$E,'User Engagement'!$A267)</f>
        <v>0</v>
      </c>
      <c r="K267">
        <f>COUNTIFS(Visits!$AG:$AG,'New Dashboard'!$A$24,Visits!$E:$E,'User Engagement'!$A267)</f>
        <v>0</v>
      </c>
      <c r="L267">
        <f>COUNTIFS(Visits!$AG:$AG,'New Dashboard'!$A$25,Visits!$E:$E,'User Engagement'!$A267)</f>
        <v>0</v>
      </c>
      <c r="M267">
        <f t="shared" si="29"/>
        <v>1</v>
      </c>
      <c r="N267">
        <f t="shared" si="30"/>
        <v>0</v>
      </c>
      <c r="O267">
        <f t="shared" si="30"/>
        <v>0</v>
      </c>
      <c r="P267">
        <f t="shared" si="26"/>
        <v>0</v>
      </c>
      <c r="Q267" s="4">
        <f>SUMIF(Visits!$E$2:$E$90,'User Engagement'!$A267,Visits!$T$2:$T$90)</f>
        <v>0</v>
      </c>
      <c r="R267" s="4">
        <f>SUMIFS(Visits!$T$2:$T$90,Visits!$E$2:$E$90,'User Engagement'!$A267,Visits!$AF$2:$AF$90,"&gt;3/28/24")</f>
        <v>0</v>
      </c>
      <c r="S267" s="13" t="e">
        <f t="shared" si="27"/>
        <v>#DIV/0!</v>
      </c>
      <c r="T267" s="13" t="str">
        <f t="shared" si="28"/>
        <v>n/a</v>
      </c>
    </row>
    <row r="268" spans="1:20" ht="15.95">
      <c r="A268">
        <f>Users!A265</f>
        <v>0</v>
      </c>
      <c r="B268" s="23"/>
      <c r="C268" s="23"/>
      <c r="D268" s="1" cm="1">
        <f t="array" ref="D268">MAX(_xlfn._xlws.FILTER(Visits!AF:AF,Visits!E:E='User Engagement'!A268))</f>
        <v>45434</v>
      </c>
      <c r="E268">
        <f>COUNTIF(Visits!$E$2:$E$993,'User Engagement'!$A268)</f>
        <v>0</v>
      </c>
      <c r="F268">
        <f>COUNTIFS(Visits!$E$2:$E$993,'User Engagement'!$A269,Visits!$AF$2:$AF$993,"&gt;"&amp;($B$1-7))</f>
        <v>0</v>
      </c>
      <c r="G268">
        <f>COUNTIFS(Visits!$E$2:$E$993,'User Engagement'!$A268,Visits!$AF$2:$AF$993,"&gt;"&amp;($B$1-30))</f>
        <v>0</v>
      </c>
      <c r="H268">
        <f>COUNTIFS(Visits!$E$2:$E$993,$A268,Visits!$AF$2:$AF$993,"&gt;"&amp;($B$1-60))-G268</f>
        <v>0</v>
      </c>
      <c r="I268">
        <f>COUNTIFS(Visits!$AG:$AG,'New Dashboard'!$A$22,Visits!$E:$E,'User Engagement'!$A268)</f>
        <v>0</v>
      </c>
      <c r="J268">
        <f>COUNTIFS(Visits!$AG:$AG,'New Dashboard'!$A$23,Visits!$E:$E,'User Engagement'!$A268)</f>
        <v>0</v>
      </c>
      <c r="K268">
        <f>COUNTIFS(Visits!$AG:$AG,'New Dashboard'!$A$24,Visits!$E:$E,'User Engagement'!$A268)</f>
        <v>0</v>
      </c>
      <c r="L268">
        <f>COUNTIFS(Visits!$AG:$AG,'New Dashboard'!$A$25,Visits!$E:$E,'User Engagement'!$A268)</f>
        <v>0</v>
      </c>
      <c r="M268">
        <f t="shared" si="29"/>
        <v>1</v>
      </c>
      <c r="N268">
        <f t="shared" si="30"/>
        <v>0</v>
      </c>
      <c r="O268">
        <f t="shared" si="30"/>
        <v>0</v>
      </c>
      <c r="P268">
        <f t="shared" si="26"/>
        <v>0</v>
      </c>
      <c r="Q268" s="4">
        <f>SUMIF(Visits!$E$2:$E$90,'User Engagement'!$A268,Visits!$T$2:$T$90)</f>
        <v>0</v>
      </c>
      <c r="R268" s="4">
        <f>SUMIFS(Visits!$T$2:$T$90,Visits!$E$2:$E$90,'User Engagement'!$A268,Visits!$AF$2:$AF$90,"&gt;3/28/24")</f>
        <v>0</v>
      </c>
      <c r="S268" s="13" t="e">
        <f t="shared" si="27"/>
        <v>#DIV/0!</v>
      </c>
      <c r="T268" s="13" t="str">
        <f t="shared" si="28"/>
        <v>n/a</v>
      </c>
    </row>
    <row r="269" spans="1:20" ht="15.95">
      <c r="A269">
        <f>Users!A266</f>
        <v>0</v>
      </c>
      <c r="B269" s="23"/>
      <c r="C269" s="23"/>
      <c r="D269" s="1" cm="1">
        <f t="array" ref="D269">MAX(_xlfn._xlws.FILTER(Visits!AF:AF,Visits!E:E='User Engagement'!A269))</f>
        <v>45434</v>
      </c>
      <c r="E269">
        <f>COUNTIF(Visits!$E$2:$E$993,'User Engagement'!$A269)</f>
        <v>0</v>
      </c>
      <c r="F269">
        <f>COUNTIFS(Visits!$E$2:$E$993,'User Engagement'!$A270,Visits!$AF$2:$AF$993,"&gt;"&amp;($B$1-7))</f>
        <v>0</v>
      </c>
      <c r="G269">
        <f>COUNTIFS(Visits!$E$2:$E$993,'User Engagement'!$A269,Visits!$AF$2:$AF$993,"&gt;"&amp;($B$1-30))</f>
        <v>0</v>
      </c>
      <c r="H269">
        <f>COUNTIFS(Visits!$E$2:$E$993,$A269,Visits!$AF$2:$AF$993,"&gt;"&amp;($B$1-60))-G269</f>
        <v>0</v>
      </c>
      <c r="I269">
        <f>COUNTIFS(Visits!$AG:$AG,'New Dashboard'!$A$22,Visits!$E:$E,'User Engagement'!$A269)</f>
        <v>0</v>
      </c>
      <c r="J269">
        <f>COUNTIFS(Visits!$AG:$AG,'New Dashboard'!$A$23,Visits!$E:$E,'User Engagement'!$A269)</f>
        <v>0</v>
      </c>
      <c r="K269">
        <f>COUNTIFS(Visits!$AG:$AG,'New Dashboard'!$A$24,Visits!$E:$E,'User Engagement'!$A269)</f>
        <v>0</v>
      </c>
      <c r="L269">
        <f>COUNTIFS(Visits!$AG:$AG,'New Dashboard'!$A$25,Visits!$E:$E,'User Engagement'!$A269)</f>
        <v>0</v>
      </c>
      <c r="M269">
        <f t="shared" si="29"/>
        <v>1</v>
      </c>
      <c r="N269">
        <f t="shared" si="30"/>
        <v>0</v>
      </c>
      <c r="O269">
        <f t="shared" si="30"/>
        <v>0</v>
      </c>
      <c r="P269">
        <f t="shared" si="26"/>
        <v>0</v>
      </c>
      <c r="Q269" s="4">
        <f>SUMIF(Visits!$E$2:$E$90,'User Engagement'!$A269,Visits!$T$2:$T$90)</f>
        <v>0</v>
      </c>
      <c r="R269" s="4">
        <f>SUMIFS(Visits!$T$2:$T$90,Visits!$E$2:$E$90,'User Engagement'!$A269,Visits!$AF$2:$AF$90,"&gt;3/28/24")</f>
        <v>0</v>
      </c>
      <c r="S269" s="13" t="e">
        <f t="shared" si="27"/>
        <v>#DIV/0!</v>
      </c>
      <c r="T269" s="13" t="str">
        <f t="shared" si="28"/>
        <v>n/a</v>
      </c>
    </row>
    <row r="270" spans="1:20" ht="15.95">
      <c r="A270">
        <f>Users!A267</f>
        <v>0</v>
      </c>
      <c r="B270" s="23"/>
      <c r="C270" s="23"/>
      <c r="D270" s="1" cm="1">
        <f t="array" ref="D270">MAX(_xlfn._xlws.FILTER(Visits!AF:AF,Visits!E:E='User Engagement'!A270))</f>
        <v>45434</v>
      </c>
      <c r="E270">
        <f>COUNTIF(Visits!$E$2:$E$993,'User Engagement'!$A270)</f>
        <v>0</v>
      </c>
      <c r="F270">
        <f>COUNTIFS(Visits!$E$2:$E$993,'User Engagement'!$A271,Visits!$AF$2:$AF$993,"&gt;"&amp;($B$1-7))</f>
        <v>0</v>
      </c>
      <c r="G270">
        <f>COUNTIFS(Visits!$E$2:$E$993,'User Engagement'!$A270,Visits!$AF$2:$AF$993,"&gt;"&amp;($B$1-30))</f>
        <v>0</v>
      </c>
      <c r="H270">
        <f>COUNTIFS(Visits!$E$2:$E$993,$A270,Visits!$AF$2:$AF$993,"&gt;"&amp;($B$1-60))-G270</f>
        <v>0</v>
      </c>
      <c r="I270">
        <f>COUNTIFS(Visits!$AG:$AG,'New Dashboard'!$A$22,Visits!$E:$E,'User Engagement'!$A270)</f>
        <v>0</v>
      </c>
      <c r="J270">
        <f>COUNTIFS(Visits!$AG:$AG,'New Dashboard'!$A$23,Visits!$E:$E,'User Engagement'!$A270)</f>
        <v>0</v>
      </c>
      <c r="K270">
        <f>COUNTIFS(Visits!$AG:$AG,'New Dashboard'!$A$24,Visits!$E:$E,'User Engagement'!$A270)</f>
        <v>0</v>
      </c>
      <c r="L270">
        <f>COUNTIFS(Visits!$AG:$AG,'New Dashboard'!$A$25,Visits!$E:$E,'User Engagement'!$A270)</f>
        <v>0</v>
      </c>
      <c r="M270">
        <f t="shared" si="29"/>
        <v>1</v>
      </c>
      <c r="N270">
        <f t="shared" si="30"/>
        <v>0</v>
      </c>
      <c r="O270">
        <f t="shared" si="30"/>
        <v>0</v>
      </c>
      <c r="P270">
        <f t="shared" si="26"/>
        <v>0</v>
      </c>
      <c r="Q270" s="4">
        <f>SUMIF(Visits!$E$2:$E$90,'User Engagement'!$A270,Visits!$T$2:$T$90)</f>
        <v>0</v>
      </c>
      <c r="R270" s="4">
        <f>SUMIFS(Visits!$T$2:$T$90,Visits!$E$2:$E$90,'User Engagement'!$A270,Visits!$AF$2:$AF$90,"&gt;3/28/24")</f>
        <v>0</v>
      </c>
      <c r="S270" s="13" t="e">
        <f t="shared" si="27"/>
        <v>#DIV/0!</v>
      </c>
      <c r="T270" s="13" t="str">
        <f t="shared" si="28"/>
        <v>n/a</v>
      </c>
    </row>
    <row r="271" spans="1:20" ht="15.95">
      <c r="A271">
        <f>Users!A268</f>
        <v>0</v>
      </c>
      <c r="B271" s="23"/>
      <c r="C271" s="23"/>
      <c r="D271" s="1" cm="1">
        <f t="array" ref="D271">MAX(_xlfn._xlws.FILTER(Visits!AF:AF,Visits!E:E='User Engagement'!A271))</f>
        <v>45434</v>
      </c>
      <c r="E271">
        <f>COUNTIF(Visits!$E$2:$E$993,'User Engagement'!$A271)</f>
        <v>0</v>
      </c>
      <c r="F271">
        <f>COUNTIFS(Visits!$E$2:$E$993,'User Engagement'!$A272,Visits!$AF$2:$AF$993,"&gt;"&amp;($B$1-7))</f>
        <v>0</v>
      </c>
      <c r="G271">
        <f>COUNTIFS(Visits!$E$2:$E$993,'User Engagement'!$A271,Visits!$AF$2:$AF$993,"&gt;"&amp;($B$1-30))</f>
        <v>0</v>
      </c>
      <c r="H271">
        <f>COUNTIFS(Visits!$E$2:$E$993,$A271,Visits!$AF$2:$AF$993,"&gt;"&amp;($B$1-60))-G271</f>
        <v>0</v>
      </c>
      <c r="I271">
        <f>COUNTIFS(Visits!$AG:$AG,'New Dashboard'!$A$22,Visits!$E:$E,'User Engagement'!$A271)</f>
        <v>0</v>
      </c>
      <c r="J271">
        <f>COUNTIFS(Visits!$AG:$AG,'New Dashboard'!$A$23,Visits!$E:$E,'User Engagement'!$A271)</f>
        <v>0</v>
      </c>
      <c r="K271">
        <f>COUNTIFS(Visits!$AG:$AG,'New Dashboard'!$A$24,Visits!$E:$E,'User Engagement'!$A271)</f>
        <v>0</v>
      </c>
      <c r="L271">
        <f>COUNTIFS(Visits!$AG:$AG,'New Dashboard'!$A$25,Visits!$E:$E,'User Engagement'!$A271)</f>
        <v>0</v>
      </c>
      <c r="M271">
        <f t="shared" si="29"/>
        <v>1</v>
      </c>
      <c r="N271">
        <f t="shared" si="30"/>
        <v>0</v>
      </c>
      <c r="O271">
        <f t="shared" si="30"/>
        <v>0</v>
      </c>
      <c r="P271">
        <f t="shared" si="26"/>
        <v>0</v>
      </c>
      <c r="Q271" s="4">
        <f>SUMIF(Visits!$E$2:$E$90,'User Engagement'!$A271,Visits!$T$2:$T$90)</f>
        <v>0</v>
      </c>
      <c r="R271" s="4">
        <f>SUMIFS(Visits!$T$2:$T$90,Visits!$E$2:$E$90,'User Engagement'!$A271,Visits!$AF$2:$AF$90,"&gt;3/28/24")</f>
        <v>0</v>
      </c>
      <c r="S271" s="13" t="e">
        <f t="shared" si="27"/>
        <v>#DIV/0!</v>
      </c>
      <c r="T271" s="13" t="str">
        <f t="shared" si="28"/>
        <v>n/a</v>
      </c>
    </row>
    <row r="272" spans="1:20" ht="15.95">
      <c r="A272">
        <f>Users!A269</f>
        <v>0</v>
      </c>
      <c r="B272" s="23"/>
      <c r="C272" s="23"/>
      <c r="D272" s="1" cm="1">
        <f t="array" ref="D272">MAX(_xlfn._xlws.FILTER(Visits!AF:AF,Visits!E:E='User Engagement'!A272))</f>
        <v>45434</v>
      </c>
      <c r="E272">
        <f>COUNTIF(Visits!$E$2:$E$993,'User Engagement'!$A272)</f>
        <v>0</v>
      </c>
      <c r="F272">
        <f>COUNTIFS(Visits!$E$2:$E$993,'User Engagement'!$A273,Visits!$AF$2:$AF$993,"&gt;"&amp;($B$1-7))</f>
        <v>0</v>
      </c>
      <c r="G272">
        <f>COUNTIFS(Visits!$E$2:$E$993,'User Engagement'!$A272,Visits!$AF$2:$AF$993,"&gt;"&amp;($B$1-30))</f>
        <v>0</v>
      </c>
      <c r="H272">
        <f>COUNTIFS(Visits!$E$2:$E$993,$A272,Visits!$AF$2:$AF$993,"&gt;"&amp;($B$1-60))-G272</f>
        <v>0</v>
      </c>
      <c r="I272">
        <f>COUNTIFS(Visits!$AG:$AG,'New Dashboard'!$A$22,Visits!$E:$E,'User Engagement'!$A272)</f>
        <v>0</v>
      </c>
      <c r="J272">
        <f>COUNTIFS(Visits!$AG:$AG,'New Dashboard'!$A$23,Visits!$E:$E,'User Engagement'!$A272)</f>
        <v>0</v>
      </c>
      <c r="K272">
        <f>COUNTIFS(Visits!$AG:$AG,'New Dashboard'!$A$24,Visits!$E:$E,'User Engagement'!$A272)</f>
        <v>0</v>
      </c>
      <c r="L272">
        <f>COUNTIFS(Visits!$AG:$AG,'New Dashboard'!$A$25,Visits!$E:$E,'User Engagement'!$A272)</f>
        <v>0</v>
      </c>
      <c r="M272">
        <f t="shared" si="29"/>
        <v>1</v>
      </c>
      <c r="N272">
        <f t="shared" si="30"/>
        <v>0</v>
      </c>
      <c r="O272">
        <f t="shared" si="30"/>
        <v>0</v>
      </c>
      <c r="P272">
        <f t="shared" si="26"/>
        <v>0</v>
      </c>
      <c r="Q272" s="4">
        <f>SUMIF(Visits!$E$2:$E$90,'User Engagement'!$A272,Visits!$T$2:$T$90)</f>
        <v>0</v>
      </c>
      <c r="R272" s="4">
        <f>SUMIFS(Visits!$T$2:$T$90,Visits!$E$2:$E$90,'User Engagement'!$A272,Visits!$AF$2:$AF$90,"&gt;3/28/24")</f>
        <v>0</v>
      </c>
      <c r="S272" s="13" t="e">
        <f t="shared" si="27"/>
        <v>#DIV/0!</v>
      </c>
      <c r="T272" s="13" t="str">
        <f t="shared" si="28"/>
        <v>n/a</v>
      </c>
    </row>
    <row r="273" spans="1:20" ht="15.95">
      <c r="A273">
        <f>Users!A270</f>
        <v>0</v>
      </c>
      <c r="B273" s="23"/>
      <c r="C273" s="23"/>
      <c r="D273" s="1" cm="1">
        <f t="array" ref="D273">MAX(_xlfn._xlws.FILTER(Visits!AF:AF,Visits!E:E='User Engagement'!A273))</f>
        <v>45434</v>
      </c>
      <c r="E273">
        <f>COUNTIF(Visits!$E$2:$E$993,'User Engagement'!$A273)</f>
        <v>0</v>
      </c>
      <c r="F273">
        <f>COUNTIFS(Visits!$E$2:$E$993,'User Engagement'!$A274,Visits!$AF$2:$AF$993,"&gt;"&amp;($B$1-7))</f>
        <v>0</v>
      </c>
      <c r="G273">
        <f>COUNTIFS(Visits!$E$2:$E$993,'User Engagement'!$A273,Visits!$AF$2:$AF$993,"&gt;"&amp;($B$1-30))</f>
        <v>0</v>
      </c>
      <c r="H273">
        <f>COUNTIFS(Visits!$E$2:$E$993,$A273,Visits!$AF$2:$AF$993,"&gt;"&amp;($B$1-60))-G273</f>
        <v>0</v>
      </c>
      <c r="I273">
        <f>COUNTIFS(Visits!$AG:$AG,'New Dashboard'!$A$22,Visits!$E:$E,'User Engagement'!$A273)</f>
        <v>0</v>
      </c>
      <c r="J273">
        <f>COUNTIFS(Visits!$AG:$AG,'New Dashboard'!$A$23,Visits!$E:$E,'User Engagement'!$A273)</f>
        <v>0</v>
      </c>
      <c r="K273">
        <f>COUNTIFS(Visits!$AG:$AG,'New Dashboard'!$A$24,Visits!$E:$E,'User Engagement'!$A273)</f>
        <v>0</v>
      </c>
      <c r="L273">
        <f>COUNTIFS(Visits!$AG:$AG,'New Dashboard'!$A$25,Visits!$E:$E,'User Engagement'!$A273)</f>
        <v>0</v>
      </c>
      <c r="M273">
        <f t="shared" si="29"/>
        <v>1</v>
      </c>
      <c r="N273">
        <f t="shared" si="30"/>
        <v>0</v>
      </c>
      <c r="O273">
        <f t="shared" si="30"/>
        <v>0</v>
      </c>
      <c r="P273">
        <f t="shared" si="26"/>
        <v>0</v>
      </c>
      <c r="Q273" s="4">
        <f>SUMIF(Visits!$E$2:$E$90,'User Engagement'!$A273,Visits!$T$2:$T$90)</f>
        <v>0</v>
      </c>
      <c r="R273" s="4">
        <f>SUMIFS(Visits!$T$2:$T$90,Visits!$E$2:$E$90,'User Engagement'!$A273,Visits!$AF$2:$AF$90,"&gt;3/28/24")</f>
        <v>0</v>
      </c>
      <c r="S273" s="13" t="e">
        <f t="shared" si="27"/>
        <v>#DIV/0!</v>
      </c>
      <c r="T273" s="13" t="str">
        <f t="shared" si="28"/>
        <v>n/a</v>
      </c>
    </row>
    <row r="274" spans="1:20" ht="15.95">
      <c r="A274">
        <f>Users!A271</f>
        <v>0</v>
      </c>
      <c r="B274" s="23"/>
      <c r="C274" s="23"/>
      <c r="D274" s="1" cm="1">
        <f t="array" ref="D274">MAX(_xlfn._xlws.FILTER(Visits!AF:AF,Visits!E:E='User Engagement'!A274))</f>
        <v>45434</v>
      </c>
      <c r="E274">
        <f>COUNTIF(Visits!$E$2:$E$993,'User Engagement'!$A274)</f>
        <v>0</v>
      </c>
      <c r="F274">
        <f>COUNTIFS(Visits!$E$2:$E$993,'User Engagement'!$A275,Visits!$AF$2:$AF$993,"&gt;"&amp;($B$1-7))</f>
        <v>0</v>
      </c>
      <c r="G274">
        <f>COUNTIFS(Visits!$E$2:$E$993,'User Engagement'!$A274,Visits!$AF$2:$AF$993,"&gt;"&amp;($B$1-30))</f>
        <v>0</v>
      </c>
      <c r="H274">
        <f>COUNTIFS(Visits!$E$2:$E$993,$A274,Visits!$AF$2:$AF$993,"&gt;"&amp;($B$1-60))-G274</f>
        <v>0</v>
      </c>
      <c r="I274">
        <f>COUNTIFS(Visits!$AG:$AG,'New Dashboard'!$A$22,Visits!$E:$E,'User Engagement'!$A274)</f>
        <v>0</v>
      </c>
      <c r="J274">
        <f>COUNTIFS(Visits!$AG:$AG,'New Dashboard'!$A$23,Visits!$E:$E,'User Engagement'!$A274)</f>
        <v>0</v>
      </c>
      <c r="K274">
        <f>COUNTIFS(Visits!$AG:$AG,'New Dashboard'!$A$24,Visits!$E:$E,'User Engagement'!$A274)</f>
        <v>0</v>
      </c>
      <c r="L274">
        <f>COUNTIFS(Visits!$AG:$AG,'New Dashboard'!$A$25,Visits!$E:$E,'User Engagement'!$A274)</f>
        <v>0</v>
      </c>
      <c r="M274">
        <f t="shared" si="29"/>
        <v>1</v>
      </c>
      <c r="N274">
        <f t="shared" si="30"/>
        <v>0</v>
      </c>
      <c r="O274">
        <f t="shared" si="30"/>
        <v>0</v>
      </c>
      <c r="P274">
        <f t="shared" si="26"/>
        <v>0</v>
      </c>
      <c r="Q274" s="4">
        <f>SUMIF(Visits!$E$2:$E$90,'User Engagement'!$A274,Visits!$T$2:$T$90)</f>
        <v>0</v>
      </c>
      <c r="R274" s="4">
        <f>SUMIFS(Visits!$T$2:$T$90,Visits!$E$2:$E$90,'User Engagement'!$A274,Visits!$AF$2:$AF$90,"&gt;3/28/24")</f>
        <v>0</v>
      </c>
      <c r="S274" s="13" t="e">
        <f t="shared" si="27"/>
        <v>#DIV/0!</v>
      </c>
      <c r="T274" s="13" t="str">
        <f t="shared" si="28"/>
        <v>n/a</v>
      </c>
    </row>
    <row r="275" spans="1:20" ht="15.95">
      <c r="A275">
        <f>Users!A272</f>
        <v>0</v>
      </c>
      <c r="B275" s="23"/>
      <c r="C275" s="23"/>
      <c r="D275" s="1" cm="1">
        <f t="array" ref="D275">MAX(_xlfn._xlws.FILTER(Visits!AF:AF,Visits!E:E='User Engagement'!A275))</f>
        <v>45434</v>
      </c>
      <c r="E275">
        <f>COUNTIF(Visits!$E$2:$E$993,'User Engagement'!$A275)</f>
        <v>0</v>
      </c>
      <c r="F275">
        <f>COUNTIFS(Visits!$E$2:$E$993,'User Engagement'!$A276,Visits!$AF$2:$AF$993,"&gt;"&amp;($B$1-7))</f>
        <v>0</v>
      </c>
      <c r="G275">
        <f>COUNTIFS(Visits!$E$2:$E$993,'User Engagement'!$A275,Visits!$AF$2:$AF$993,"&gt;"&amp;($B$1-30))</f>
        <v>0</v>
      </c>
      <c r="H275">
        <f>COUNTIFS(Visits!$E$2:$E$993,$A275,Visits!$AF$2:$AF$993,"&gt;"&amp;($B$1-60))-G275</f>
        <v>0</v>
      </c>
      <c r="I275">
        <f>COUNTIFS(Visits!$AG:$AG,'New Dashboard'!$A$22,Visits!$E:$E,'User Engagement'!$A275)</f>
        <v>0</v>
      </c>
      <c r="J275">
        <f>COUNTIFS(Visits!$AG:$AG,'New Dashboard'!$A$23,Visits!$E:$E,'User Engagement'!$A275)</f>
        <v>0</v>
      </c>
      <c r="K275">
        <f>COUNTIFS(Visits!$AG:$AG,'New Dashboard'!$A$24,Visits!$E:$E,'User Engagement'!$A275)</f>
        <v>0</v>
      </c>
      <c r="L275">
        <f>COUNTIFS(Visits!$AG:$AG,'New Dashboard'!$A$25,Visits!$E:$E,'User Engagement'!$A275)</f>
        <v>0</v>
      </c>
      <c r="M275">
        <f t="shared" si="29"/>
        <v>1</v>
      </c>
      <c r="N275">
        <f t="shared" si="30"/>
        <v>0</v>
      </c>
      <c r="O275">
        <f t="shared" si="30"/>
        <v>0</v>
      </c>
      <c r="P275">
        <f t="shared" si="26"/>
        <v>0</v>
      </c>
      <c r="Q275" s="4">
        <f>SUMIF(Visits!$E$2:$E$90,'User Engagement'!$A275,Visits!$T$2:$T$90)</f>
        <v>0</v>
      </c>
      <c r="R275" s="4">
        <f>SUMIFS(Visits!$T$2:$T$90,Visits!$E$2:$E$90,'User Engagement'!$A275,Visits!$AF$2:$AF$90,"&gt;3/28/24")</f>
        <v>0</v>
      </c>
      <c r="S275" s="13" t="e">
        <f t="shared" si="27"/>
        <v>#DIV/0!</v>
      </c>
      <c r="T275" s="13" t="str">
        <f t="shared" si="28"/>
        <v>n/a</v>
      </c>
    </row>
    <row r="276" spans="1:20" ht="15.95">
      <c r="A276">
        <f>Users!A273</f>
        <v>0</v>
      </c>
      <c r="B276" s="23"/>
      <c r="C276" s="23"/>
      <c r="D276" s="1" cm="1">
        <f t="array" ref="D276">MAX(_xlfn._xlws.FILTER(Visits!AF:AF,Visits!E:E='User Engagement'!A276))</f>
        <v>45434</v>
      </c>
      <c r="E276">
        <f>COUNTIF(Visits!$E$2:$E$993,'User Engagement'!$A276)</f>
        <v>0</v>
      </c>
      <c r="F276">
        <f>COUNTIFS(Visits!$E$2:$E$993,'User Engagement'!$A277,Visits!$AF$2:$AF$993,"&gt;"&amp;($B$1-7))</f>
        <v>0</v>
      </c>
      <c r="G276">
        <f>COUNTIFS(Visits!$E$2:$E$993,'User Engagement'!$A276,Visits!$AF$2:$AF$993,"&gt;"&amp;($B$1-30))</f>
        <v>0</v>
      </c>
      <c r="H276">
        <f>COUNTIFS(Visits!$E$2:$E$993,$A276,Visits!$AF$2:$AF$993,"&gt;"&amp;($B$1-60))-G276</f>
        <v>0</v>
      </c>
      <c r="I276">
        <f>COUNTIFS(Visits!$AG:$AG,'New Dashboard'!$A$22,Visits!$E:$E,'User Engagement'!$A276)</f>
        <v>0</v>
      </c>
      <c r="J276">
        <f>COUNTIFS(Visits!$AG:$AG,'New Dashboard'!$A$23,Visits!$E:$E,'User Engagement'!$A276)</f>
        <v>0</v>
      </c>
      <c r="K276">
        <f>COUNTIFS(Visits!$AG:$AG,'New Dashboard'!$A$24,Visits!$E:$E,'User Engagement'!$A276)</f>
        <v>0</v>
      </c>
      <c r="L276">
        <f>COUNTIFS(Visits!$AG:$AG,'New Dashboard'!$A$25,Visits!$E:$E,'User Engagement'!$A276)</f>
        <v>0</v>
      </c>
      <c r="M276">
        <f t="shared" si="29"/>
        <v>1</v>
      </c>
      <c r="N276">
        <f t="shared" si="30"/>
        <v>0</v>
      </c>
      <c r="O276">
        <f t="shared" si="30"/>
        <v>0</v>
      </c>
      <c r="P276">
        <f t="shared" si="26"/>
        <v>0</v>
      </c>
      <c r="Q276" s="4">
        <f>SUMIF(Visits!$E$2:$E$90,'User Engagement'!$A276,Visits!$T$2:$T$90)</f>
        <v>0</v>
      </c>
      <c r="R276" s="4">
        <f>SUMIFS(Visits!$T$2:$T$90,Visits!$E$2:$E$90,'User Engagement'!$A276,Visits!$AF$2:$AF$90,"&gt;3/28/24")</f>
        <v>0</v>
      </c>
      <c r="S276" s="13" t="e">
        <f t="shared" si="27"/>
        <v>#DIV/0!</v>
      </c>
      <c r="T276" s="13" t="str">
        <f t="shared" si="28"/>
        <v>n/a</v>
      </c>
    </row>
    <row r="277" spans="1:20" ht="15.95">
      <c r="A277">
        <f>Users!A274</f>
        <v>0</v>
      </c>
      <c r="B277" s="23"/>
      <c r="C277" s="23"/>
      <c r="D277" s="1" cm="1">
        <f t="array" ref="D277">MAX(_xlfn._xlws.FILTER(Visits!AF:AF,Visits!E:E='User Engagement'!A277))</f>
        <v>45434</v>
      </c>
      <c r="E277">
        <f>COUNTIF(Visits!$E$2:$E$993,'User Engagement'!$A277)</f>
        <v>0</v>
      </c>
      <c r="F277">
        <f>COUNTIFS(Visits!$E$2:$E$993,'User Engagement'!$A278,Visits!$AF$2:$AF$993,"&gt;"&amp;($B$1-7))</f>
        <v>0</v>
      </c>
      <c r="G277">
        <f>COUNTIFS(Visits!$E$2:$E$993,'User Engagement'!$A277,Visits!$AF$2:$AF$993,"&gt;"&amp;($B$1-30))</f>
        <v>0</v>
      </c>
      <c r="H277">
        <f>COUNTIFS(Visits!$E$2:$E$993,$A277,Visits!$AF$2:$AF$993,"&gt;"&amp;($B$1-60))-G277</f>
        <v>0</v>
      </c>
      <c r="I277">
        <f>COUNTIFS(Visits!$AG:$AG,'New Dashboard'!$A$22,Visits!$E:$E,'User Engagement'!$A277)</f>
        <v>0</v>
      </c>
      <c r="J277">
        <f>COUNTIFS(Visits!$AG:$AG,'New Dashboard'!$A$23,Visits!$E:$E,'User Engagement'!$A277)</f>
        <v>0</v>
      </c>
      <c r="K277">
        <f>COUNTIFS(Visits!$AG:$AG,'New Dashboard'!$A$24,Visits!$E:$E,'User Engagement'!$A277)</f>
        <v>0</v>
      </c>
      <c r="L277">
        <f>COUNTIFS(Visits!$AG:$AG,'New Dashboard'!$A$25,Visits!$E:$E,'User Engagement'!$A277)</f>
        <v>0</v>
      </c>
      <c r="M277">
        <f t="shared" si="29"/>
        <v>1</v>
      </c>
      <c r="N277">
        <f t="shared" si="30"/>
        <v>0</v>
      </c>
      <c r="O277">
        <f t="shared" si="30"/>
        <v>0</v>
      </c>
      <c r="P277">
        <f t="shared" si="26"/>
        <v>0</v>
      </c>
      <c r="Q277" s="4">
        <f>SUMIF(Visits!$E$2:$E$90,'User Engagement'!$A277,Visits!$T$2:$T$90)</f>
        <v>0</v>
      </c>
      <c r="R277" s="4">
        <f>SUMIFS(Visits!$T$2:$T$90,Visits!$E$2:$E$90,'User Engagement'!$A277,Visits!$AF$2:$AF$90,"&gt;3/28/24")</f>
        <v>0</v>
      </c>
      <c r="S277" s="13" t="e">
        <f t="shared" si="27"/>
        <v>#DIV/0!</v>
      </c>
      <c r="T277" s="13" t="str">
        <f t="shared" si="28"/>
        <v>n/a</v>
      </c>
    </row>
    <row r="278" spans="1:20" ht="15.95">
      <c r="A278">
        <f>Users!A275</f>
        <v>0</v>
      </c>
      <c r="B278" s="23"/>
      <c r="C278" s="23"/>
      <c r="D278" s="1" cm="1">
        <f t="array" ref="D278">MAX(_xlfn._xlws.FILTER(Visits!AF:AF,Visits!E:E='User Engagement'!A278))</f>
        <v>45434</v>
      </c>
      <c r="E278">
        <f>COUNTIF(Visits!$E$2:$E$993,'User Engagement'!$A278)</f>
        <v>0</v>
      </c>
      <c r="F278">
        <f>COUNTIFS(Visits!$E$2:$E$993,'User Engagement'!$A279,Visits!$AF$2:$AF$993,"&gt;"&amp;($B$1-7))</f>
        <v>0</v>
      </c>
      <c r="G278">
        <f>COUNTIFS(Visits!$E$2:$E$993,'User Engagement'!$A278,Visits!$AF$2:$AF$993,"&gt;"&amp;($B$1-30))</f>
        <v>0</v>
      </c>
      <c r="H278">
        <f>COUNTIFS(Visits!$E$2:$E$993,$A278,Visits!$AF$2:$AF$993,"&gt;"&amp;($B$1-60))-G278</f>
        <v>0</v>
      </c>
      <c r="I278">
        <f>COUNTIFS(Visits!$AG:$AG,'New Dashboard'!$A$22,Visits!$E:$E,'User Engagement'!$A278)</f>
        <v>0</v>
      </c>
      <c r="J278">
        <f>COUNTIFS(Visits!$AG:$AG,'New Dashboard'!$A$23,Visits!$E:$E,'User Engagement'!$A278)</f>
        <v>0</v>
      </c>
      <c r="K278">
        <f>COUNTIFS(Visits!$AG:$AG,'New Dashboard'!$A$24,Visits!$E:$E,'User Engagement'!$A278)</f>
        <v>0</v>
      </c>
      <c r="L278">
        <f>COUNTIFS(Visits!$AG:$AG,'New Dashboard'!$A$25,Visits!$E:$E,'User Engagement'!$A278)</f>
        <v>0</v>
      </c>
      <c r="M278">
        <f t="shared" si="29"/>
        <v>1</v>
      </c>
      <c r="N278">
        <f t="shared" si="30"/>
        <v>0</v>
      </c>
      <c r="O278">
        <f t="shared" si="30"/>
        <v>0</v>
      </c>
      <c r="P278">
        <f t="shared" si="26"/>
        <v>0</v>
      </c>
      <c r="Q278" s="4">
        <f>SUMIF(Visits!$E$2:$E$90,'User Engagement'!$A278,Visits!$T$2:$T$90)</f>
        <v>0</v>
      </c>
      <c r="R278" s="4">
        <f>SUMIFS(Visits!$T$2:$T$90,Visits!$E$2:$E$90,'User Engagement'!$A278,Visits!$AF$2:$AF$90,"&gt;3/28/24")</f>
        <v>0</v>
      </c>
      <c r="S278" s="13" t="e">
        <f t="shared" si="27"/>
        <v>#DIV/0!</v>
      </c>
      <c r="T278" s="13" t="str">
        <f t="shared" si="28"/>
        <v>n/a</v>
      </c>
    </row>
    <row r="279" spans="1:20" ht="15.95">
      <c r="A279">
        <f>Users!A276</f>
        <v>0</v>
      </c>
      <c r="B279" s="23"/>
      <c r="C279" s="23"/>
      <c r="D279" s="1" cm="1">
        <f t="array" ref="D279">MAX(_xlfn._xlws.FILTER(Visits!AF:AF,Visits!E:E='User Engagement'!A279))</f>
        <v>45434</v>
      </c>
      <c r="E279">
        <f>COUNTIF(Visits!$E$2:$E$993,'User Engagement'!$A279)</f>
        <v>0</v>
      </c>
      <c r="F279">
        <f>COUNTIFS(Visits!$E$2:$E$993,'User Engagement'!$A280,Visits!$AF$2:$AF$993,"&gt;"&amp;($B$1-7))</f>
        <v>0</v>
      </c>
      <c r="G279">
        <f>COUNTIFS(Visits!$E$2:$E$993,'User Engagement'!$A279,Visits!$AF$2:$AF$993,"&gt;"&amp;($B$1-30))</f>
        <v>0</v>
      </c>
      <c r="H279">
        <f>COUNTIFS(Visits!$E$2:$E$993,$A279,Visits!$AF$2:$AF$993,"&gt;"&amp;($B$1-60))-G279</f>
        <v>0</v>
      </c>
      <c r="I279">
        <f>COUNTIFS(Visits!$AG:$AG,'New Dashboard'!$A$22,Visits!$E:$E,'User Engagement'!$A279)</f>
        <v>0</v>
      </c>
      <c r="J279">
        <f>COUNTIFS(Visits!$AG:$AG,'New Dashboard'!$A$23,Visits!$E:$E,'User Engagement'!$A279)</f>
        <v>0</v>
      </c>
      <c r="K279">
        <f>COUNTIFS(Visits!$AG:$AG,'New Dashboard'!$A$24,Visits!$E:$E,'User Engagement'!$A279)</f>
        <v>0</v>
      </c>
      <c r="L279">
        <f>COUNTIFS(Visits!$AG:$AG,'New Dashboard'!$A$25,Visits!$E:$E,'User Engagement'!$A279)</f>
        <v>0</v>
      </c>
      <c r="M279">
        <f t="shared" si="29"/>
        <v>1</v>
      </c>
      <c r="N279">
        <f t="shared" si="30"/>
        <v>0</v>
      </c>
      <c r="O279">
        <f t="shared" si="30"/>
        <v>0</v>
      </c>
      <c r="P279">
        <f t="shared" si="26"/>
        <v>0</v>
      </c>
      <c r="Q279" s="4">
        <f>SUMIF(Visits!$E$2:$E$90,'User Engagement'!$A279,Visits!$T$2:$T$90)</f>
        <v>0</v>
      </c>
      <c r="R279" s="4">
        <f>SUMIFS(Visits!$T$2:$T$90,Visits!$E$2:$E$90,'User Engagement'!$A279,Visits!$AF$2:$AF$90,"&gt;3/28/24")</f>
        <v>0</v>
      </c>
      <c r="S279" s="13" t="e">
        <f t="shared" si="27"/>
        <v>#DIV/0!</v>
      </c>
      <c r="T279" s="13" t="str">
        <f t="shared" si="28"/>
        <v>n/a</v>
      </c>
    </row>
    <row r="280" spans="1:20" ht="15.95">
      <c r="A280">
        <f>Users!A277</f>
        <v>0</v>
      </c>
      <c r="B280" s="23"/>
      <c r="C280" s="23"/>
      <c r="D280" s="1" cm="1">
        <f t="array" ref="D280">MAX(_xlfn._xlws.FILTER(Visits!AF:AF,Visits!E:E='User Engagement'!A280))</f>
        <v>45434</v>
      </c>
      <c r="E280">
        <f>COUNTIF(Visits!$E$2:$E$993,'User Engagement'!$A280)</f>
        <v>0</v>
      </c>
      <c r="F280">
        <f>COUNTIFS(Visits!$E$2:$E$993,'User Engagement'!$A281,Visits!$AF$2:$AF$993,"&gt;"&amp;($B$1-7))</f>
        <v>0</v>
      </c>
      <c r="G280">
        <f>COUNTIFS(Visits!$E$2:$E$993,'User Engagement'!$A280,Visits!$AF$2:$AF$993,"&gt;"&amp;($B$1-30))</f>
        <v>0</v>
      </c>
      <c r="H280">
        <f>COUNTIFS(Visits!$E$2:$E$993,$A280,Visits!$AF$2:$AF$993,"&gt;"&amp;($B$1-60))-G280</f>
        <v>0</v>
      </c>
      <c r="I280">
        <f>COUNTIFS(Visits!$AG:$AG,'New Dashboard'!$A$22,Visits!$E:$E,'User Engagement'!$A280)</f>
        <v>0</v>
      </c>
      <c r="J280">
        <f>COUNTIFS(Visits!$AG:$AG,'New Dashboard'!$A$23,Visits!$E:$E,'User Engagement'!$A280)</f>
        <v>0</v>
      </c>
      <c r="K280">
        <f>COUNTIFS(Visits!$AG:$AG,'New Dashboard'!$A$24,Visits!$E:$E,'User Engagement'!$A280)</f>
        <v>0</v>
      </c>
      <c r="L280">
        <f>COUNTIFS(Visits!$AG:$AG,'New Dashboard'!$A$25,Visits!$E:$E,'User Engagement'!$A280)</f>
        <v>0</v>
      </c>
      <c r="M280">
        <f t="shared" si="29"/>
        <v>1</v>
      </c>
      <c r="N280">
        <f t="shared" si="30"/>
        <v>0</v>
      </c>
      <c r="O280">
        <f t="shared" si="30"/>
        <v>0</v>
      </c>
      <c r="P280">
        <f t="shared" si="26"/>
        <v>0</v>
      </c>
      <c r="Q280" s="4">
        <f>SUMIF(Visits!$E$2:$E$90,'User Engagement'!$A280,Visits!$T$2:$T$90)</f>
        <v>0</v>
      </c>
      <c r="R280" s="4">
        <f>SUMIFS(Visits!$T$2:$T$90,Visits!$E$2:$E$90,'User Engagement'!$A280,Visits!$AF$2:$AF$90,"&gt;3/28/24")</f>
        <v>0</v>
      </c>
      <c r="S280" s="13" t="e">
        <f t="shared" si="27"/>
        <v>#DIV/0!</v>
      </c>
      <c r="T280" s="13" t="str">
        <f t="shared" si="28"/>
        <v>n/a</v>
      </c>
    </row>
    <row r="281" spans="1:20" ht="15.95">
      <c r="A281">
        <f>Users!A278</f>
        <v>0</v>
      </c>
      <c r="B281" s="23"/>
      <c r="C281" s="23"/>
      <c r="D281" s="1" cm="1">
        <f t="array" ref="D281">MAX(_xlfn._xlws.FILTER(Visits!AF:AF,Visits!E:E='User Engagement'!A281))</f>
        <v>45434</v>
      </c>
      <c r="E281">
        <f>COUNTIF(Visits!$E$2:$E$993,'User Engagement'!$A281)</f>
        <v>0</v>
      </c>
      <c r="F281">
        <f>COUNTIFS(Visits!$E$2:$E$993,'User Engagement'!$A282,Visits!$AF$2:$AF$993,"&gt;"&amp;($B$1-7))</f>
        <v>0</v>
      </c>
      <c r="G281">
        <f>COUNTIFS(Visits!$E$2:$E$993,'User Engagement'!$A281,Visits!$AF$2:$AF$993,"&gt;"&amp;($B$1-30))</f>
        <v>0</v>
      </c>
      <c r="H281">
        <f>COUNTIFS(Visits!$E$2:$E$993,$A281,Visits!$AF$2:$AF$993,"&gt;"&amp;($B$1-60))-G281</f>
        <v>0</v>
      </c>
      <c r="I281">
        <f>COUNTIFS(Visits!$AG:$AG,'New Dashboard'!$A$22,Visits!$E:$E,'User Engagement'!$A281)</f>
        <v>0</v>
      </c>
      <c r="J281">
        <f>COUNTIFS(Visits!$AG:$AG,'New Dashboard'!$A$23,Visits!$E:$E,'User Engagement'!$A281)</f>
        <v>0</v>
      </c>
      <c r="K281">
        <f>COUNTIFS(Visits!$AG:$AG,'New Dashboard'!$A$24,Visits!$E:$E,'User Engagement'!$A281)</f>
        <v>0</v>
      </c>
      <c r="L281">
        <f>COUNTIFS(Visits!$AG:$AG,'New Dashboard'!$A$25,Visits!$E:$E,'User Engagement'!$A281)</f>
        <v>0</v>
      </c>
      <c r="M281">
        <f t="shared" si="29"/>
        <v>1</v>
      </c>
      <c r="N281">
        <f t="shared" si="30"/>
        <v>0</v>
      </c>
      <c r="O281">
        <f t="shared" si="30"/>
        <v>0</v>
      </c>
      <c r="P281">
        <f t="shared" si="26"/>
        <v>0</v>
      </c>
      <c r="Q281" s="4">
        <f>SUMIF(Visits!$E$2:$E$90,'User Engagement'!$A281,Visits!$T$2:$T$90)</f>
        <v>0</v>
      </c>
      <c r="R281" s="4">
        <f>SUMIFS(Visits!$T$2:$T$90,Visits!$E$2:$E$90,'User Engagement'!$A281,Visits!$AF$2:$AF$90,"&gt;3/28/24")</f>
        <v>0</v>
      </c>
      <c r="S281" s="13" t="e">
        <f t="shared" si="27"/>
        <v>#DIV/0!</v>
      </c>
      <c r="T281" s="13" t="str">
        <f t="shared" si="28"/>
        <v>n/a</v>
      </c>
    </row>
    <row r="282" spans="1:20" ht="15.95">
      <c r="A282">
        <f>Users!A279</f>
        <v>0</v>
      </c>
      <c r="B282" s="23"/>
      <c r="C282" s="23"/>
      <c r="D282" s="1" cm="1">
        <f t="array" ref="D282">MAX(_xlfn._xlws.FILTER(Visits!AF:AF,Visits!E:E='User Engagement'!A282))</f>
        <v>45434</v>
      </c>
      <c r="E282">
        <f>COUNTIF(Visits!$E$2:$E$993,'User Engagement'!$A282)</f>
        <v>0</v>
      </c>
      <c r="F282">
        <f>COUNTIFS(Visits!$E$2:$E$993,'User Engagement'!$A283,Visits!$AF$2:$AF$993,"&gt;"&amp;($B$1-7))</f>
        <v>0</v>
      </c>
      <c r="G282">
        <f>COUNTIFS(Visits!$E$2:$E$993,'User Engagement'!$A282,Visits!$AF$2:$AF$993,"&gt;"&amp;($B$1-30))</f>
        <v>0</v>
      </c>
      <c r="H282">
        <f>COUNTIFS(Visits!$E$2:$E$993,$A282,Visits!$AF$2:$AF$993,"&gt;"&amp;($B$1-60))-G282</f>
        <v>0</v>
      </c>
      <c r="I282">
        <f>COUNTIFS(Visits!$AG:$AG,'New Dashboard'!$A$22,Visits!$E:$E,'User Engagement'!$A282)</f>
        <v>0</v>
      </c>
      <c r="J282">
        <f>COUNTIFS(Visits!$AG:$AG,'New Dashboard'!$A$23,Visits!$E:$E,'User Engagement'!$A282)</f>
        <v>0</v>
      </c>
      <c r="K282">
        <f>COUNTIFS(Visits!$AG:$AG,'New Dashboard'!$A$24,Visits!$E:$E,'User Engagement'!$A282)</f>
        <v>0</v>
      </c>
      <c r="L282">
        <f>COUNTIFS(Visits!$AG:$AG,'New Dashboard'!$A$25,Visits!$E:$E,'User Engagement'!$A282)</f>
        <v>0</v>
      </c>
      <c r="M282">
        <f t="shared" si="29"/>
        <v>1</v>
      </c>
      <c r="N282">
        <f t="shared" si="30"/>
        <v>0</v>
      </c>
      <c r="O282">
        <f t="shared" si="30"/>
        <v>0</v>
      </c>
      <c r="P282">
        <f t="shared" si="26"/>
        <v>0</v>
      </c>
      <c r="Q282" s="4">
        <f>SUMIF(Visits!$E$2:$E$90,'User Engagement'!$A282,Visits!$T$2:$T$90)</f>
        <v>0</v>
      </c>
      <c r="R282" s="4">
        <f>SUMIFS(Visits!$T$2:$T$90,Visits!$E$2:$E$90,'User Engagement'!$A282,Visits!$AF$2:$AF$90,"&gt;3/28/24")</f>
        <v>0</v>
      </c>
      <c r="S282" s="13" t="e">
        <f t="shared" si="27"/>
        <v>#DIV/0!</v>
      </c>
      <c r="T282" s="13" t="str">
        <f t="shared" si="28"/>
        <v>n/a</v>
      </c>
    </row>
    <row r="283" spans="1:20" ht="15.95">
      <c r="A283">
        <f>Users!A280</f>
        <v>0</v>
      </c>
      <c r="B283" s="23"/>
      <c r="C283" s="23"/>
      <c r="D283" s="1" cm="1">
        <f t="array" ref="D283">MAX(_xlfn._xlws.FILTER(Visits!AF:AF,Visits!E:E='User Engagement'!A283))</f>
        <v>45434</v>
      </c>
      <c r="E283">
        <f>COUNTIF(Visits!$E$2:$E$993,'User Engagement'!$A283)</f>
        <v>0</v>
      </c>
      <c r="F283">
        <f>COUNTIFS(Visits!$E$2:$E$993,'User Engagement'!$A284,Visits!$AF$2:$AF$993,"&gt;"&amp;($B$1-7))</f>
        <v>0</v>
      </c>
      <c r="G283">
        <f>COUNTIFS(Visits!$E$2:$E$993,'User Engagement'!$A283,Visits!$AF$2:$AF$993,"&gt;"&amp;($B$1-30))</f>
        <v>0</v>
      </c>
      <c r="H283">
        <f>COUNTIFS(Visits!$E$2:$E$993,$A283,Visits!$AF$2:$AF$993,"&gt;"&amp;($B$1-60))-G283</f>
        <v>0</v>
      </c>
      <c r="I283">
        <f>COUNTIFS(Visits!$AG:$AG,'New Dashboard'!$A$22,Visits!$E:$E,'User Engagement'!$A283)</f>
        <v>0</v>
      </c>
      <c r="J283">
        <f>COUNTIFS(Visits!$AG:$AG,'New Dashboard'!$A$23,Visits!$E:$E,'User Engagement'!$A283)</f>
        <v>0</v>
      </c>
      <c r="K283">
        <f>COUNTIFS(Visits!$AG:$AG,'New Dashboard'!$A$24,Visits!$E:$E,'User Engagement'!$A283)</f>
        <v>0</v>
      </c>
      <c r="L283">
        <f>COUNTIFS(Visits!$AG:$AG,'New Dashboard'!$A$25,Visits!$E:$E,'User Engagement'!$A283)</f>
        <v>0</v>
      </c>
      <c r="M283">
        <f t="shared" si="29"/>
        <v>1</v>
      </c>
      <c r="N283">
        <f t="shared" si="30"/>
        <v>0</v>
      </c>
      <c r="O283">
        <f t="shared" si="30"/>
        <v>0</v>
      </c>
      <c r="P283">
        <f t="shared" si="26"/>
        <v>0</v>
      </c>
      <c r="Q283" s="4">
        <f>SUMIF(Visits!$E$2:$E$90,'User Engagement'!$A283,Visits!$T$2:$T$90)</f>
        <v>0</v>
      </c>
      <c r="R283" s="4">
        <f>SUMIFS(Visits!$T$2:$T$90,Visits!$E$2:$E$90,'User Engagement'!$A283,Visits!$AF$2:$AF$90,"&gt;3/28/24")</f>
        <v>0</v>
      </c>
      <c r="S283" s="13" t="e">
        <f t="shared" si="27"/>
        <v>#DIV/0!</v>
      </c>
      <c r="T283" s="13" t="str">
        <f t="shared" si="28"/>
        <v>n/a</v>
      </c>
    </row>
    <row r="284" spans="1:20" ht="15.95">
      <c r="A284">
        <f>Users!A281</f>
        <v>0</v>
      </c>
      <c r="B284" s="23"/>
      <c r="C284" s="23"/>
      <c r="D284" s="1" cm="1">
        <f t="array" ref="D284">MAX(_xlfn._xlws.FILTER(Visits!AF:AF,Visits!E:E='User Engagement'!A284))</f>
        <v>45434</v>
      </c>
      <c r="E284">
        <f>COUNTIF(Visits!$E$2:$E$993,'User Engagement'!$A284)</f>
        <v>0</v>
      </c>
      <c r="F284">
        <f>COUNTIFS(Visits!$E$2:$E$993,'User Engagement'!$A285,Visits!$AF$2:$AF$993,"&gt;"&amp;($B$1-7))</f>
        <v>0</v>
      </c>
      <c r="G284">
        <f>COUNTIFS(Visits!$E$2:$E$993,'User Engagement'!$A284,Visits!$AF$2:$AF$993,"&gt;"&amp;($B$1-30))</f>
        <v>0</v>
      </c>
      <c r="H284">
        <f>COUNTIFS(Visits!$E$2:$E$993,$A284,Visits!$AF$2:$AF$993,"&gt;"&amp;($B$1-60))-G284</f>
        <v>0</v>
      </c>
      <c r="I284">
        <f>COUNTIFS(Visits!$AG:$AG,'New Dashboard'!$A$22,Visits!$E:$E,'User Engagement'!$A284)</f>
        <v>0</v>
      </c>
      <c r="J284">
        <f>COUNTIFS(Visits!$AG:$AG,'New Dashboard'!$A$23,Visits!$E:$E,'User Engagement'!$A284)</f>
        <v>0</v>
      </c>
      <c r="K284">
        <f>COUNTIFS(Visits!$AG:$AG,'New Dashboard'!$A$24,Visits!$E:$E,'User Engagement'!$A284)</f>
        <v>0</v>
      </c>
      <c r="L284">
        <f>COUNTIFS(Visits!$AG:$AG,'New Dashboard'!$A$25,Visits!$E:$E,'User Engagement'!$A284)</f>
        <v>0</v>
      </c>
      <c r="M284">
        <f t="shared" si="29"/>
        <v>1</v>
      </c>
      <c r="N284">
        <f t="shared" si="30"/>
        <v>0</v>
      </c>
      <c r="O284">
        <f t="shared" si="30"/>
        <v>0</v>
      </c>
      <c r="P284">
        <f t="shared" si="26"/>
        <v>0</v>
      </c>
      <c r="Q284" s="4">
        <f>SUMIF(Visits!$E$2:$E$90,'User Engagement'!$A284,Visits!$T$2:$T$90)</f>
        <v>0</v>
      </c>
      <c r="R284" s="4">
        <f>SUMIFS(Visits!$T$2:$T$90,Visits!$E$2:$E$90,'User Engagement'!$A284,Visits!$AF$2:$AF$90,"&gt;3/28/24")</f>
        <v>0</v>
      </c>
      <c r="S284" s="13" t="e">
        <f t="shared" si="27"/>
        <v>#DIV/0!</v>
      </c>
      <c r="T284" s="13" t="str">
        <f t="shared" si="28"/>
        <v>n/a</v>
      </c>
    </row>
    <row r="285" spans="1:20" ht="15.95">
      <c r="A285">
        <f>Users!A282</f>
        <v>0</v>
      </c>
      <c r="B285" s="23"/>
      <c r="C285" s="23"/>
      <c r="D285" s="1" cm="1">
        <f t="array" ref="D285">MAX(_xlfn._xlws.FILTER(Visits!AF:AF,Visits!E:E='User Engagement'!A285))</f>
        <v>45434</v>
      </c>
      <c r="E285">
        <f>COUNTIF(Visits!$E$2:$E$993,'User Engagement'!$A285)</f>
        <v>0</v>
      </c>
      <c r="F285">
        <f>COUNTIFS(Visits!$E$2:$E$993,'User Engagement'!$A286,Visits!$AF$2:$AF$993,"&gt;"&amp;($B$1-7))</f>
        <v>0</v>
      </c>
      <c r="G285">
        <f>COUNTIFS(Visits!$E$2:$E$993,'User Engagement'!$A285,Visits!$AF$2:$AF$993,"&gt;"&amp;($B$1-30))</f>
        <v>0</v>
      </c>
      <c r="H285">
        <f>COUNTIFS(Visits!$E$2:$E$993,$A285,Visits!$AF$2:$AF$993,"&gt;"&amp;($B$1-60))-G285</f>
        <v>0</v>
      </c>
      <c r="I285">
        <f>COUNTIFS(Visits!$AG:$AG,'New Dashboard'!$A$22,Visits!$E:$E,'User Engagement'!$A285)</f>
        <v>0</v>
      </c>
      <c r="J285">
        <f>COUNTIFS(Visits!$AG:$AG,'New Dashboard'!$A$23,Visits!$E:$E,'User Engagement'!$A285)</f>
        <v>0</v>
      </c>
      <c r="K285">
        <f>COUNTIFS(Visits!$AG:$AG,'New Dashboard'!$A$24,Visits!$E:$E,'User Engagement'!$A285)</f>
        <v>0</v>
      </c>
      <c r="L285">
        <f>COUNTIFS(Visits!$AG:$AG,'New Dashboard'!$A$25,Visits!$E:$E,'User Engagement'!$A285)</f>
        <v>0</v>
      </c>
      <c r="M285">
        <f t="shared" si="29"/>
        <v>1</v>
      </c>
      <c r="N285">
        <f t="shared" si="30"/>
        <v>0</v>
      </c>
      <c r="O285">
        <f t="shared" si="30"/>
        <v>0</v>
      </c>
      <c r="P285">
        <f t="shared" si="26"/>
        <v>0</v>
      </c>
      <c r="Q285" s="4">
        <f>SUMIF(Visits!$E$2:$E$90,'User Engagement'!$A285,Visits!$T$2:$T$90)</f>
        <v>0</v>
      </c>
      <c r="R285" s="4">
        <f>SUMIFS(Visits!$T$2:$T$90,Visits!$E$2:$E$90,'User Engagement'!$A285,Visits!$AF$2:$AF$90,"&gt;3/28/24")</f>
        <v>0</v>
      </c>
      <c r="S285" s="13" t="e">
        <f t="shared" si="27"/>
        <v>#DIV/0!</v>
      </c>
      <c r="T285" s="13" t="str">
        <f t="shared" si="28"/>
        <v>n/a</v>
      </c>
    </row>
    <row r="286" spans="1:20" ht="15.95">
      <c r="A286">
        <f>Users!A283</f>
        <v>0</v>
      </c>
      <c r="B286" s="23"/>
      <c r="C286" s="23"/>
      <c r="D286" s="1" cm="1">
        <f t="array" ref="D286">MAX(_xlfn._xlws.FILTER(Visits!AF:AF,Visits!E:E='User Engagement'!A286))</f>
        <v>45434</v>
      </c>
      <c r="E286">
        <f>COUNTIF(Visits!$E$2:$E$993,'User Engagement'!$A286)</f>
        <v>0</v>
      </c>
      <c r="F286">
        <f>COUNTIFS(Visits!$E$2:$E$993,'User Engagement'!$A287,Visits!$AF$2:$AF$993,"&gt;"&amp;($B$1-7))</f>
        <v>0</v>
      </c>
      <c r="G286">
        <f>COUNTIFS(Visits!$E$2:$E$993,'User Engagement'!$A286,Visits!$AF$2:$AF$993,"&gt;"&amp;($B$1-30))</f>
        <v>0</v>
      </c>
      <c r="H286">
        <f>COUNTIFS(Visits!$E$2:$E$993,$A286,Visits!$AF$2:$AF$993,"&gt;"&amp;($B$1-60))-G286</f>
        <v>0</v>
      </c>
      <c r="I286">
        <f>COUNTIFS(Visits!$AG:$AG,'New Dashboard'!$A$22,Visits!$E:$E,'User Engagement'!$A286)</f>
        <v>0</v>
      </c>
      <c r="J286">
        <f>COUNTIFS(Visits!$AG:$AG,'New Dashboard'!$A$23,Visits!$E:$E,'User Engagement'!$A286)</f>
        <v>0</v>
      </c>
      <c r="K286">
        <f>COUNTIFS(Visits!$AG:$AG,'New Dashboard'!$A$24,Visits!$E:$E,'User Engagement'!$A286)</f>
        <v>0</v>
      </c>
      <c r="L286">
        <f>COUNTIFS(Visits!$AG:$AG,'New Dashboard'!$A$25,Visits!$E:$E,'User Engagement'!$A286)</f>
        <v>0</v>
      </c>
      <c r="M286">
        <f t="shared" si="29"/>
        <v>1</v>
      </c>
      <c r="N286">
        <f t="shared" si="30"/>
        <v>0</v>
      </c>
      <c r="O286">
        <f t="shared" si="30"/>
        <v>0</v>
      </c>
      <c r="P286">
        <f t="shared" si="26"/>
        <v>0</v>
      </c>
      <c r="Q286" s="4">
        <f>SUMIF(Visits!$E$2:$E$90,'User Engagement'!$A286,Visits!$T$2:$T$90)</f>
        <v>0</v>
      </c>
      <c r="R286" s="4">
        <f>SUMIFS(Visits!$T$2:$T$90,Visits!$E$2:$E$90,'User Engagement'!$A286,Visits!$AF$2:$AF$90,"&gt;3/28/24")</f>
        <v>0</v>
      </c>
      <c r="S286" s="13" t="e">
        <f t="shared" si="27"/>
        <v>#DIV/0!</v>
      </c>
      <c r="T286" s="13" t="str">
        <f t="shared" si="28"/>
        <v>n/a</v>
      </c>
    </row>
    <row r="287" spans="1:20" ht="15.95">
      <c r="A287">
        <f>Users!A284</f>
        <v>0</v>
      </c>
      <c r="B287" s="23"/>
      <c r="C287" s="23"/>
      <c r="D287" s="1" cm="1">
        <f t="array" ref="D287">MAX(_xlfn._xlws.FILTER(Visits!AF:AF,Visits!E:E='User Engagement'!A287))</f>
        <v>45434</v>
      </c>
      <c r="E287">
        <f>COUNTIF(Visits!$E$2:$E$993,'User Engagement'!$A287)</f>
        <v>0</v>
      </c>
      <c r="F287">
        <f>COUNTIFS(Visits!$E$2:$E$993,'User Engagement'!$A288,Visits!$AF$2:$AF$993,"&gt;"&amp;($B$1-7))</f>
        <v>0</v>
      </c>
      <c r="G287">
        <f>COUNTIFS(Visits!$E$2:$E$993,'User Engagement'!$A287,Visits!$AF$2:$AF$993,"&gt;"&amp;($B$1-30))</f>
        <v>0</v>
      </c>
      <c r="H287">
        <f>COUNTIFS(Visits!$E$2:$E$993,$A287,Visits!$AF$2:$AF$993,"&gt;"&amp;($B$1-60))-G287</f>
        <v>0</v>
      </c>
      <c r="I287">
        <f>COUNTIFS(Visits!$AG:$AG,'New Dashboard'!$A$22,Visits!$E:$E,'User Engagement'!$A287)</f>
        <v>0</v>
      </c>
      <c r="J287">
        <f>COUNTIFS(Visits!$AG:$AG,'New Dashboard'!$A$23,Visits!$E:$E,'User Engagement'!$A287)</f>
        <v>0</v>
      </c>
      <c r="K287">
        <f>COUNTIFS(Visits!$AG:$AG,'New Dashboard'!$A$24,Visits!$E:$E,'User Engagement'!$A287)</f>
        <v>0</v>
      </c>
      <c r="L287">
        <f>COUNTIFS(Visits!$AG:$AG,'New Dashboard'!$A$25,Visits!$E:$E,'User Engagement'!$A287)</f>
        <v>0</v>
      </c>
      <c r="M287">
        <f t="shared" si="29"/>
        <v>1</v>
      </c>
      <c r="N287">
        <f t="shared" si="30"/>
        <v>0</v>
      </c>
      <c r="O287">
        <f t="shared" si="30"/>
        <v>0</v>
      </c>
      <c r="P287">
        <f t="shared" si="26"/>
        <v>0</v>
      </c>
      <c r="Q287" s="4">
        <f>SUMIF(Visits!$E$2:$E$90,'User Engagement'!$A287,Visits!$T$2:$T$90)</f>
        <v>0</v>
      </c>
      <c r="R287" s="4">
        <f>SUMIFS(Visits!$T$2:$T$90,Visits!$E$2:$E$90,'User Engagement'!$A287,Visits!$AF$2:$AF$90,"&gt;3/28/24")</f>
        <v>0</v>
      </c>
      <c r="S287" s="13" t="e">
        <f t="shared" si="27"/>
        <v>#DIV/0!</v>
      </c>
      <c r="T287" s="13" t="str">
        <f t="shared" si="28"/>
        <v>n/a</v>
      </c>
    </row>
    <row r="288" spans="1:20" ht="15.95">
      <c r="A288">
        <f>Users!A285</f>
        <v>0</v>
      </c>
      <c r="B288" s="23"/>
      <c r="C288" s="23"/>
      <c r="D288" s="1" cm="1">
        <f t="array" ref="D288">MAX(_xlfn._xlws.FILTER(Visits!AF:AF,Visits!E:E='User Engagement'!A288))</f>
        <v>45434</v>
      </c>
      <c r="E288">
        <f>COUNTIF(Visits!$E$2:$E$993,'User Engagement'!$A288)</f>
        <v>0</v>
      </c>
      <c r="F288">
        <f>COUNTIFS(Visits!$E$2:$E$993,'User Engagement'!$A289,Visits!$AF$2:$AF$993,"&gt;"&amp;($B$1-7))</f>
        <v>0</v>
      </c>
      <c r="G288">
        <f>COUNTIFS(Visits!$E$2:$E$993,'User Engagement'!$A288,Visits!$AF$2:$AF$993,"&gt;"&amp;($B$1-30))</f>
        <v>0</v>
      </c>
      <c r="H288">
        <f>COUNTIFS(Visits!$E$2:$E$993,$A288,Visits!$AF$2:$AF$993,"&gt;"&amp;($B$1-60))-G288</f>
        <v>0</v>
      </c>
      <c r="I288">
        <f>COUNTIFS(Visits!$AG:$AG,'New Dashboard'!$A$22,Visits!$E:$E,'User Engagement'!$A288)</f>
        <v>0</v>
      </c>
      <c r="J288">
        <f>COUNTIFS(Visits!$AG:$AG,'New Dashboard'!$A$23,Visits!$E:$E,'User Engagement'!$A288)</f>
        <v>0</v>
      </c>
      <c r="K288">
        <f>COUNTIFS(Visits!$AG:$AG,'New Dashboard'!$A$24,Visits!$E:$E,'User Engagement'!$A288)</f>
        <v>0</v>
      </c>
      <c r="L288">
        <f>COUNTIFS(Visits!$AG:$AG,'New Dashboard'!$A$25,Visits!$E:$E,'User Engagement'!$A288)</f>
        <v>0</v>
      </c>
      <c r="M288">
        <f t="shared" si="29"/>
        <v>1</v>
      </c>
      <c r="N288">
        <f t="shared" si="30"/>
        <v>0</v>
      </c>
      <c r="O288">
        <f t="shared" si="30"/>
        <v>0</v>
      </c>
      <c r="P288">
        <f t="shared" si="26"/>
        <v>0</v>
      </c>
      <c r="Q288" s="4">
        <f>SUMIF(Visits!$E$2:$E$90,'User Engagement'!$A288,Visits!$T$2:$T$90)</f>
        <v>0</v>
      </c>
      <c r="R288" s="4">
        <f>SUMIFS(Visits!$T$2:$T$90,Visits!$E$2:$E$90,'User Engagement'!$A288,Visits!$AF$2:$AF$90,"&gt;3/28/24")</f>
        <v>0</v>
      </c>
      <c r="S288" s="13" t="e">
        <f t="shared" si="27"/>
        <v>#DIV/0!</v>
      </c>
      <c r="T288" s="13" t="str">
        <f t="shared" si="28"/>
        <v>n/a</v>
      </c>
    </row>
    <row r="289" spans="1:20" ht="15.95">
      <c r="A289">
        <f>Users!A286</f>
        <v>0</v>
      </c>
      <c r="B289" s="23"/>
      <c r="C289" s="23"/>
      <c r="D289" s="1" cm="1">
        <f t="array" ref="D289">MAX(_xlfn._xlws.FILTER(Visits!AF:AF,Visits!E:E='User Engagement'!A289))</f>
        <v>45434</v>
      </c>
      <c r="E289">
        <f>COUNTIF(Visits!$E$2:$E$993,'User Engagement'!$A289)</f>
        <v>0</v>
      </c>
      <c r="F289">
        <f>COUNTIFS(Visits!$E$2:$E$993,'User Engagement'!$A290,Visits!$AF$2:$AF$993,"&gt;"&amp;($B$1-7))</f>
        <v>0</v>
      </c>
      <c r="G289">
        <f>COUNTIFS(Visits!$E$2:$E$993,'User Engagement'!$A289,Visits!$AF$2:$AF$993,"&gt;"&amp;($B$1-30))</f>
        <v>0</v>
      </c>
      <c r="H289">
        <f>COUNTIFS(Visits!$E$2:$E$993,$A289,Visits!$AF$2:$AF$993,"&gt;"&amp;($B$1-60))-G289</f>
        <v>0</v>
      </c>
      <c r="I289">
        <f>COUNTIFS(Visits!$AG:$AG,'New Dashboard'!$A$22,Visits!$E:$E,'User Engagement'!$A289)</f>
        <v>0</v>
      </c>
      <c r="J289">
        <f>COUNTIFS(Visits!$AG:$AG,'New Dashboard'!$A$23,Visits!$E:$E,'User Engagement'!$A289)</f>
        <v>0</v>
      </c>
      <c r="K289">
        <f>COUNTIFS(Visits!$AG:$AG,'New Dashboard'!$A$24,Visits!$E:$E,'User Engagement'!$A289)</f>
        <v>0</v>
      </c>
      <c r="L289">
        <f>COUNTIFS(Visits!$AG:$AG,'New Dashboard'!$A$25,Visits!$E:$E,'User Engagement'!$A289)</f>
        <v>0</v>
      </c>
      <c r="M289">
        <f t="shared" si="29"/>
        <v>1</v>
      </c>
      <c r="N289">
        <f t="shared" si="30"/>
        <v>0</v>
      </c>
      <c r="O289">
        <f t="shared" si="30"/>
        <v>0</v>
      </c>
      <c r="P289">
        <f t="shared" si="26"/>
        <v>0</v>
      </c>
      <c r="Q289" s="4">
        <f>SUMIF(Visits!$E$2:$E$90,'User Engagement'!$A289,Visits!$T$2:$T$90)</f>
        <v>0</v>
      </c>
      <c r="R289" s="4">
        <f>SUMIFS(Visits!$T$2:$T$90,Visits!$E$2:$E$90,'User Engagement'!$A289,Visits!$AF$2:$AF$90,"&gt;3/28/24")</f>
        <v>0</v>
      </c>
      <c r="S289" s="13" t="e">
        <f t="shared" si="27"/>
        <v>#DIV/0!</v>
      </c>
      <c r="T289" s="13" t="str">
        <f t="shared" si="28"/>
        <v>n/a</v>
      </c>
    </row>
    <row r="290" spans="1:20" ht="15.95">
      <c r="A290">
        <f>Users!A287</f>
        <v>0</v>
      </c>
      <c r="B290" s="23"/>
      <c r="C290" s="23"/>
      <c r="D290" s="1" cm="1">
        <f t="array" ref="D290">MAX(_xlfn._xlws.FILTER(Visits!AF:AF,Visits!E:E='User Engagement'!A290))</f>
        <v>45434</v>
      </c>
      <c r="E290">
        <f>COUNTIF(Visits!$E$2:$E$993,'User Engagement'!$A290)</f>
        <v>0</v>
      </c>
      <c r="F290">
        <f>COUNTIFS(Visits!$E$2:$E$993,'User Engagement'!$A291,Visits!$AF$2:$AF$993,"&gt;"&amp;($B$1-7))</f>
        <v>0</v>
      </c>
      <c r="G290">
        <f>COUNTIFS(Visits!$E$2:$E$993,'User Engagement'!$A290,Visits!$AF$2:$AF$993,"&gt;"&amp;($B$1-30))</f>
        <v>0</v>
      </c>
      <c r="H290">
        <f>COUNTIFS(Visits!$E$2:$E$993,$A290,Visits!$AF$2:$AF$993,"&gt;"&amp;($B$1-60))-G290</f>
        <v>0</v>
      </c>
      <c r="I290">
        <f>COUNTIFS(Visits!$AG:$AG,'New Dashboard'!$A$22,Visits!$E:$E,'User Engagement'!$A290)</f>
        <v>0</v>
      </c>
      <c r="J290">
        <f>COUNTIFS(Visits!$AG:$AG,'New Dashboard'!$A$23,Visits!$E:$E,'User Engagement'!$A290)</f>
        <v>0</v>
      </c>
      <c r="K290">
        <f>COUNTIFS(Visits!$AG:$AG,'New Dashboard'!$A$24,Visits!$E:$E,'User Engagement'!$A290)</f>
        <v>0</v>
      </c>
      <c r="L290">
        <f>COUNTIFS(Visits!$AG:$AG,'New Dashboard'!$A$25,Visits!$E:$E,'User Engagement'!$A290)</f>
        <v>0</v>
      </c>
      <c r="M290">
        <f t="shared" si="29"/>
        <v>1</v>
      </c>
      <c r="N290">
        <f t="shared" si="30"/>
        <v>0</v>
      </c>
      <c r="O290">
        <f t="shared" si="30"/>
        <v>0</v>
      </c>
      <c r="P290">
        <f t="shared" si="26"/>
        <v>0</v>
      </c>
      <c r="Q290" s="4">
        <f>SUMIF(Visits!$E$2:$E$90,'User Engagement'!$A290,Visits!$T$2:$T$90)</f>
        <v>0</v>
      </c>
      <c r="R290" s="4">
        <f>SUMIFS(Visits!$T$2:$T$90,Visits!$E$2:$E$90,'User Engagement'!$A290,Visits!$AF$2:$AF$90,"&gt;3/28/24")</f>
        <v>0</v>
      </c>
      <c r="S290" s="13" t="e">
        <f t="shared" si="27"/>
        <v>#DIV/0!</v>
      </c>
      <c r="T290" s="13" t="str">
        <f t="shared" si="28"/>
        <v>n/a</v>
      </c>
    </row>
    <row r="291" spans="1:20" ht="15.95">
      <c r="A291">
        <f>Users!A288</f>
        <v>0</v>
      </c>
      <c r="B291" s="23"/>
      <c r="C291" s="23"/>
      <c r="D291" s="1" cm="1">
        <f t="array" ref="D291">MAX(_xlfn._xlws.FILTER(Visits!AF:AF,Visits!E:E='User Engagement'!A291))</f>
        <v>45434</v>
      </c>
      <c r="E291">
        <f>COUNTIF(Visits!$E$2:$E$993,'User Engagement'!$A291)</f>
        <v>0</v>
      </c>
      <c r="F291">
        <f>COUNTIFS(Visits!$E$2:$E$993,'User Engagement'!$A292,Visits!$AF$2:$AF$993,"&gt;"&amp;($B$1-7))</f>
        <v>0</v>
      </c>
      <c r="G291">
        <f>COUNTIFS(Visits!$E$2:$E$993,'User Engagement'!$A291,Visits!$AF$2:$AF$993,"&gt;"&amp;($B$1-30))</f>
        <v>0</v>
      </c>
      <c r="H291">
        <f>COUNTIFS(Visits!$E$2:$E$993,$A291,Visits!$AF$2:$AF$993,"&gt;"&amp;($B$1-60))-G291</f>
        <v>0</v>
      </c>
      <c r="I291">
        <f>COUNTIFS(Visits!$AG:$AG,'New Dashboard'!$A$22,Visits!$E:$E,'User Engagement'!$A291)</f>
        <v>0</v>
      </c>
      <c r="J291">
        <f>COUNTIFS(Visits!$AG:$AG,'New Dashboard'!$A$23,Visits!$E:$E,'User Engagement'!$A291)</f>
        <v>0</v>
      </c>
      <c r="K291">
        <f>COUNTIFS(Visits!$AG:$AG,'New Dashboard'!$A$24,Visits!$E:$E,'User Engagement'!$A291)</f>
        <v>0</v>
      </c>
      <c r="L291">
        <f>COUNTIFS(Visits!$AG:$AG,'New Dashboard'!$A$25,Visits!$E:$E,'User Engagement'!$A291)</f>
        <v>0</v>
      </c>
      <c r="M291">
        <f t="shared" si="29"/>
        <v>1</v>
      </c>
      <c r="N291">
        <f t="shared" si="30"/>
        <v>0</v>
      </c>
      <c r="O291">
        <f t="shared" si="30"/>
        <v>0</v>
      </c>
      <c r="P291">
        <f t="shared" si="26"/>
        <v>0</v>
      </c>
      <c r="Q291" s="4">
        <f>SUMIF(Visits!$E$2:$E$90,'User Engagement'!$A291,Visits!$T$2:$T$90)</f>
        <v>0</v>
      </c>
      <c r="R291" s="4">
        <f>SUMIFS(Visits!$T$2:$T$90,Visits!$E$2:$E$90,'User Engagement'!$A291,Visits!$AF$2:$AF$90,"&gt;3/28/24")</f>
        <v>0</v>
      </c>
      <c r="S291" s="13" t="e">
        <f t="shared" si="27"/>
        <v>#DIV/0!</v>
      </c>
      <c r="T291" s="13" t="str">
        <f t="shared" si="28"/>
        <v>n/a</v>
      </c>
    </row>
    <row r="292" spans="1:20" ht="15.95">
      <c r="A292">
        <f>Users!A289</f>
        <v>0</v>
      </c>
      <c r="B292" s="23"/>
      <c r="C292" s="23"/>
      <c r="D292" s="1" cm="1">
        <f t="array" ref="D292">MAX(_xlfn._xlws.FILTER(Visits!AF:AF,Visits!E:E='User Engagement'!A292))</f>
        <v>45434</v>
      </c>
      <c r="E292">
        <f>COUNTIF(Visits!$E$2:$E$993,'User Engagement'!$A292)</f>
        <v>0</v>
      </c>
      <c r="F292">
        <f>COUNTIFS(Visits!$E$2:$E$993,'User Engagement'!$A293,Visits!$AF$2:$AF$993,"&gt;"&amp;($B$1-7))</f>
        <v>0</v>
      </c>
      <c r="G292">
        <f>COUNTIFS(Visits!$E$2:$E$993,'User Engagement'!$A292,Visits!$AF$2:$AF$993,"&gt;"&amp;($B$1-30))</f>
        <v>0</v>
      </c>
      <c r="H292">
        <f>COUNTIFS(Visits!$E$2:$E$993,$A292,Visits!$AF$2:$AF$993,"&gt;"&amp;($B$1-60))-G292</f>
        <v>0</v>
      </c>
      <c r="I292">
        <f>COUNTIFS(Visits!$AG:$AG,'New Dashboard'!$A$22,Visits!$E:$E,'User Engagement'!$A292)</f>
        <v>0</v>
      </c>
      <c r="J292">
        <f>COUNTIFS(Visits!$AG:$AG,'New Dashboard'!$A$23,Visits!$E:$E,'User Engagement'!$A292)</f>
        <v>0</v>
      </c>
      <c r="K292">
        <f>COUNTIFS(Visits!$AG:$AG,'New Dashboard'!$A$24,Visits!$E:$E,'User Engagement'!$A292)</f>
        <v>0</v>
      </c>
      <c r="L292">
        <f>COUNTIFS(Visits!$AG:$AG,'New Dashboard'!$A$25,Visits!$E:$E,'User Engagement'!$A292)</f>
        <v>0</v>
      </c>
      <c r="M292">
        <f t="shared" si="29"/>
        <v>1</v>
      </c>
      <c r="N292">
        <f t="shared" si="30"/>
        <v>0</v>
      </c>
      <c r="O292">
        <f t="shared" si="30"/>
        <v>0</v>
      </c>
      <c r="P292">
        <f t="shared" si="26"/>
        <v>0</v>
      </c>
      <c r="Q292" s="4">
        <f>SUMIF(Visits!$E$2:$E$90,'User Engagement'!$A292,Visits!$T$2:$T$90)</f>
        <v>0</v>
      </c>
      <c r="R292" s="4">
        <f>SUMIFS(Visits!$T$2:$T$90,Visits!$E$2:$E$90,'User Engagement'!$A292,Visits!$AF$2:$AF$90,"&gt;3/28/24")</f>
        <v>0</v>
      </c>
      <c r="S292" s="13" t="e">
        <f t="shared" si="27"/>
        <v>#DIV/0!</v>
      </c>
      <c r="T292" s="13" t="str">
        <f t="shared" si="28"/>
        <v>n/a</v>
      </c>
    </row>
    <row r="293" spans="1:20" ht="15.95">
      <c r="A293">
        <f>Users!A290</f>
        <v>0</v>
      </c>
      <c r="B293" s="23"/>
      <c r="C293" s="23"/>
      <c r="D293" s="1" cm="1">
        <f t="array" ref="D293">MAX(_xlfn._xlws.FILTER(Visits!AF:AF,Visits!E:E='User Engagement'!A293))</f>
        <v>45434</v>
      </c>
      <c r="E293">
        <f>COUNTIF(Visits!$E$2:$E$993,'User Engagement'!$A293)</f>
        <v>0</v>
      </c>
      <c r="F293">
        <f>COUNTIFS(Visits!$E$2:$E$993,'User Engagement'!$A294,Visits!$AF$2:$AF$993,"&gt;"&amp;($B$1-7))</f>
        <v>0</v>
      </c>
      <c r="G293">
        <f>COUNTIFS(Visits!$E$2:$E$993,'User Engagement'!$A293,Visits!$AF$2:$AF$993,"&gt;"&amp;($B$1-30))</f>
        <v>0</v>
      </c>
      <c r="H293">
        <f>COUNTIFS(Visits!$E$2:$E$993,$A293,Visits!$AF$2:$AF$993,"&gt;"&amp;($B$1-60))-G293</f>
        <v>0</v>
      </c>
      <c r="I293">
        <f>COUNTIFS(Visits!$AG:$AG,'New Dashboard'!$A$22,Visits!$E:$E,'User Engagement'!$A293)</f>
        <v>0</v>
      </c>
      <c r="J293">
        <f>COUNTIFS(Visits!$AG:$AG,'New Dashboard'!$A$23,Visits!$E:$E,'User Engagement'!$A293)</f>
        <v>0</v>
      </c>
      <c r="K293">
        <f>COUNTIFS(Visits!$AG:$AG,'New Dashboard'!$A$24,Visits!$E:$E,'User Engagement'!$A293)</f>
        <v>0</v>
      </c>
      <c r="L293">
        <f>COUNTIFS(Visits!$AG:$AG,'New Dashboard'!$A$25,Visits!$E:$E,'User Engagement'!$A293)</f>
        <v>0</v>
      </c>
      <c r="M293">
        <f t="shared" si="29"/>
        <v>1</v>
      </c>
      <c r="N293">
        <f t="shared" si="30"/>
        <v>0</v>
      </c>
      <c r="O293">
        <f t="shared" si="30"/>
        <v>0</v>
      </c>
      <c r="P293">
        <f t="shared" si="26"/>
        <v>0</v>
      </c>
      <c r="Q293" s="4">
        <f>SUMIF(Visits!$E$2:$E$90,'User Engagement'!$A293,Visits!$T$2:$T$90)</f>
        <v>0</v>
      </c>
      <c r="R293" s="4">
        <f>SUMIFS(Visits!$T$2:$T$90,Visits!$E$2:$E$90,'User Engagement'!$A293,Visits!$AF$2:$AF$90,"&gt;3/28/24")</f>
        <v>0</v>
      </c>
      <c r="S293" s="13" t="e">
        <f t="shared" si="27"/>
        <v>#DIV/0!</v>
      </c>
      <c r="T293" s="13" t="str">
        <f t="shared" si="28"/>
        <v>n/a</v>
      </c>
    </row>
    <row r="294" spans="1:20" ht="15.95">
      <c r="A294">
        <f>Users!A291</f>
        <v>0</v>
      </c>
      <c r="B294" s="23"/>
      <c r="C294" s="23"/>
      <c r="D294" s="1" cm="1">
        <f t="array" ref="D294">MAX(_xlfn._xlws.FILTER(Visits!AF:AF,Visits!E:E='User Engagement'!A294))</f>
        <v>45434</v>
      </c>
      <c r="E294">
        <f>COUNTIF(Visits!$E$2:$E$993,'User Engagement'!$A294)</f>
        <v>0</v>
      </c>
      <c r="F294">
        <f>COUNTIFS(Visits!$E$2:$E$993,'User Engagement'!$A295,Visits!$AF$2:$AF$993,"&gt;"&amp;($B$1-7))</f>
        <v>0</v>
      </c>
      <c r="G294">
        <f>COUNTIFS(Visits!$E$2:$E$993,'User Engagement'!$A294,Visits!$AF$2:$AF$993,"&gt;"&amp;($B$1-30))</f>
        <v>0</v>
      </c>
      <c r="H294">
        <f>COUNTIFS(Visits!$E$2:$E$993,$A294,Visits!$AF$2:$AF$993,"&gt;"&amp;($B$1-60))-G294</f>
        <v>0</v>
      </c>
      <c r="I294">
        <f>COUNTIFS(Visits!$AG:$AG,'New Dashboard'!$A$22,Visits!$E:$E,'User Engagement'!$A294)</f>
        <v>0</v>
      </c>
      <c r="J294">
        <f>COUNTIFS(Visits!$AG:$AG,'New Dashboard'!$A$23,Visits!$E:$E,'User Engagement'!$A294)</f>
        <v>0</v>
      </c>
      <c r="K294">
        <f>COUNTIFS(Visits!$AG:$AG,'New Dashboard'!$A$24,Visits!$E:$E,'User Engagement'!$A294)</f>
        <v>0</v>
      </c>
      <c r="L294">
        <f>COUNTIFS(Visits!$AG:$AG,'New Dashboard'!$A$25,Visits!$E:$E,'User Engagement'!$A294)</f>
        <v>0</v>
      </c>
      <c r="M294">
        <f t="shared" si="29"/>
        <v>1</v>
      </c>
      <c r="N294">
        <f t="shared" si="30"/>
        <v>0</v>
      </c>
      <c r="O294">
        <f t="shared" si="30"/>
        <v>0</v>
      </c>
      <c r="P294">
        <f t="shared" si="26"/>
        <v>0</v>
      </c>
      <c r="Q294" s="4">
        <f>SUMIF(Visits!$E$2:$E$90,'User Engagement'!$A294,Visits!$T$2:$T$90)</f>
        <v>0</v>
      </c>
      <c r="R294" s="4">
        <f>SUMIFS(Visits!$T$2:$T$90,Visits!$E$2:$E$90,'User Engagement'!$A294,Visits!$AF$2:$AF$90,"&gt;3/28/24")</f>
        <v>0</v>
      </c>
      <c r="S294" s="13" t="e">
        <f t="shared" si="27"/>
        <v>#DIV/0!</v>
      </c>
      <c r="T294" s="13" t="str">
        <f t="shared" si="28"/>
        <v>n/a</v>
      </c>
    </row>
    <row r="295" spans="1:20" ht="15.95">
      <c r="A295">
        <f>Users!A292</f>
        <v>0</v>
      </c>
      <c r="B295" s="23"/>
      <c r="C295" s="23"/>
      <c r="D295" s="1" cm="1">
        <f t="array" ref="D295">MAX(_xlfn._xlws.FILTER(Visits!AF:AF,Visits!E:E='User Engagement'!A295))</f>
        <v>45434</v>
      </c>
      <c r="E295">
        <f>COUNTIF(Visits!$E$2:$E$993,'User Engagement'!$A295)</f>
        <v>0</v>
      </c>
      <c r="F295">
        <f>COUNTIFS(Visits!$E$2:$E$993,'User Engagement'!$A296,Visits!$AF$2:$AF$993,"&gt;"&amp;($B$1-7))</f>
        <v>0</v>
      </c>
      <c r="G295">
        <f>COUNTIFS(Visits!$E$2:$E$993,'User Engagement'!$A295,Visits!$AF$2:$AF$993,"&gt;"&amp;($B$1-30))</f>
        <v>0</v>
      </c>
      <c r="H295">
        <f>COUNTIFS(Visits!$E$2:$E$993,$A295,Visits!$AF$2:$AF$993,"&gt;"&amp;($B$1-60))-G295</f>
        <v>0</v>
      </c>
      <c r="I295">
        <f>COUNTIFS(Visits!$AG:$AG,'New Dashboard'!$A$22,Visits!$E:$E,'User Engagement'!$A295)</f>
        <v>0</v>
      </c>
      <c r="J295">
        <f>COUNTIFS(Visits!$AG:$AG,'New Dashboard'!$A$23,Visits!$E:$E,'User Engagement'!$A295)</f>
        <v>0</v>
      </c>
      <c r="K295">
        <f>COUNTIFS(Visits!$AG:$AG,'New Dashboard'!$A$24,Visits!$E:$E,'User Engagement'!$A295)</f>
        <v>0</v>
      </c>
      <c r="L295">
        <f>COUNTIFS(Visits!$AG:$AG,'New Dashboard'!$A$25,Visits!$E:$E,'User Engagement'!$A295)</f>
        <v>0</v>
      </c>
      <c r="M295">
        <f t="shared" si="29"/>
        <v>1</v>
      </c>
      <c r="N295">
        <f t="shared" si="30"/>
        <v>0</v>
      </c>
      <c r="O295">
        <f t="shared" si="30"/>
        <v>0</v>
      </c>
      <c r="P295">
        <f t="shared" si="26"/>
        <v>0</v>
      </c>
      <c r="Q295" s="4">
        <f>SUMIF(Visits!$E$2:$E$90,'User Engagement'!$A295,Visits!$T$2:$T$90)</f>
        <v>0</v>
      </c>
      <c r="R295" s="4">
        <f>SUMIFS(Visits!$T$2:$T$90,Visits!$E$2:$E$90,'User Engagement'!$A295,Visits!$AF$2:$AF$90,"&gt;3/28/24")</f>
        <v>0</v>
      </c>
      <c r="S295" s="13" t="e">
        <f t="shared" si="27"/>
        <v>#DIV/0!</v>
      </c>
      <c r="T295" s="13" t="str">
        <f t="shared" si="28"/>
        <v>n/a</v>
      </c>
    </row>
    <row r="296" spans="1:20" ht="15.95">
      <c r="A296">
        <f>Users!A293</f>
        <v>0</v>
      </c>
      <c r="B296" s="23"/>
      <c r="C296" s="23"/>
      <c r="D296" s="1" cm="1">
        <f t="array" ref="D296">MAX(_xlfn._xlws.FILTER(Visits!AF:AF,Visits!E:E='User Engagement'!A296))</f>
        <v>45434</v>
      </c>
      <c r="E296">
        <f>COUNTIF(Visits!$E$2:$E$993,'User Engagement'!$A296)</f>
        <v>0</v>
      </c>
      <c r="F296">
        <f>COUNTIFS(Visits!$E$2:$E$993,'User Engagement'!$A297,Visits!$AF$2:$AF$993,"&gt;"&amp;($B$1-7))</f>
        <v>0</v>
      </c>
      <c r="G296">
        <f>COUNTIFS(Visits!$E$2:$E$993,'User Engagement'!$A296,Visits!$AF$2:$AF$993,"&gt;"&amp;($B$1-30))</f>
        <v>0</v>
      </c>
      <c r="H296">
        <f>COUNTIFS(Visits!$E$2:$E$993,$A296,Visits!$AF$2:$AF$993,"&gt;"&amp;($B$1-60))-G296</f>
        <v>0</v>
      </c>
      <c r="I296">
        <f>COUNTIFS(Visits!$AG:$AG,'New Dashboard'!$A$22,Visits!$E:$E,'User Engagement'!$A296)</f>
        <v>0</v>
      </c>
      <c r="J296">
        <f>COUNTIFS(Visits!$AG:$AG,'New Dashboard'!$A$23,Visits!$E:$E,'User Engagement'!$A296)</f>
        <v>0</v>
      </c>
      <c r="K296">
        <f>COUNTIFS(Visits!$AG:$AG,'New Dashboard'!$A$24,Visits!$E:$E,'User Engagement'!$A296)</f>
        <v>0</v>
      </c>
      <c r="L296">
        <f>COUNTIFS(Visits!$AG:$AG,'New Dashboard'!$A$25,Visits!$E:$E,'User Engagement'!$A296)</f>
        <v>0</v>
      </c>
      <c r="M296">
        <f t="shared" si="29"/>
        <v>1</v>
      </c>
      <c r="N296">
        <f t="shared" si="30"/>
        <v>0</v>
      </c>
      <c r="O296">
        <f t="shared" si="30"/>
        <v>0</v>
      </c>
      <c r="P296">
        <f t="shared" si="26"/>
        <v>0</v>
      </c>
      <c r="Q296" s="4">
        <f>SUMIF(Visits!$E$2:$E$90,'User Engagement'!$A296,Visits!$T$2:$T$90)</f>
        <v>0</v>
      </c>
      <c r="R296" s="4">
        <f>SUMIFS(Visits!$T$2:$T$90,Visits!$E$2:$E$90,'User Engagement'!$A296,Visits!$AF$2:$AF$90,"&gt;3/28/24")</f>
        <v>0</v>
      </c>
      <c r="S296" s="13" t="e">
        <f t="shared" si="27"/>
        <v>#DIV/0!</v>
      </c>
      <c r="T296" s="13" t="str">
        <f t="shared" si="28"/>
        <v>n/a</v>
      </c>
    </row>
    <row r="297" spans="1:20" ht="15.95">
      <c r="A297">
        <f>Users!A294</f>
        <v>0</v>
      </c>
      <c r="B297" s="23"/>
      <c r="C297" s="23"/>
      <c r="D297" s="1" cm="1">
        <f t="array" ref="D297">MAX(_xlfn._xlws.FILTER(Visits!AF:AF,Visits!E:E='User Engagement'!A297))</f>
        <v>45434</v>
      </c>
      <c r="E297">
        <f>COUNTIF(Visits!$E$2:$E$993,'User Engagement'!$A297)</f>
        <v>0</v>
      </c>
      <c r="F297">
        <f>COUNTIFS(Visits!$E$2:$E$993,'User Engagement'!$A298,Visits!$AF$2:$AF$993,"&gt;"&amp;($B$1-7))</f>
        <v>0</v>
      </c>
      <c r="G297">
        <f>COUNTIFS(Visits!$E$2:$E$993,'User Engagement'!$A297,Visits!$AF$2:$AF$993,"&gt;"&amp;($B$1-30))</f>
        <v>0</v>
      </c>
      <c r="H297">
        <f>COUNTIFS(Visits!$E$2:$E$993,$A297,Visits!$AF$2:$AF$993,"&gt;"&amp;($B$1-60))-G297</f>
        <v>0</v>
      </c>
      <c r="I297">
        <f>COUNTIFS(Visits!$AG:$AG,'New Dashboard'!$A$22,Visits!$E:$E,'User Engagement'!$A297)</f>
        <v>0</v>
      </c>
      <c r="J297">
        <f>COUNTIFS(Visits!$AG:$AG,'New Dashboard'!$A$23,Visits!$E:$E,'User Engagement'!$A297)</f>
        <v>0</v>
      </c>
      <c r="K297">
        <f>COUNTIFS(Visits!$AG:$AG,'New Dashboard'!$A$24,Visits!$E:$E,'User Engagement'!$A297)</f>
        <v>0</v>
      </c>
      <c r="L297">
        <f>COUNTIFS(Visits!$AG:$AG,'New Dashboard'!$A$25,Visits!$E:$E,'User Engagement'!$A297)</f>
        <v>0</v>
      </c>
      <c r="M297">
        <f t="shared" si="29"/>
        <v>1</v>
      </c>
      <c r="N297">
        <f t="shared" si="30"/>
        <v>0</v>
      </c>
      <c r="O297">
        <f t="shared" si="30"/>
        <v>0</v>
      </c>
      <c r="P297">
        <f t="shared" si="26"/>
        <v>0</v>
      </c>
      <c r="Q297" s="4">
        <f>SUMIF(Visits!$E$2:$E$90,'User Engagement'!$A297,Visits!$T$2:$T$90)</f>
        <v>0</v>
      </c>
      <c r="R297" s="4">
        <f>SUMIFS(Visits!$T$2:$T$90,Visits!$E$2:$E$90,'User Engagement'!$A297,Visits!$AF$2:$AF$90,"&gt;3/28/24")</f>
        <v>0</v>
      </c>
      <c r="S297" s="13" t="e">
        <f t="shared" si="27"/>
        <v>#DIV/0!</v>
      </c>
      <c r="T297" s="13" t="str">
        <f t="shared" si="28"/>
        <v>n/a</v>
      </c>
    </row>
    <row r="298" spans="1:20" ht="15.95">
      <c r="A298">
        <f>Users!A295</f>
        <v>0</v>
      </c>
      <c r="B298" s="23"/>
      <c r="C298" s="23"/>
      <c r="D298" s="1" cm="1">
        <f t="array" ref="D298">MAX(_xlfn._xlws.FILTER(Visits!AF:AF,Visits!E:E='User Engagement'!A298))</f>
        <v>45434</v>
      </c>
      <c r="E298">
        <f>COUNTIF(Visits!$E$2:$E$993,'User Engagement'!$A298)</f>
        <v>0</v>
      </c>
      <c r="F298">
        <f>COUNTIFS(Visits!$E$2:$E$993,'User Engagement'!$A299,Visits!$AF$2:$AF$993,"&gt;"&amp;($B$1-7))</f>
        <v>0</v>
      </c>
      <c r="G298">
        <f>COUNTIFS(Visits!$E$2:$E$993,'User Engagement'!$A298,Visits!$AF$2:$AF$993,"&gt;"&amp;($B$1-30))</f>
        <v>0</v>
      </c>
      <c r="H298">
        <f>COUNTIFS(Visits!$E$2:$E$993,$A298,Visits!$AF$2:$AF$993,"&gt;"&amp;($B$1-60))-G298</f>
        <v>0</v>
      </c>
      <c r="I298">
        <f>COUNTIFS(Visits!$AG:$AG,'New Dashboard'!$A$22,Visits!$E:$E,'User Engagement'!$A298)</f>
        <v>0</v>
      </c>
      <c r="J298">
        <f>COUNTIFS(Visits!$AG:$AG,'New Dashboard'!$A$23,Visits!$E:$E,'User Engagement'!$A298)</f>
        <v>0</v>
      </c>
      <c r="K298">
        <f>COUNTIFS(Visits!$AG:$AG,'New Dashboard'!$A$24,Visits!$E:$E,'User Engagement'!$A298)</f>
        <v>0</v>
      </c>
      <c r="L298">
        <f>COUNTIFS(Visits!$AG:$AG,'New Dashboard'!$A$25,Visits!$E:$E,'User Engagement'!$A298)</f>
        <v>0</v>
      </c>
      <c r="M298">
        <f t="shared" si="29"/>
        <v>1</v>
      </c>
      <c r="N298">
        <f t="shared" si="30"/>
        <v>0</v>
      </c>
      <c r="O298">
        <f t="shared" si="30"/>
        <v>0</v>
      </c>
      <c r="P298">
        <f t="shared" si="26"/>
        <v>0</v>
      </c>
      <c r="Q298" s="4">
        <f>SUMIF(Visits!$E$2:$E$90,'User Engagement'!$A298,Visits!$T$2:$T$90)</f>
        <v>0</v>
      </c>
      <c r="R298" s="4">
        <f>SUMIFS(Visits!$T$2:$T$90,Visits!$E$2:$E$90,'User Engagement'!$A298,Visits!$AF$2:$AF$90,"&gt;3/28/24")</f>
        <v>0</v>
      </c>
      <c r="S298" s="13" t="e">
        <f t="shared" si="27"/>
        <v>#DIV/0!</v>
      </c>
      <c r="T298" s="13" t="str">
        <f t="shared" si="28"/>
        <v>n/a</v>
      </c>
    </row>
    <row r="299" spans="1:20" ht="15.95">
      <c r="A299">
        <f>Users!A296</f>
        <v>0</v>
      </c>
      <c r="B299" s="23"/>
      <c r="C299" s="23"/>
      <c r="D299" s="1" cm="1">
        <f t="array" ref="D299">MAX(_xlfn._xlws.FILTER(Visits!AF:AF,Visits!E:E='User Engagement'!A299))</f>
        <v>45434</v>
      </c>
      <c r="E299">
        <f>COUNTIF(Visits!$E$2:$E$993,'User Engagement'!$A299)</f>
        <v>0</v>
      </c>
      <c r="F299">
        <f>COUNTIFS(Visits!$E$2:$E$993,'User Engagement'!$A300,Visits!$AF$2:$AF$993,"&gt;"&amp;($B$1-7))</f>
        <v>0</v>
      </c>
      <c r="G299">
        <f>COUNTIFS(Visits!$E$2:$E$993,'User Engagement'!$A299,Visits!$AF$2:$AF$993,"&gt;"&amp;($B$1-30))</f>
        <v>0</v>
      </c>
      <c r="H299">
        <f>COUNTIFS(Visits!$E$2:$E$993,$A299,Visits!$AF$2:$AF$993,"&gt;"&amp;($B$1-60))-G299</f>
        <v>0</v>
      </c>
      <c r="I299">
        <f>COUNTIFS(Visits!$AG:$AG,'New Dashboard'!$A$22,Visits!$E:$E,'User Engagement'!$A299)</f>
        <v>0</v>
      </c>
      <c r="J299">
        <f>COUNTIFS(Visits!$AG:$AG,'New Dashboard'!$A$23,Visits!$E:$E,'User Engagement'!$A299)</f>
        <v>0</v>
      </c>
      <c r="K299">
        <f>COUNTIFS(Visits!$AG:$AG,'New Dashboard'!$A$24,Visits!$E:$E,'User Engagement'!$A299)</f>
        <v>0</v>
      </c>
      <c r="L299">
        <f>COUNTIFS(Visits!$AG:$AG,'New Dashboard'!$A$25,Visits!$E:$E,'User Engagement'!$A299)</f>
        <v>0</v>
      </c>
      <c r="M299">
        <f t="shared" si="29"/>
        <v>1</v>
      </c>
      <c r="N299">
        <f t="shared" si="30"/>
        <v>0</v>
      </c>
      <c r="O299">
        <f t="shared" si="30"/>
        <v>0</v>
      </c>
      <c r="P299">
        <f t="shared" si="26"/>
        <v>0</v>
      </c>
      <c r="Q299" s="4">
        <f>SUMIF(Visits!$E$2:$E$90,'User Engagement'!$A299,Visits!$T$2:$T$90)</f>
        <v>0</v>
      </c>
      <c r="R299" s="4">
        <f>SUMIFS(Visits!$T$2:$T$90,Visits!$E$2:$E$90,'User Engagement'!$A299,Visits!$AF$2:$AF$90,"&gt;3/28/24")</f>
        <v>0</v>
      </c>
      <c r="S299" s="13" t="e">
        <f t="shared" si="27"/>
        <v>#DIV/0!</v>
      </c>
      <c r="T299" s="13" t="str">
        <f t="shared" si="28"/>
        <v>n/a</v>
      </c>
    </row>
    <row r="300" spans="1:20" ht="15.95">
      <c r="A300">
        <f>Users!A297</f>
        <v>0</v>
      </c>
      <c r="B300" s="23"/>
      <c r="C300" s="23"/>
      <c r="D300" s="1" cm="1">
        <f t="array" ref="D300">MAX(_xlfn._xlws.FILTER(Visits!AF:AF,Visits!E:E='User Engagement'!A300))</f>
        <v>45434</v>
      </c>
      <c r="E300">
        <f>COUNTIF(Visits!$E$2:$E$993,'User Engagement'!$A300)</f>
        <v>0</v>
      </c>
      <c r="F300">
        <f>COUNTIFS(Visits!$E$2:$E$993,'User Engagement'!$A301,Visits!$AF$2:$AF$993,"&gt;"&amp;($B$1-7))</f>
        <v>0</v>
      </c>
      <c r="G300">
        <f>COUNTIFS(Visits!$E$2:$E$993,'User Engagement'!$A300,Visits!$AF$2:$AF$993,"&gt;"&amp;($B$1-30))</f>
        <v>0</v>
      </c>
      <c r="H300">
        <f>COUNTIFS(Visits!$E$2:$E$993,$A300,Visits!$AF$2:$AF$993,"&gt;"&amp;($B$1-60))-G300</f>
        <v>0</v>
      </c>
      <c r="I300">
        <f>COUNTIFS(Visits!$AG:$AG,'New Dashboard'!$A$22,Visits!$E:$E,'User Engagement'!$A300)</f>
        <v>0</v>
      </c>
      <c r="J300">
        <f>COUNTIFS(Visits!$AG:$AG,'New Dashboard'!$A$23,Visits!$E:$E,'User Engagement'!$A300)</f>
        <v>0</v>
      </c>
      <c r="K300">
        <f>COUNTIFS(Visits!$AG:$AG,'New Dashboard'!$A$24,Visits!$E:$E,'User Engagement'!$A300)</f>
        <v>0</v>
      </c>
      <c r="L300">
        <f>COUNTIFS(Visits!$AG:$AG,'New Dashboard'!$A$25,Visits!$E:$E,'User Engagement'!$A300)</f>
        <v>0</v>
      </c>
      <c r="M300">
        <f t="shared" si="29"/>
        <v>1</v>
      </c>
      <c r="N300">
        <f t="shared" si="30"/>
        <v>0</v>
      </c>
      <c r="O300">
        <f t="shared" si="30"/>
        <v>0</v>
      </c>
      <c r="P300">
        <f t="shared" si="26"/>
        <v>0</v>
      </c>
      <c r="Q300" s="4">
        <f>SUMIF(Visits!$E$2:$E$90,'User Engagement'!$A300,Visits!$T$2:$T$90)</f>
        <v>0</v>
      </c>
      <c r="R300" s="4">
        <f>SUMIFS(Visits!$T$2:$T$90,Visits!$E$2:$E$90,'User Engagement'!$A300,Visits!$AF$2:$AF$90,"&gt;3/28/24")</f>
        <v>0</v>
      </c>
      <c r="S300" s="13" t="e">
        <f t="shared" si="27"/>
        <v>#DIV/0!</v>
      </c>
      <c r="T300" s="13" t="str">
        <f t="shared" si="28"/>
        <v>n/a</v>
      </c>
    </row>
    <row r="301" spans="1:20" ht="15.95">
      <c r="A301">
        <f>Users!A298</f>
        <v>0</v>
      </c>
      <c r="B301" s="23"/>
      <c r="C301" s="23"/>
      <c r="D301" s="1" cm="1">
        <f t="array" ref="D301">MAX(_xlfn._xlws.FILTER(Visits!AF:AF,Visits!E:E='User Engagement'!A301))</f>
        <v>45434</v>
      </c>
      <c r="E301">
        <f>COUNTIF(Visits!$E$2:$E$993,'User Engagement'!$A301)</f>
        <v>0</v>
      </c>
      <c r="F301">
        <f>COUNTIFS(Visits!$E$2:$E$993,'User Engagement'!$A302,Visits!$AF$2:$AF$993,"&gt;"&amp;($B$1-7))</f>
        <v>0</v>
      </c>
      <c r="G301">
        <f>COUNTIFS(Visits!$E$2:$E$993,'User Engagement'!$A301,Visits!$AF$2:$AF$993,"&gt;"&amp;($B$1-30))</f>
        <v>0</v>
      </c>
      <c r="H301">
        <f>COUNTIFS(Visits!$E$2:$E$993,$A301,Visits!$AF$2:$AF$993,"&gt;"&amp;($B$1-60))-G301</f>
        <v>0</v>
      </c>
      <c r="I301">
        <f>COUNTIFS(Visits!$AG:$AG,'New Dashboard'!$A$22,Visits!$E:$E,'User Engagement'!$A301)</f>
        <v>0</v>
      </c>
      <c r="J301">
        <f>COUNTIFS(Visits!$AG:$AG,'New Dashboard'!$A$23,Visits!$E:$E,'User Engagement'!$A301)</f>
        <v>0</v>
      </c>
      <c r="K301">
        <f>COUNTIFS(Visits!$AG:$AG,'New Dashboard'!$A$24,Visits!$E:$E,'User Engagement'!$A301)</f>
        <v>0</v>
      </c>
      <c r="L301">
        <f>COUNTIFS(Visits!$AG:$AG,'New Dashboard'!$A$25,Visits!$E:$E,'User Engagement'!$A301)</f>
        <v>0</v>
      </c>
      <c r="M301">
        <f t="shared" si="29"/>
        <v>1</v>
      </c>
      <c r="N301">
        <f t="shared" si="30"/>
        <v>0</v>
      </c>
      <c r="O301">
        <f t="shared" si="30"/>
        <v>0</v>
      </c>
      <c r="P301">
        <f t="shared" si="26"/>
        <v>0</v>
      </c>
      <c r="Q301" s="4">
        <f>SUMIF(Visits!$E$2:$E$90,'User Engagement'!$A301,Visits!$T$2:$T$90)</f>
        <v>0</v>
      </c>
      <c r="R301" s="4">
        <f>SUMIFS(Visits!$T$2:$T$90,Visits!$E$2:$E$90,'User Engagement'!$A301,Visits!$AF$2:$AF$90,"&gt;3/28/24")</f>
        <v>0</v>
      </c>
      <c r="S301" s="13" t="e">
        <f t="shared" si="27"/>
        <v>#DIV/0!</v>
      </c>
      <c r="T301" s="13" t="str">
        <f t="shared" si="28"/>
        <v>n/a</v>
      </c>
    </row>
    <row r="302" spans="1:20" ht="15.95">
      <c r="A302">
        <f>Users!A299</f>
        <v>0</v>
      </c>
      <c r="B302" s="23"/>
      <c r="C302" s="23"/>
      <c r="D302" s="1" cm="1">
        <f t="array" ref="D302">MAX(_xlfn._xlws.FILTER(Visits!AF:AF,Visits!E:E='User Engagement'!A302))</f>
        <v>45434</v>
      </c>
      <c r="E302">
        <f>COUNTIF(Visits!$E$2:$E$993,'User Engagement'!$A302)</f>
        <v>0</v>
      </c>
      <c r="F302">
        <f>COUNTIFS(Visits!$E$2:$E$993,'User Engagement'!$A303,Visits!$AF$2:$AF$993,"&gt;"&amp;($B$1-7))</f>
        <v>0</v>
      </c>
      <c r="G302">
        <f>COUNTIFS(Visits!$E$2:$E$993,'User Engagement'!$A302,Visits!$AF$2:$AF$993,"&gt;"&amp;($B$1-30))</f>
        <v>0</v>
      </c>
      <c r="H302">
        <f>COUNTIFS(Visits!$E$2:$E$993,$A302,Visits!$AF$2:$AF$993,"&gt;"&amp;($B$1-60))-G302</f>
        <v>0</v>
      </c>
      <c r="I302">
        <f>COUNTIFS(Visits!$AG:$AG,'New Dashboard'!$A$22,Visits!$E:$E,'User Engagement'!$A302)</f>
        <v>0</v>
      </c>
      <c r="J302">
        <f>COUNTIFS(Visits!$AG:$AG,'New Dashboard'!$A$23,Visits!$E:$E,'User Engagement'!$A302)</f>
        <v>0</v>
      </c>
      <c r="K302">
        <f>COUNTIFS(Visits!$AG:$AG,'New Dashboard'!$A$24,Visits!$E:$E,'User Engagement'!$A302)</f>
        <v>0</v>
      </c>
      <c r="L302">
        <f>COUNTIFS(Visits!$AG:$AG,'New Dashboard'!$A$25,Visits!$E:$E,'User Engagement'!$A302)</f>
        <v>0</v>
      </c>
      <c r="M302">
        <f t="shared" si="29"/>
        <v>1</v>
      </c>
      <c r="N302">
        <f t="shared" si="30"/>
        <v>0</v>
      </c>
      <c r="O302">
        <f t="shared" si="30"/>
        <v>0</v>
      </c>
      <c r="P302">
        <f t="shared" si="26"/>
        <v>0</v>
      </c>
      <c r="Q302" s="4">
        <f>SUMIF(Visits!$E$2:$E$90,'User Engagement'!$A302,Visits!$T$2:$T$90)</f>
        <v>0</v>
      </c>
      <c r="R302" s="4">
        <f>SUMIFS(Visits!$T$2:$T$90,Visits!$E$2:$E$90,'User Engagement'!$A302,Visits!$AF$2:$AF$90,"&gt;3/28/24")</f>
        <v>0</v>
      </c>
      <c r="S302" s="13" t="e">
        <f t="shared" si="27"/>
        <v>#DIV/0!</v>
      </c>
      <c r="T302" s="13" t="str">
        <f t="shared" si="28"/>
        <v>n/a</v>
      </c>
    </row>
    <row r="303" spans="1:20" ht="15.95">
      <c r="A303">
        <f>Users!A300</f>
        <v>0</v>
      </c>
      <c r="B303" s="23"/>
      <c r="C303" s="23"/>
      <c r="D303" s="1" cm="1">
        <f t="array" ref="D303">MAX(_xlfn._xlws.FILTER(Visits!AF:AF,Visits!E:E='User Engagement'!A303))</f>
        <v>45434</v>
      </c>
      <c r="E303">
        <f>COUNTIF(Visits!$E$2:$E$993,'User Engagement'!$A303)</f>
        <v>0</v>
      </c>
      <c r="F303">
        <f>COUNTIFS(Visits!$E$2:$E$993,'User Engagement'!$A304,Visits!$AF$2:$AF$993,"&gt;"&amp;($B$1-7))</f>
        <v>0</v>
      </c>
      <c r="G303">
        <f>COUNTIFS(Visits!$E$2:$E$993,'User Engagement'!$A303,Visits!$AF$2:$AF$993,"&gt;"&amp;($B$1-30))</f>
        <v>0</v>
      </c>
      <c r="H303">
        <f>COUNTIFS(Visits!$E$2:$E$993,$A303,Visits!$AF$2:$AF$993,"&gt;"&amp;($B$1-60))-G303</f>
        <v>0</v>
      </c>
      <c r="I303">
        <f>COUNTIFS(Visits!$AG:$AG,'New Dashboard'!$A$22,Visits!$E:$E,'User Engagement'!$A303)</f>
        <v>0</v>
      </c>
      <c r="J303">
        <f>COUNTIFS(Visits!$AG:$AG,'New Dashboard'!$A$23,Visits!$E:$E,'User Engagement'!$A303)</f>
        <v>0</v>
      </c>
      <c r="K303">
        <f>COUNTIFS(Visits!$AG:$AG,'New Dashboard'!$A$24,Visits!$E:$E,'User Engagement'!$A303)</f>
        <v>0</v>
      </c>
      <c r="L303">
        <f>COUNTIFS(Visits!$AG:$AG,'New Dashboard'!$A$25,Visits!$E:$E,'User Engagement'!$A303)</f>
        <v>0</v>
      </c>
      <c r="M303">
        <f t="shared" si="29"/>
        <v>1</v>
      </c>
      <c r="N303">
        <f t="shared" si="30"/>
        <v>0</v>
      </c>
      <c r="O303">
        <f t="shared" si="30"/>
        <v>0</v>
      </c>
      <c r="P303">
        <f t="shared" si="26"/>
        <v>0</v>
      </c>
      <c r="Q303" s="4">
        <f>SUMIF(Visits!$E$2:$E$90,'User Engagement'!$A303,Visits!$T$2:$T$90)</f>
        <v>0</v>
      </c>
      <c r="R303" s="4">
        <f>SUMIFS(Visits!$T$2:$T$90,Visits!$E$2:$E$90,'User Engagement'!$A303,Visits!$AF$2:$AF$90,"&gt;3/28/24")</f>
        <v>0</v>
      </c>
      <c r="S303" s="13" t="e">
        <f t="shared" si="27"/>
        <v>#DIV/0!</v>
      </c>
      <c r="T303" s="13" t="str">
        <f t="shared" si="28"/>
        <v>n/a</v>
      </c>
    </row>
    <row r="304" spans="1:20" ht="15.95">
      <c r="A304">
        <f>Users!A301</f>
        <v>0</v>
      </c>
      <c r="B304" s="23"/>
      <c r="C304" s="23"/>
      <c r="D304" s="1" cm="1">
        <f t="array" ref="D304">MAX(_xlfn._xlws.FILTER(Visits!AF:AF,Visits!E:E='User Engagement'!A304))</f>
        <v>45434</v>
      </c>
      <c r="E304">
        <f>COUNTIF(Visits!$E$2:$E$993,'User Engagement'!$A304)</f>
        <v>0</v>
      </c>
      <c r="F304">
        <f>COUNTIFS(Visits!$E$2:$E$993,'User Engagement'!$A305,Visits!$AF$2:$AF$993,"&gt;"&amp;($B$1-7))</f>
        <v>0</v>
      </c>
      <c r="G304">
        <f>COUNTIFS(Visits!$E$2:$E$993,'User Engagement'!$A304,Visits!$AF$2:$AF$993,"&gt;"&amp;($B$1-30))</f>
        <v>0</v>
      </c>
      <c r="H304">
        <f>COUNTIFS(Visits!$E$2:$E$993,$A304,Visits!$AF$2:$AF$993,"&gt;"&amp;($B$1-60))-G304</f>
        <v>0</v>
      </c>
      <c r="I304">
        <f>COUNTIFS(Visits!$AG:$AG,'New Dashboard'!$A$22,Visits!$E:$E,'User Engagement'!$A304)</f>
        <v>0</v>
      </c>
      <c r="J304">
        <f>COUNTIFS(Visits!$AG:$AG,'New Dashboard'!$A$23,Visits!$E:$E,'User Engagement'!$A304)</f>
        <v>0</v>
      </c>
      <c r="K304">
        <f>COUNTIFS(Visits!$AG:$AG,'New Dashboard'!$A$24,Visits!$E:$E,'User Engagement'!$A304)</f>
        <v>0</v>
      </c>
      <c r="L304">
        <f>COUNTIFS(Visits!$AG:$AG,'New Dashboard'!$A$25,Visits!$E:$E,'User Engagement'!$A304)</f>
        <v>0</v>
      </c>
      <c r="M304">
        <f t="shared" si="29"/>
        <v>1</v>
      </c>
      <c r="N304">
        <f t="shared" si="30"/>
        <v>0</v>
      </c>
      <c r="O304">
        <f t="shared" si="30"/>
        <v>0</v>
      </c>
      <c r="P304">
        <f t="shared" si="26"/>
        <v>0</v>
      </c>
      <c r="Q304" s="4">
        <f>SUMIF(Visits!$E$2:$E$90,'User Engagement'!$A304,Visits!$T$2:$T$90)</f>
        <v>0</v>
      </c>
      <c r="R304" s="4">
        <f>SUMIFS(Visits!$T$2:$T$90,Visits!$E$2:$E$90,'User Engagement'!$A304,Visits!$AF$2:$AF$90,"&gt;3/28/24")</f>
        <v>0</v>
      </c>
      <c r="S304" s="13" t="e">
        <f t="shared" si="27"/>
        <v>#DIV/0!</v>
      </c>
      <c r="T304" s="13" t="str">
        <f t="shared" si="28"/>
        <v>n/a</v>
      </c>
    </row>
    <row r="305" spans="1:20" ht="15.95">
      <c r="A305">
        <f>Users!A302</f>
        <v>0</v>
      </c>
      <c r="B305" s="23"/>
      <c r="C305" s="23"/>
      <c r="D305" s="1" cm="1">
        <f t="array" ref="D305">MAX(_xlfn._xlws.FILTER(Visits!AF:AF,Visits!E:E='User Engagement'!A305))</f>
        <v>45434</v>
      </c>
      <c r="E305">
        <f>COUNTIF(Visits!$E$2:$E$993,'User Engagement'!$A305)</f>
        <v>0</v>
      </c>
      <c r="F305">
        <f>COUNTIFS(Visits!$E$2:$E$993,'User Engagement'!$A306,Visits!$AF$2:$AF$993,"&gt;"&amp;($B$1-7))</f>
        <v>0</v>
      </c>
      <c r="G305">
        <f>COUNTIFS(Visits!$E$2:$E$993,'User Engagement'!$A305,Visits!$AF$2:$AF$993,"&gt;"&amp;($B$1-30))</f>
        <v>0</v>
      </c>
      <c r="H305">
        <f>COUNTIFS(Visits!$E$2:$E$993,$A305,Visits!$AF$2:$AF$993,"&gt;"&amp;($B$1-60))-G305</f>
        <v>0</v>
      </c>
      <c r="I305">
        <f>COUNTIFS(Visits!$AG:$AG,'New Dashboard'!$A$22,Visits!$E:$E,'User Engagement'!$A305)</f>
        <v>0</v>
      </c>
      <c r="J305">
        <f>COUNTIFS(Visits!$AG:$AG,'New Dashboard'!$A$23,Visits!$E:$E,'User Engagement'!$A305)</f>
        <v>0</v>
      </c>
      <c r="K305">
        <f>COUNTIFS(Visits!$AG:$AG,'New Dashboard'!$A$24,Visits!$E:$E,'User Engagement'!$A305)</f>
        <v>0</v>
      </c>
      <c r="L305">
        <f>COUNTIFS(Visits!$AG:$AG,'New Dashboard'!$A$25,Visits!$E:$E,'User Engagement'!$A305)</f>
        <v>0</v>
      </c>
      <c r="M305">
        <f t="shared" si="29"/>
        <v>1</v>
      </c>
      <c r="N305">
        <f t="shared" si="30"/>
        <v>0</v>
      </c>
      <c r="O305">
        <f t="shared" si="30"/>
        <v>0</v>
      </c>
      <c r="P305">
        <f t="shared" si="26"/>
        <v>0</v>
      </c>
      <c r="Q305" s="4">
        <f>SUMIF(Visits!$E$2:$E$90,'User Engagement'!$A305,Visits!$T$2:$T$90)</f>
        <v>0</v>
      </c>
      <c r="R305" s="4">
        <f>SUMIFS(Visits!$T$2:$T$90,Visits!$E$2:$E$90,'User Engagement'!$A305,Visits!$AF$2:$AF$90,"&gt;3/28/24")</f>
        <v>0</v>
      </c>
      <c r="S305" s="13" t="e">
        <f t="shared" si="27"/>
        <v>#DIV/0!</v>
      </c>
      <c r="T305" s="13" t="str">
        <f t="shared" si="28"/>
        <v>n/a</v>
      </c>
    </row>
    <row r="306" spans="1:20" ht="15.95">
      <c r="A306">
        <f>Users!A303</f>
        <v>0</v>
      </c>
      <c r="B306" s="23"/>
      <c r="C306" s="23"/>
      <c r="D306" s="1" cm="1">
        <f t="array" ref="D306">MAX(_xlfn._xlws.FILTER(Visits!AF:AF,Visits!E:E='User Engagement'!A306))</f>
        <v>45434</v>
      </c>
      <c r="E306">
        <f>COUNTIF(Visits!$E$2:$E$993,'User Engagement'!$A306)</f>
        <v>0</v>
      </c>
      <c r="F306">
        <f>COUNTIFS(Visits!$E$2:$E$993,'User Engagement'!$A307,Visits!$AF$2:$AF$993,"&gt;"&amp;($B$1-7))</f>
        <v>0</v>
      </c>
      <c r="G306">
        <f>COUNTIFS(Visits!$E$2:$E$993,'User Engagement'!$A306,Visits!$AF$2:$AF$993,"&gt;"&amp;($B$1-30))</f>
        <v>0</v>
      </c>
      <c r="H306">
        <f>COUNTIFS(Visits!$E$2:$E$993,$A306,Visits!$AF$2:$AF$993,"&gt;"&amp;($B$1-60))-G306</f>
        <v>0</v>
      </c>
      <c r="I306">
        <f>COUNTIFS(Visits!$AG:$AG,'New Dashboard'!$A$22,Visits!$E:$E,'User Engagement'!$A306)</f>
        <v>0</v>
      </c>
      <c r="J306">
        <f>COUNTIFS(Visits!$AG:$AG,'New Dashboard'!$A$23,Visits!$E:$E,'User Engagement'!$A306)</f>
        <v>0</v>
      </c>
      <c r="K306">
        <f>COUNTIFS(Visits!$AG:$AG,'New Dashboard'!$A$24,Visits!$E:$E,'User Engagement'!$A306)</f>
        <v>0</v>
      </c>
      <c r="L306">
        <f>COUNTIFS(Visits!$AG:$AG,'New Dashboard'!$A$25,Visits!$E:$E,'User Engagement'!$A306)</f>
        <v>0</v>
      </c>
      <c r="M306">
        <f t="shared" si="29"/>
        <v>1</v>
      </c>
      <c r="N306">
        <f t="shared" si="30"/>
        <v>0</v>
      </c>
      <c r="O306">
        <f t="shared" si="30"/>
        <v>0</v>
      </c>
      <c r="P306">
        <f t="shared" si="26"/>
        <v>0</v>
      </c>
      <c r="Q306" s="4">
        <f>SUMIF(Visits!$E$2:$E$90,'User Engagement'!$A306,Visits!$T$2:$T$90)</f>
        <v>0</v>
      </c>
      <c r="R306" s="4">
        <f>SUMIFS(Visits!$T$2:$T$90,Visits!$E$2:$E$90,'User Engagement'!$A306,Visits!$AF$2:$AF$90,"&gt;3/28/24")</f>
        <v>0</v>
      </c>
      <c r="S306" s="13" t="e">
        <f t="shared" si="27"/>
        <v>#DIV/0!</v>
      </c>
      <c r="T306" s="13" t="str">
        <f t="shared" si="28"/>
        <v>n/a</v>
      </c>
    </row>
    <row r="307" spans="1:20" ht="15.95">
      <c r="A307">
        <f>Users!A304</f>
        <v>0</v>
      </c>
      <c r="B307" s="23"/>
      <c r="C307" s="23"/>
      <c r="D307" s="1" cm="1">
        <f t="array" ref="D307">MAX(_xlfn._xlws.FILTER(Visits!AF:AF,Visits!E:E='User Engagement'!A307))</f>
        <v>45434</v>
      </c>
      <c r="E307">
        <f>COUNTIF(Visits!$E$2:$E$993,'User Engagement'!$A307)</f>
        <v>0</v>
      </c>
      <c r="F307">
        <f>COUNTIFS(Visits!$E$2:$E$993,'User Engagement'!$A308,Visits!$AF$2:$AF$993,"&gt;"&amp;($B$1-7))</f>
        <v>0</v>
      </c>
      <c r="G307">
        <f>COUNTIFS(Visits!$E$2:$E$993,'User Engagement'!$A307,Visits!$AF$2:$AF$993,"&gt;"&amp;($B$1-30))</f>
        <v>0</v>
      </c>
      <c r="H307">
        <f>COUNTIFS(Visits!$E$2:$E$993,$A307,Visits!$AF$2:$AF$993,"&gt;"&amp;($B$1-60))-G307</f>
        <v>0</v>
      </c>
      <c r="I307">
        <f>COUNTIFS(Visits!$AG:$AG,'New Dashboard'!$A$22,Visits!$E:$E,'User Engagement'!$A307)</f>
        <v>0</v>
      </c>
      <c r="J307">
        <f>COUNTIFS(Visits!$AG:$AG,'New Dashboard'!$A$23,Visits!$E:$E,'User Engagement'!$A307)</f>
        <v>0</v>
      </c>
      <c r="K307">
        <f>COUNTIFS(Visits!$AG:$AG,'New Dashboard'!$A$24,Visits!$E:$E,'User Engagement'!$A307)</f>
        <v>0</v>
      </c>
      <c r="L307">
        <f>COUNTIFS(Visits!$AG:$AG,'New Dashboard'!$A$25,Visits!$E:$E,'User Engagement'!$A307)</f>
        <v>0</v>
      </c>
      <c r="M307">
        <f t="shared" si="29"/>
        <v>1</v>
      </c>
      <c r="N307">
        <f t="shared" si="30"/>
        <v>0</v>
      </c>
      <c r="O307">
        <f t="shared" si="30"/>
        <v>0</v>
      </c>
      <c r="P307">
        <f t="shared" si="26"/>
        <v>0</v>
      </c>
      <c r="Q307" s="4">
        <f>SUMIF(Visits!$E$2:$E$90,'User Engagement'!$A307,Visits!$T$2:$T$90)</f>
        <v>0</v>
      </c>
      <c r="R307" s="4">
        <f>SUMIFS(Visits!$T$2:$T$90,Visits!$E$2:$E$90,'User Engagement'!$A307,Visits!$AF$2:$AF$90,"&gt;3/28/24")</f>
        <v>0</v>
      </c>
      <c r="S307" s="13" t="e">
        <f t="shared" si="27"/>
        <v>#DIV/0!</v>
      </c>
      <c r="T307" s="13" t="str">
        <f t="shared" si="28"/>
        <v>n/a</v>
      </c>
    </row>
    <row r="308" spans="1:20" ht="15.95">
      <c r="A308">
        <f>Users!A305</f>
        <v>0</v>
      </c>
      <c r="B308" s="23"/>
      <c r="C308" s="23"/>
      <c r="D308" s="1" cm="1">
        <f t="array" ref="D308">MAX(_xlfn._xlws.FILTER(Visits!AF:AF,Visits!E:E='User Engagement'!A308))</f>
        <v>45434</v>
      </c>
      <c r="E308">
        <f>COUNTIF(Visits!$E$2:$E$993,'User Engagement'!$A308)</f>
        <v>0</v>
      </c>
      <c r="F308">
        <f>COUNTIFS(Visits!$E$2:$E$993,'User Engagement'!$A309,Visits!$AF$2:$AF$993,"&gt;"&amp;($B$1-7))</f>
        <v>0</v>
      </c>
      <c r="G308">
        <f>COUNTIFS(Visits!$E$2:$E$993,'User Engagement'!$A308,Visits!$AF$2:$AF$993,"&gt;"&amp;($B$1-30))</f>
        <v>0</v>
      </c>
      <c r="H308">
        <f>COUNTIFS(Visits!$E$2:$E$993,$A308,Visits!$AF$2:$AF$993,"&gt;"&amp;($B$1-60))-G308</f>
        <v>0</v>
      </c>
      <c r="I308">
        <f>COUNTIFS(Visits!$AG:$AG,'New Dashboard'!$A$22,Visits!$E:$E,'User Engagement'!$A308)</f>
        <v>0</v>
      </c>
      <c r="J308">
        <f>COUNTIFS(Visits!$AG:$AG,'New Dashboard'!$A$23,Visits!$E:$E,'User Engagement'!$A308)</f>
        <v>0</v>
      </c>
      <c r="K308">
        <f>COUNTIFS(Visits!$AG:$AG,'New Dashboard'!$A$24,Visits!$E:$E,'User Engagement'!$A308)</f>
        <v>0</v>
      </c>
      <c r="L308">
        <f>COUNTIFS(Visits!$AG:$AG,'New Dashboard'!$A$25,Visits!$E:$E,'User Engagement'!$A308)</f>
        <v>0</v>
      </c>
      <c r="M308">
        <f t="shared" si="29"/>
        <v>1</v>
      </c>
      <c r="N308">
        <f t="shared" si="30"/>
        <v>0</v>
      </c>
      <c r="O308">
        <f t="shared" si="30"/>
        <v>0</v>
      </c>
      <c r="P308">
        <f t="shared" si="26"/>
        <v>0</v>
      </c>
      <c r="Q308" s="4">
        <f>SUMIF(Visits!$E$2:$E$90,'User Engagement'!$A308,Visits!$T$2:$T$90)</f>
        <v>0</v>
      </c>
      <c r="R308" s="4">
        <f>SUMIFS(Visits!$T$2:$T$90,Visits!$E$2:$E$90,'User Engagement'!$A308,Visits!$AF$2:$AF$90,"&gt;3/28/24")</f>
        <v>0</v>
      </c>
      <c r="S308" s="13" t="e">
        <f t="shared" si="27"/>
        <v>#DIV/0!</v>
      </c>
      <c r="T308" s="13" t="str">
        <f t="shared" si="28"/>
        <v>n/a</v>
      </c>
    </row>
    <row r="309" spans="1:20" ht="15.95">
      <c r="A309">
        <f>Users!A306</f>
        <v>0</v>
      </c>
      <c r="B309" s="23"/>
      <c r="C309" s="23"/>
      <c r="D309" s="1" cm="1">
        <f t="array" ref="D309">MAX(_xlfn._xlws.FILTER(Visits!AF:AF,Visits!E:E='User Engagement'!A309))</f>
        <v>45434</v>
      </c>
      <c r="E309">
        <f>COUNTIF(Visits!$E$2:$E$993,'User Engagement'!$A309)</f>
        <v>0</v>
      </c>
      <c r="F309">
        <f>COUNTIFS(Visits!$E$2:$E$993,'User Engagement'!$A310,Visits!$AF$2:$AF$993,"&gt;"&amp;($B$1-7))</f>
        <v>0</v>
      </c>
      <c r="G309">
        <f>COUNTIFS(Visits!$E$2:$E$993,'User Engagement'!$A309,Visits!$AF$2:$AF$993,"&gt;"&amp;($B$1-30))</f>
        <v>0</v>
      </c>
      <c r="H309">
        <f>COUNTIFS(Visits!$E$2:$E$993,$A309,Visits!$AF$2:$AF$993,"&gt;"&amp;($B$1-60))-G309</f>
        <v>0</v>
      </c>
      <c r="I309">
        <f>COUNTIFS(Visits!$AG:$AG,'New Dashboard'!$A$22,Visits!$E:$E,'User Engagement'!$A309)</f>
        <v>0</v>
      </c>
      <c r="J309">
        <f>COUNTIFS(Visits!$AG:$AG,'New Dashboard'!$A$23,Visits!$E:$E,'User Engagement'!$A309)</f>
        <v>0</v>
      </c>
      <c r="K309">
        <f>COUNTIFS(Visits!$AG:$AG,'New Dashboard'!$A$24,Visits!$E:$E,'User Engagement'!$A309)</f>
        <v>0</v>
      </c>
      <c r="L309">
        <f>COUNTIFS(Visits!$AG:$AG,'New Dashboard'!$A$25,Visits!$E:$E,'User Engagement'!$A309)</f>
        <v>0</v>
      </c>
      <c r="M309">
        <f t="shared" si="29"/>
        <v>1</v>
      </c>
      <c r="N309">
        <f t="shared" si="30"/>
        <v>0</v>
      </c>
      <c r="O309">
        <f t="shared" si="30"/>
        <v>0</v>
      </c>
      <c r="P309">
        <f t="shared" si="26"/>
        <v>0</v>
      </c>
      <c r="Q309" s="4">
        <f>SUMIF(Visits!$E$2:$E$90,'User Engagement'!$A309,Visits!$T$2:$T$90)</f>
        <v>0</v>
      </c>
      <c r="R309" s="4">
        <f>SUMIFS(Visits!$T$2:$T$90,Visits!$E$2:$E$90,'User Engagement'!$A309,Visits!$AF$2:$AF$90,"&gt;3/28/24")</f>
        <v>0</v>
      </c>
      <c r="S309" s="13" t="e">
        <f t="shared" si="27"/>
        <v>#DIV/0!</v>
      </c>
      <c r="T309" s="13" t="str">
        <f t="shared" si="28"/>
        <v>n/a</v>
      </c>
    </row>
    <row r="310" spans="1:20" ht="15.95">
      <c r="A310">
        <f>Users!A307</f>
        <v>0</v>
      </c>
      <c r="B310" s="23"/>
      <c r="C310" s="23"/>
      <c r="D310" s="1" cm="1">
        <f t="array" ref="D310">MAX(_xlfn._xlws.FILTER(Visits!AF:AF,Visits!E:E='User Engagement'!A310))</f>
        <v>45434</v>
      </c>
      <c r="E310">
        <f>COUNTIF(Visits!$E$2:$E$993,'User Engagement'!$A310)</f>
        <v>0</v>
      </c>
      <c r="F310">
        <f>COUNTIFS(Visits!$E$2:$E$993,'User Engagement'!$A311,Visits!$AF$2:$AF$993,"&gt;"&amp;($B$1-7))</f>
        <v>0</v>
      </c>
      <c r="G310">
        <f>COUNTIFS(Visits!$E$2:$E$993,'User Engagement'!$A310,Visits!$AF$2:$AF$993,"&gt;"&amp;($B$1-30))</f>
        <v>0</v>
      </c>
      <c r="H310">
        <f>COUNTIFS(Visits!$E$2:$E$993,$A310,Visits!$AF$2:$AF$993,"&gt;"&amp;($B$1-60))-G310</f>
        <v>0</v>
      </c>
      <c r="I310">
        <f>COUNTIFS(Visits!$AG:$AG,'New Dashboard'!$A$22,Visits!$E:$E,'User Engagement'!$A310)</f>
        <v>0</v>
      </c>
      <c r="J310">
        <f>COUNTIFS(Visits!$AG:$AG,'New Dashboard'!$A$23,Visits!$E:$E,'User Engagement'!$A310)</f>
        <v>0</v>
      </c>
      <c r="K310">
        <f>COUNTIFS(Visits!$AG:$AG,'New Dashboard'!$A$24,Visits!$E:$E,'User Engagement'!$A310)</f>
        <v>0</v>
      </c>
      <c r="L310">
        <f>COUNTIFS(Visits!$AG:$AG,'New Dashboard'!$A$25,Visits!$E:$E,'User Engagement'!$A310)</f>
        <v>0</v>
      </c>
      <c r="M310">
        <f t="shared" si="29"/>
        <v>1</v>
      </c>
      <c r="N310">
        <f t="shared" si="30"/>
        <v>0</v>
      </c>
      <c r="O310">
        <f t="shared" si="30"/>
        <v>0</v>
      </c>
      <c r="P310">
        <f t="shared" si="26"/>
        <v>0</v>
      </c>
      <c r="Q310" s="4">
        <f>SUMIF(Visits!$E$2:$E$90,'User Engagement'!$A310,Visits!$T$2:$T$90)</f>
        <v>0</v>
      </c>
      <c r="R310" s="4">
        <f>SUMIFS(Visits!$T$2:$T$90,Visits!$E$2:$E$90,'User Engagement'!$A310,Visits!$AF$2:$AF$90,"&gt;3/28/24")</f>
        <v>0</v>
      </c>
      <c r="S310" s="13" t="e">
        <f t="shared" si="27"/>
        <v>#DIV/0!</v>
      </c>
      <c r="T310" s="13" t="str">
        <f t="shared" si="28"/>
        <v>n/a</v>
      </c>
    </row>
    <row r="311" spans="1:20" ht="15.95">
      <c r="A311">
        <f>Users!A308</f>
        <v>0</v>
      </c>
      <c r="B311" s="23"/>
      <c r="C311" s="23"/>
      <c r="D311" s="1" cm="1">
        <f t="array" ref="D311">MAX(_xlfn._xlws.FILTER(Visits!AF:AF,Visits!E:E='User Engagement'!A311))</f>
        <v>45434</v>
      </c>
      <c r="E311">
        <f>COUNTIF(Visits!$E$2:$E$993,'User Engagement'!$A311)</f>
        <v>0</v>
      </c>
      <c r="F311">
        <f>COUNTIFS(Visits!$E$2:$E$993,'User Engagement'!$A312,Visits!$AF$2:$AF$993,"&gt;"&amp;($B$1-7))</f>
        <v>0</v>
      </c>
      <c r="G311">
        <f>COUNTIFS(Visits!$E$2:$E$993,'User Engagement'!$A311,Visits!$AF$2:$AF$993,"&gt;"&amp;($B$1-30))</f>
        <v>0</v>
      </c>
      <c r="H311">
        <f>COUNTIFS(Visits!$E$2:$E$993,$A311,Visits!$AF$2:$AF$993,"&gt;"&amp;($B$1-60))-G311</f>
        <v>0</v>
      </c>
      <c r="I311">
        <f>COUNTIFS(Visits!$AG:$AG,'New Dashboard'!$A$22,Visits!$E:$E,'User Engagement'!$A311)</f>
        <v>0</v>
      </c>
      <c r="J311">
        <f>COUNTIFS(Visits!$AG:$AG,'New Dashboard'!$A$23,Visits!$E:$E,'User Engagement'!$A311)</f>
        <v>0</v>
      </c>
      <c r="K311">
        <f>COUNTIFS(Visits!$AG:$AG,'New Dashboard'!$A$24,Visits!$E:$E,'User Engagement'!$A311)</f>
        <v>0</v>
      </c>
      <c r="L311">
        <f>COUNTIFS(Visits!$AG:$AG,'New Dashboard'!$A$25,Visits!$E:$E,'User Engagement'!$A311)</f>
        <v>0</v>
      </c>
      <c r="M311">
        <f t="shared" si="29"/>
        <v>1</v>
      </c>
      <c r="N311">
        <f t="shared" si="30"/>
        <v>0</v>
      </c>
      <c r="O311">
        <f t="shared" si="30"/>
        <v>0</v>
      </c>
      <c r="P311">
        <f t="shared" si="26"/>
        <v>0</v>
      </c>
      <c r="Q311" s="4">
        <f>SUMIF(Visits!$E$2:$E$90,'User Engagement'!$A311,Visits!$T$2:$T$90)</f>
        <v>0</v>
      </c>
      <c r="R311" s="4">
        <f>SUMIFS(Visits!$T$2:$T$90,Visits!$E$2:$E$90,'User Engagement'!$A311,Visits!$AF$2:$AF$90,"&gt;3/28/24")</f>
        <v>0</v>
      </c>
      <c r="S311" s="13" t="e">
        <f t="shared" si="27"/>
        <v>#DIV/0!</v>
      </c>
      <c r="T311" s="13" t="str">
        <f t="shared" si="28"/>
        <v>n/a</v>
      </c>
    </row>
    <row r="312" spans="1:20" ht="15.95">
      <c r="A312">
        <f>Users!A309</f>
        <v>0</v>
      </c>
      <c r="B312" s="23"/>
      <c r="C312" s="23"/>
      <c r="D312" s="1" cm="1">
        <f t="array" ref="D312">MAX(_xlfn._xlws.FILTER(Visits!AF:AF,Visits!E:E='User Engagement'!A312))</f>
        <v>45434</v>
      </c>
      <c r="E312">
        <f>COUNTIF(Visits!$E$2:$E$993,'User Engagement'!$A312)</f>
        <v>0</v>
      </c>
      <c r="F312">
        <f>COUNTIFS(Visits!$E$2:$E$993,'User Engagement'!$A313,Visits!$AF$2:$AF$993,"&gt;"&amp;($B$1-7))</f>
        <v>0</v>
      </c>
      <c r="G312">
        <f>COUNTIFS(Visits!$E$2:$E$993,'User Engagement'!$A312,Visits!$AF$2:$AF$993,"&gt;"&amp;($B$1-30))</f>
        <v>0</v>
      </c>
      <c r="H312">
        <f>COUNTIFS(Visits!$E$2:$E$993,$A312,Visits!$AF$2:$AF$993,"&gt;"&amp;($B$1-60))-G312</f>
        <v>0</v>
      </c>
      <c r="I312">
        <f>COUNTIFS(Visits!$AG:$AG,'New Dashboard'!$A$22,Visits!$E:$E,'User Engagement'!$A312)</f>
        <v>0</v>
      </c>
      <c r="J312">
        <f>COUNTIFS(Visits!$AG:$AG,'New Dashboard'!$A$23,Visits!$E:$E,'User Engagement'!$A312)</f>
        <v>0</v>
      </c>
      <c r="K312">
        <f>COUNTIFS(Visits!$AG:$AG,'New Dashboard'!$A$24,Visits!$E:$E,'User Engagement'!$A312)</f>
        <v>0</v>
      </c>
      <c r="L312">
        <f>COUNTIFS(Visits!$AG:$AG,'New Dashboard'!$A$25,Visits!$E:$E,'User Engagement'!$A312)</f>
        <v>0</v>
      </c>
      <c r="M312">
        <f t="shared" si="29"/>
        <v>1</v>
      </c>
      <c r="N312">
        <f t="shared" si="30"/>
        <v>0</v>
      </c>
      <c r="O312">
        <f t="shared" si="30"/>
        <v>0</v>
      </c>
      <c r="P312">
        <f t="shared" si="26"/>
        <v>0</v>
      </c>
      <c r="Q312" s="4">
        <f>SUMIF(Visits!$E$2:$E$90,'User Engagement'!$A312,Visits!$T$2:$T$90)</f>
        <v>0</v>
      </c>
      <c r="R312" s="4">
        <f>SUMIFS(Visits!$T$2:$T$90,Visits!$E$2:$E$90,'User Engagement'!$A312,Visits!$AF$2:$AF$90,"&gt;3/28/24")</f>
        <v>0</v>
      </c>
      <c r="S312" s="13" t="e">
        <f t="shared" si="27"/>
        <v>#DIV/0!</v>
      </c>
      <c r="T312" s="13" t="str">
        <f t="shared" si="28"/>
        <v>n/a</v>
      </c>
    </row>
    <row r="313" spans="1:20" ht="15.95">
      <c r="A313">
        <f>Users!A310</f>
        <v>0</v>
      </c>
      <c r="B313" s="23"/>
      <c r="C313" s="23"/>
      <c r="D313" s="1" cm="1">
        <f t="array" ref="D313">MAX(_xlfn._xlws.FILTER(Visits!AF:AF,Visits!E:E='User Engagement'!A313))</f>
        <v>45434</v>
      </c>
      <c r="E313">
        <f>COUNTIF(Visits!$E$2:$E$993,'User Engagement'!$A313)</f>
        <v>0</v>
      </c>
      <c r="F313">
        <f>COUNTIFS(Visits!$E$2:$E$993,'User Engagement'!$A314,Visits!$AF$2:$AF$993,"&gt;"&amp;($B$1-7))</f>
        <v>0</v>
      </c>
      <c r="G313">
        <f>COUNTIFS(Visits!$E$2:$E$993,'User Engagement'!$A313,Visits!$AF$2:$AF$993,"&gt;"&amp;($B$1-30))</f>
        <v>0</v>
      </c>
      <c r="H313">
        <f>COUNTIFS(Visits!$E$2:$E$993,$A313,Visits!$AF$2:$AF$993,"&gt;"&amp;($B$1-60))-G313</f>
        <v>0</v>
      </c>
      <c r="I313">
        <f>COUNTIFS(Visits!$AG:$AG,'New Dashboard'!$A$22,Visits!$E:$E,'User Engagement'!$A313)</f>
        <v>0</v>
      </c>
      <c r="J313">
        <f>COUNTIFS(Visits!$AG:$AG,'New Dashboard'!$A$23,Visits!$E:$E,'User Engagement'!$A313)</f>
        <v>0</v>
      </c>
      <c r="K313">
        <f>COUNTIFS(Visits!$AG:$AG,'New Dashboard'!$A$24,Visits!$E:$E,'User Engagement'!$A313)</f>
        <v>0</v>
      </c>
      <c r="L313">
        <f>COUNTIFS(Visits!$AG:$AG,'New Dashboard'!$A$25,Visits!$E:$E,'User Engagement'!$A313)</f>
        <v>0</v>
      </c>
      <c r="M313">
        <f t="shared" si="29"/>
        <v>1</v>
      </c>
      <c r="N313">
        <f t="shared" si="30"/>
        <v>0</v>
      </c>
      <c r="O313">
        <f t="shared" si="30"/>
        <v>0</v>
      </c>
      <c r="P313">
        <f t="shared" si="26"/>
        <v>0</v>
      </c>
      <c r="Q313" s="4">
        <f>SUMIF(Visits!$E$2:$E$90,'User Engagement'!$A313,Visits!$T$2:$T$90)</f>
        <v>0</v>
      </c>
      <c r="R313" s="4">
        <f>SUMIFS(Visits!$T$2:$T$90,Visits!$E$2:$E$90,'User Engagement'!$A313,Visits!$AF$2:$AF$90,"&gt;3/28/24")</f>
        <v>0</v>
      </c>
      <c r="S313" s="13" t="e">
        <f t="shared" si="27"/>
        <v>#DIV/0!</v>
      </c>
      <c r="T313" s="13" t="str">
        <f t="shared" si="28"/>
        <v>n/a</v>
      </c>
    </row>
    <row r="314" spans="1:20" ht="15.95">
      <c r="A314">
        <f>Users!A311</f>
        <v>0</v>
      </c>
      <c r="B314" s="23"/>
      <c r="C314" s="23"/>
      <c r="D314" s="1" cm="1">
        <f t="array" ref="D314">MAX(_xlfn._xlws.FILTER(Visits!AF:AF,Visits!E:E='User Engagement'!A314))</f>
        <v>45434</v>
      </c>
      <c r="E314">
        <f>COUNTIF(Visits!$E$2:$E$993,'User Engagement'!$A314)</f>
        <v>0</v>
      </c>
      <c r="F314">
        <f>COUNTIFS(Visits!$E$2:$E$993,'User Engagement'!$A315,Visits!$AF$2:$AF$993,"&gt;"&amp;($B$1-7))</f>
        <v>0</v>
      </c>
      <c r="G314">
        <f>COUNTIFS(Visits!$E$2:$E$993,'User Engagement'!$A314,Visits!$AF$2:$AF$993,"&gt;"&amp;($B$1-30))</f>
        <v>0</v>
      </c>
      <c r="H314">
        <f>COUNTIFS(Visits!$E$2:$E$993,$A314,Visits!$AF$2:$AF$993,"&gt;"&amp;($B$1-60))-G314</f>
        <v>0</v>
      </c>
      <c r="I314">
        <f>COUNTIFS(Visits!$AG:$AG,'New Dashboard'!$A$22,Visits!$E:$E,'User Engagement'!$A314)</f>
        <v>0</v>
      </c>
      <c r="J314">
        <f>COUNTIFS(Visits!$AG:$AG,'New Dashboard'!$A$23,Visits!$E:$E,'User Engagement'!$A314)</f>
        <v>0</v>
      </c>
      <c r="K314">
        <f>COUNTIFS(Visits!$AG:$AG,'New Dashboard'!$A$24,Visits!$E:$E,'User Engagement'!$A314)</f>
        <v>0</v>
      </c>
      <c r="L314">
        <f>COUNTIFS(Visits!$AG:$AG,'New Dashboard'!$A$25,Visits!$E:$E,'User Engagement'!$A314)</f>
        <v>0</v>
      </c>
      <c r="M314">
        <f t="shared" si="29"/>
        <v>1</v>
      </c>
      <c r="N314">
        <f t="shared" si="30"/>
        <v>0</v>
      </c>
      <c r="O314">
        <f t="shared" si="30"/>
        <v>0</v>
      </c>
      <c r="P314">
        <f t="shared" si="26"/>
        <v>0</v>
      </c>
      <c r="Q314" s="4">
        <f>SUMIF(Visits!$E$2:$E$90,'User Engagement'!$A314,Visits!$T$2:$T$90)</f>
        <v>0</v>
      </c>
      <c r="R314" s="4">
        <f>SUMIFS(Visits!$T$2:$T$90,Visits!$E$2:$E$90,'User Engagement'!$A314,Visits!$AF$2:$AF$90,"&gt;3/28/24")</f>
        <v>0</v>
      </c>
      <c r="S314" s="13" t="e">
        <f t="shared" si="27"/>
        <v>#DIV/0!</v>
      </c>
      <c r="T314" s="13" t="str">
        <f t="shared" si="28"/>
        <v>n/a</v>
      </c>
    </row>
    <row r="315" spans="1:20" ht="15.95">
      <c r="A315">
        <f>Users!A312</f>
        <v>0</v>
      </c>
      <c r="B315" s="23"/>
      <c r="C315" s="23"/>
      <c r="D315" s="1" cm="1">
        <f t="array" ref="D315">MAX(_xlfn._xlws.FILTER(Visits!AF:AF,Visits!E:E='User Engagement'!A315))</f>
        <v>45434</v>
      </c>
      <c r="E315">
        <f>COUNTIF(Visits!$E$2:$E$993,'User Engagement'!$A315)</f>
        <v>0</v>
      </c>
      <c r="F315">
        <f>COUNTIFS(Visits!$E$2:$E$993,'User Engagement'!$A316,Visits!$AF$2:$AF$993,"&gt;"&amp;($B$1-7))</f>
        <v>0</v>
      </c>
      <c r="G315">
        <f>COUNTIFS(Visits!$E$2:$E$993,'User Engagement'!$A315,Visits!$AF$2:$AF$993,"&gt;"&amp;($B$1-30))</f>
        <v>0</v>
      </c>
      <c r="H315">
        <f>COUNTIFS(Visits!$E$2:$E$993,$A315,Visits!$AF$2:$AF$993,"&gt;"&amp;($B$1-60))-G315</f>
        <v>0</v>
      </c>
      <c r="I315">
        <f>COUNTIFS(Visits!$AG:$AG,'New Dashboard'!$A$22,Visits!$E:$E,'User Engagement'!$A315)</f>
        <v>0</v>
      </c>
      <c r="J315">
        <f>COUNTIFS(Visits!$AG:$AG,'New Dashboard'!$A$23,Visits!$E:$E,'User Engagement'!$A315)</f>
        <v>0</v>
      </c>
      <c r="K315">
        <f>COUNTIFS(Visits!$AG:$AG,'New Dashboard'!$A$24,Visits!$E:$E,'User Engagement'!$A315)</f>
        <v>0</v>
      </c>
      <c r="L315">
        <f>COUNTIFS(Visits!$AG:$AG,'New Dashboard'!$A$25,Visits!$E:$E,'User Engagement'!$A315)</f>
        <v>0</v>
      </c>
      <c r="M315">
        <f t="shared" si="29"/>
        <v>1</v>
      </c>
      <c r="N315">
        <f t="shared" si="30"/>
        <v>0</v>
      </c>
      <c r="O315">
        <f t="shared" si="30"/>
        <v>0</v>
      </c>
      <c r="P315">
        <f t="shared" si="26"/>
        <v>0</v>
      </c>
      <c r="Q315" s="4">
        <f>SUMIF(Visits!$E$2:$E$90,'User Engagement'!$A315,Visits!$T$2:$T$90)</f>
        <v>0</v>
      </c>
      <c r="R315" s="4">
        <f>SUMIFS(Visits!$T$2:$T$90,Visits!$E$2:$E$90,'User Engagement'!$A315,Visits!$AF$2:$AF$90,"&gt;3/28/24")</f>
        <v>0</v>
      </c>
      <c r="S315" s="13" t="e">
        <f t="shared" si="27"/>
        <v>#DIV/0!</v>
      </c>
      <c r="T315" s="13" t="str">
        <f t="shared" si="28"/>
        <v>n/a</v>
      </c>
    </row>
    <row r="316" spans="1:20" ht="15.95">
      <c r="A316">
        <f>Users!A313</f>
        <v>0</v>
      </c>
      <c r="B316" s="23"/>
      <c r="C316" s="23"/>
      <c r="D316" s="1" cm="1">
        <f t="array" ref="D316">MAX(_xlfn._xlws.FILTER(Visits!AF:AF,Visits!E:E='User Engagement'!A316))</f>
        <v>45434</v>
      </c>
      <c r="E316">
        <f>COUNTIF(Visits!$E$2:$E$993,'User Engagement'!$A316)</f>
        <v>0</v>
      </c>
      <c r="F316">
        <f>COUNTIFS(Visits!$E$2:$E$993,'User Engagement'!$A317,Visits!$AF$2:$AF$993,"&gt;"&amp;($B$1-7))</f>
        <v>0</v>
      </c>
      <c r="G316">
        <f>COUNTIFS(Visits!$E$2:$E$993,'User Engagement'!$A316,Visits!$AF$2:$AF$993,"&gt;"&amp;($B$1-30))</f>
        <v>0</v>
      </c>
      <c r="H316">
        <f>COUNTIFS(Visits!$E$2:$E$993,$A316,Visits!$AF$2:$AF$993,"&gt;"&amp;($B$1-60))-G316</f>
        <v>0</v>
      </c>
      <c r="I316">
        <f>COUNTIFS(Visits!$AG:$AG,'New Dashboard'!$A$22,Visits!$E:$E,'User Engagement'!$A316)</f>
        <v>0</v>
      </c>
      <c r="J316">
        <f>COUNTIFS(Visits!$AG:$AG,'New Dashboard'!$A$23,Visits!$E:$E,'User Engagement'!$A316)</f>
        <v>0</v>
      </c>
      <c r="K316">
        <f>COUNTIFS(Visits!$AG:$AG,'New Dashboard'!$A$24,Visits!$E:$E,'User Engagement'!$A316)</f>
        <v>0</v>
      </c>
      <c r="L316">
        <f>COUNTIFS(Visits!$AG:$AG,'New Dashboard'!$A$25,Visits!$E:$E,'User Engagement'!$A316)</f>
        <v>0</v>
      </c>
      <c r="M316">
        <f t="shared" si="29"/>
        <v>1</v>
      </c>
      <c r="N316">
        <f t="shared" si="30"/>
        <v>0</v>
      </c>
      <c r="O316">
        <f t="shared" si="30"/>
        <v>0</v>
      </c>
      <c r="P316">
        <f t="shared" si="26"/>
        <v>0</v>
      </c>
      <c r="Q316" s="4">
        <f>SUMIF(Visits!$E$2:$E$90,'User Engagement'!$A316,Visits!$T$2:$T$90)</f>
        <v>0</v>
      </c>
      <c r="R316" s="4">
        <f>SUMIFS(Visits!$T$2:$T$90,Visits!$E$2:$E$90,'User Engagement'!$A316,Visits!$AF$2:$AF$90,"&gt;3/28/24")</f>
        <v>0</v>
      </c>
      <c r="S316" s="13" t="e">
        <f t="shared" si="27"/>
        <v>#DIV/0!</v>
      </c>
      <c r="T316" s="13" t="str">
        <f t="shared" si="28"/>
        <v>n/a</v>
      </c>
    </row>
  </sheetData>
  <autoFilter ref="A3:W61" xr:uid="{B843ACFC-4ABF-744F-B768-F3DAD832B8CE}"/>
  <mergeCells count="1">
    <mergeCell ref="Q2:T2"/>
  </mergeCells>
  <conditionalFormatting sqref="E4:E316">
    <cfRule type="colorScale" priority="2">
      <colorScale>
        <cfvo type="min"/>
        <cfvo type="max"/>
        <color rgb="FFFCFCFF"/>
        <color rgb="FF63BE7B"/>
      </colorScale>
    </cfRule>
  </conditionalFormatting>
  <conditionalFormatting sqref="G4:G316">
    <cfRule type="colorScale" priority="3">
      <colorScale>
        <cfvo type="min"/>
        <cfvo type="max"/>
        <color rgb="FFFCFCFF"/>
        <color rgb="FF63BE7B"/>
      </colorScale>
    </cfRule>
  </conditionalFormatting>
  <conditionalFormatting sqref="Q4:Q316">
    <cfRule type="colorScale" priority="1">
      <colorScale>
        <cfvo type="min"/>
        <cfvo type="max"/>
        <color rgb="FFFCFCFF"/>
        <color rgb="FF63BE7B"/>
      </colorScale>
    </cfRule>
  </conditionalFormatting>
  <conditionalFormatting sqref="R4:R316">
    <cfRule type="colorScale" priority="5">
      <colorScale>
        <cfvo type="min"/>
        <cfvo type="max"/>
        <color rgb="FFFCFCFF"/>
        <color rgb="FF63BE7B"/>
      </colorScale>
    </cfRule>
  </conditionalFormatting>
  <conditionalFormatting sqref="S4:S316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98631-129C-4B3F-9FA1-3C0E32A0DE9D}">
  <sheetPr>
    <tabColor rgb="FFFF0000"/>
  </sheetPr>
  <dimension ref="A1:J25"/>
  <sheetViews>
    <sheetView workbookViewId="0">
      <selection activeCell="J32" sqref="J32"/>
    </sheetView>
  </sheetViews>
  <sheetFormatPr defaultColWidth="11" defaultRowHeight="15.75" customHeight="1"/>
  <cols>
    <col min="1" max="1" width="7.125" customWidth="1"/>
    <col min="2" max="2" width="12.5" customWidth="1"/>
    <col min="3" max="3" width="15" customWidth="1"/>
    <col min="4" max="6" width="13.875" style="4" customWidth="1"/>
    <col min="7" max="7" width="14" style="4" customWidth="1"/>
    <col min="8" max="8" width="12" style="4" customWidth="1"/>
    <col min="9" max="9" width="13.875" style="4" customWidth="1"/>
    <col min="10" max="10" width="11" style="4"/>
  </cols>
  <sheetData>
    <row r="1" spans="1:8" ht="33.950000000000003">
      <c r="A1" s="72" t="s">
        <v>212</v>
      </c>
    </row>
    <row r="3" spans="1:8" ht="15.95">
      <c r="A3" s="74" t="s">
        <v>213</v>
      </c>
      <c r="B3" s="75">
        <v>45503</v>
      </c>
    </row>
    <row r="5" spans="1:8" ht="21.95">
      <c r="A5" s="76" t="s">
        <v>214</v>
      </c>
      <c r="B5" s="77"/>
      <c r="C5" s="77"/>
      <c r="D5" s="117"/>
      <c r="E5" s="117"/>
      <c r="F5" s="118"/>
      <c r="G5" s="118"/>
      <c r="H5" s="118"/>
    </row>
    <row r="6" spans="1:8" s="79" customFormat="1" ht="31.5" customHeight="1">
      <c r="A6" s="78" t="s">
        <v>215</v>
      </c>
      <c r="B6" s="78" t="s">
        <v>216</v>
      </c>
      <c r="C6" s="78" t="s">
        <v>217</v>
      </c>
      <c r="D6" s="78" t="s">
        <v>218</v>
      </c>
      <c r="E6" s="78" t="s">
        <v>219</v>
      </c>
    </row>
    <row r="7" spans="1:8" ht="15.95">
      <c r="A7" s="4">
        <v>1</v>
      </c>
      <c r="B7" s="73">
        <f>B3-7</f>
        <v>45496</v>
      </c>
      <c r="C7" s="73">
        <f>B3-1</f>
        <v>45502</v>
      </c>
      <c r="E7" s="4">
        <f>SUM('User Engagement'!N:N)</f>
        <v>123</v>
      </c>
    </row>
    <row r="8" spans="1:8" ht="15.95">
      <c r="A8" s="4">
        <v>2</v>
      </c>
      <c r="B8" s="73">
        <f>B7-7</f>
        <v>45489</v>
      </c>
      <c r="C8" s="73">
        <f>C7-7</f>
        <v>45495</v>
      </c>
    </row>
    <row r="9" spans="1:8" ht="15.95">
      <c r="A9" s="4">
        <v>3</v>
      </c>
      <c r="B9" s="73">
        <f t="shared" ref="B9:B18" si="0">B8-7</f>
        <v>45482</v>
      </c>
      <c r="C9" s="73">
        <f t="shared" ref="C9:C18" si="1">C8-7</f>
        <v>45488</v>
      </c>
    </row>
    <row r="10" spans="1:8" ht="15.95">
      <c r="A10" s="4">
        <v>4</v>
      </c>
      <c r="B10" s="73">
        <f t="shared" si="0"/>
        <v>45475</v>
      </c>
      <c r="C10" s="73">
        <f t="shared" si="1"/>
        <v>45481</v>
      </c>
    </row>
    <row r="11" spans="1:8" ht="15.95">
      <c r="A11" s="4">
        <v>5</v>
      </c>
      <c r="B11" s="73">
        <f t="shared" si="0"/>
        <v>45468</v>
      </c>
      <c r="C11" s="73">
        <f t="shared" si="1"/>
        <v>45474</v>
      </c>
      <c r="E11" s="4">
        <f>SUM('User Engagement'!O:O)</f>
        <v>0</v>
      </c>
    </row>
    <row r="12" spans="1:8" ht="15.95">
      <c r="A12" s="4">
        <v>6</v>
      </c>
      <c r="B12" s="73">
        <f t="shared" si="0"/>
        <v>45461</v>
      </c>
      <c r="C12" s="73">
        <f t="shared" si="1"/>
        <v>45467</v>
      </c>
    </row>
    <row r="13" spans="1:8" ht="15.95">
      <c r="A13" s="4">
        <v>7</v>
      </c>
      <c r="B13" s="73">
        <f t="shared" si="0"/>
        <v>45454</v>
      </c>
      <c r="C13" s="73">
        <f t="shared" si="1"/>
        <v>45460</v>
      </c>
    </row>
    <row r="14" spans="1:8" ht="15.95">
      <c r="A14" s="4">
        <v>8</v>
      </c>
      <c r="B14" s="73">
        <f t="shared" si="0"/>
        <v>45447</v>
      </c>
      <c r="C14" s="73">
        <f t="shared" si="1"/>
        <v>45453</v>
      </c>
    </row>
    <row r="15" spans="1:8" ht="15.95">
      <c r="A15" s="4">
        <v>9</v>
      </c>
      <c r="B15" s="73">
        <f t="shared" si="0"/>
        <v>45440</v>
      </c>
      <c r="C15" s="73">
        <f t="shared" si="1"/>
        <v>45446</v>
      </c>
    </row>
    <row r="16" spans="1:8" ht="15.95">
      <c r="A16" s="4">
        <v>10</v>
      </c>
      <c r="B16" s="73">
        <f t="shared" si="0"/>
        <v>45433</v>
      </c>
      <c r="C16" s="73">
        <f t="shared" si="1"/>
        <v>45439</v>
      </c>
    </row>
    <row r="17" spans="1:10" ht="15.95">
      <c r="A17" s="4">
        <v>11</v>
      </c>
      <c r="B17" s="73">
        <f t="shared" si="0"/>
        <v>45426</v>
      </c>
      <c r="C17" s="73">
        <f t="shared" si="1"/>
        <v>45432</v>
      </c>
    </row>
    <row r="18" spans="1:10" ht="15.95">
      <c r="A18" s="4">
        <v>12</v>
      </c>
      <c r="B18" s="73">
        <f t="shared" si="0"/>
        <v>45419</v>
      </c>
      <c r="C18" s="73">
        <f t="shared" si="1"/>
        <v>45425</v>
      </c>
    </row>
    <row r="20" spans="1:10" ht="21.95">
      <c r="A20" s="76" t="s">
        <v>220</v>
      </c>
      <c r="B20" s="117"/>
      <c r="C20" s="117"/>
      <c r="D20" s="117"/>
      <c r="E20" s="117"/>
      <c r="F20" s="117"/>
      <c r="G20" s="117"/>
      <c r="H20" s="117"/>
      <c r="I20"/>
      <c r="J20"/>
    </row>
    <row r="21" spans="1:10" s="79" customFormat="1" ht="43.5" customHeight="1">
      <c r="A21" s="78" t="s">
        <v>221</v>
      </c>
      <c r="B21" s="78" t="s">
        <v>219</v>
      </c>
      <c r="C21" s="78" t="s">
        <v>222</v>
      </c>
      <c r="D21" s="78" t="s">
        <v>223</v>
      </c>
      <c r="E21" s="78" t="s">
        <v>224</v>
      </c>
      <c r="F21" s="78" t="s">
        <v>225</v>
      </c>
      <c r="G21" s="78" t="s">
        <v>226</v>
      </c>
      <c r="H21" s="78" t="s">
        <v>227</v>
      </c>
    </row>
    <row r="22" spans="1:10" ht="15.95">
      <c r="A22" s="4">
        <v>7</v>
      </c>
      <c r="B22" s="4">
        <f>COUNTIF('User Engagement'!I:I,"&gt;0")</f>
        <v>46</v>
      </c>
      <c r="C22" s="119">
        <f>COUNTIF(Visits!AG:AG,'New Dashboard'!A22)/B22</f>
        <v>1.326086956521739</v>
      </c>
      <c r="D22" s="4">
        <f>SUMIF(Visits!AG:AG,'New Dashboard'!A22,Visits!T:T)</f>
        <v>305</v>
      </c>
      <c r="E22" s="119">
        <f>D22/B22</f>
        <v>6.6304347826086953</v>
      </c>
      <c r="F22" s="119"/>
      <c r="G22" s="13">
        <f>COUNTIF(Visits!AG:AG,'New Dashboard'!A22)/COUNTIF(Sessions!J:J,'New Dashboard'!A22)</f>
        <v>7.625</v>
      </c>
      <c r="H22" s="106">
        <f>COUNTIF(Visits!AG:AG,'New Dashboard'!A22)</f>
        <v>61</v>
      </c>
      <c r="I22"/>
      <c r="J22"/>
    </row>
    <row r="23" spans="1:10" ht="15.95">
      <c r="A23" s="4">
        <v>6</v>
      </c>
      <c r="B23" s="4">
        <f>COUNTIF('User Engagement'!J:J,"&gt;0")</f>
        <v>40</v>
      </c>
      <c r="C23" s="119">
        <f>COUNTIF(Visits!AG:AG,'New Dashboard'!A23)/B23</f>
        <v>1.45</v>
      </c>
      <c r="D23" s="106">
        <f>SUMIF(Visits!AG:AG,'New Dashboard'!A23,Visits!T:T)</f>
        <v>1029.5</v>
      </c>
      <c r="E23" s="119">
        <f t="shared" ref="E23:E25" si="2">D23/B23</f>
        <v>25.737500000000001</v>
      </c>
      <c r="F23" s="119"/>
      <c r="G23" s="13">
        <f>COUNTIF(Visits!AG:AG,'New Dashboard'!A23)/COUNTIF(Sessions!J:J,'New Dashboard'!A23)</f>
        <v>6.4444444444444446</v>
      </c>
      <c r="H23" s="106">
        <f>COUNTIF(Visits!AG:AG,'New Dashboard'!A23)</f>
        <v>58</v>
      </c>
      <c r="I23" s="91"/>
      <c r="J23"/>
    </row>
    <row r="24" spans="1:10" ht="15.95">
      <c r="A24" s="4">
        <v>5</v>
      </c>
      <c r="B24" s="4">
        <f>COUNTIF('User Engagement'!K:K,"&gt;0")</f>
        <v>47</v>
      </c>
      <c r="C24" s="119">
        <f>COUNTIF(Visits!AG:AG,'New Dashboard'!A24)/B24</f>
        <v>1.4680851063829787</v>
      </c>
      <c r="D24" s="4">
        <f>SUMIF(Visits!AG:AG,'New Dashboard'!A24,Visits!T:T)</f>
        <v>698</v>
      </c>
      <c r="E24" s="119">
        <f t="shared" si="2"/>
        <v>14.851063829787234</v>
      </c>
      <c r="F24" s="119"/>
      <c r="G24" s="13">
        <f>COUNTIF(Visits!AG:AG,'New Dashboard'!A24)/COUNTIF(Sessions!J:J,'New Dashboard'!A24)</f>
        <v>6.9</v>
      </c>
      <c r="H24" s="106">
        <f>COUNTIF(Visits!AG:AG,'New Dashboard'!A24)</f>
        <v>69</v>
      </c>
      <c r="I24" s="91"/>
      <c r="J24"/>
    </row>
    <row r="25" spans="1:10" ht="15.95">
      <c r="A25" s="4">
        <v>4</v>
      </c>
      <c r="B25" s="4">
        <f>COUNTIF('User Engagement'!L:L,"&gt;0")</f>
        <v>48</v>
      </c>
      <c r="C25" s="119">
        <f>COUNTIF(Visits!AG:AG,'New Dashboard'!A25)/B25</f>
        <v>1.5</v>
      </c>
      <c r="D25" s="4">
        <f>SUMIF(Visits!AG:AG,'New Dashboard'!A25,Visits!T:T)</f>
        <v>809</v>
      </c>
      <c r="E25" s="119">
        <f t="shared" si="2"/>
        <v>16.854166666666668</v>
      </c>
      <c r="F25" s="119"/>
      <c r="G25" s="13">
        <f>COUNTIF(Visits!AG:AG,'New Dashboard'!A25)/COUNTIF(Sessions!J:J,'New Dashboard'!A25)</f>
        <v>8</v>
      </c>
      <c r="H25" s="106">
        <f>COUNTIF(Visits!AG:AG,'New Dashboard'!A25)</f>
        <v>72</v>
      </c>
      <c r="I25"/>
      <c r="J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E26D9-C196-405D-989A-B94521C48D96}">
  <dimension ref="A2:J9"/>
  <sheetViews>
    <sheetView workbookViewId="0">
      <selection activeCell="C13" sqref="C13"/>
    </sheetView>
  </sheetViews>
  <sheetFormatPr defaultColWidth="8.875" defaultRowHeight="15.95"/>
  <cols>
    <col min="2" max="3" width="15.625" customWidth="1"/>
    <col min="4" max="4" width="10.375" style="93" customWidth="1"/>
    <col min="5" max="5" width="18.875" customWidth="1"/>
    <col min="6" max="6" width="12.375" customWidth="1"/>
    <col min="7" max="7" width="11.125" style="93" customWidth="1"/>
    <col min="8" max="8" width="21.125" customWidth="1"/>
  </cols>
  <sheetData>
    <row r="2" spans="1:10" ht="22.5" customHeight="1">
      <c r="A2" s="95"/>
      <c r="B2" s="94" t="s">
        <v>228</v>
      </c>
      <c r="C2" s="94"/>
      <c r="D2" s="95"/>
      <c r="E2" s="94" t="s">
        <v>229</v>
      </c>
      <c r="F2" s="94"/>
      <c r="G2" s="95"/>
      <c r="H2" s="94" t="s">
        <v>230</v>
      </c>
      <c r="I2" s="94"/>
      <c r="J2" s="94"/>
    </row>
    <row r="3" spans="1:10">
      <c r="A3" s="74"/>
      <c r="B3" s="74" t="s">
        <v>231</v>
      </c>
      <c r="C3" s="74" t="s">
        <v>232</v>
      </c>
      <c r="D3" s="96" t="s">
        <v>233</v>
      </c>
      <c r="E3" s="74" t="s">
        <v>231</v>
      </c>
      <c r="F3" s="74" t="s">
        <v>232</v>
      </c>
      <c r="G3" s="96" t="s">
        <v>233</v>
      </c>
      <c r="H3" s="74" t="s">
        <v>231</v>
      </c>
      <c r="I3" s="74" t="s">
        <v>232</v>
      </c>
      <c r="J3" s="96" t="s">
        <v>233</v>
      </c>
    </row>
    <row r="4" spans="1:10">
      <c r="B4" t="s">
        <v>234</v>
      </c>
      <c r="C4" t="s">
        <v>235</v>
      </c>
    </row>
    <row r="5" spans="1:10">
      <c r="B5" t="s">
        <v>236</v>
      </c>
    </row>
    <row r="6" spans="1:10">
      <c r="B6" t="s">
        <v>237</v>
      </c>
    </row>
    <row r="7" spans="1:10">
      <c r="B7" t="s">
        <v>238</v>
      </c>
    </row>
    <row r="8" spans="1:10">
      <c r="B8" t="s">
        <v>239</v>
      </c>
    </row>
    <row r="9" spans="1:10">
      <c r="B9" t="s">
        <v>240</v>
      </c>
    </row>
  </sheetData>
  <conditionalFormatting sqref="B1:D1048576">
    <cfRule type="containsText" dxfId="2" priority="1" operator="containsText" text="Standard">
      <formula>NOT(ISERROR(SEARCH("Standard",B1)))</formula>
    </cfRule>
    <cfRule type="containsText" dxfId="1" priority="2" operator="containsText" text="Standard">
      <formula>NOT(ISERROR(SEARCH("Standard",B1)))</formula>
    </cfRule>
    <cfRule type="containsText" dxfId="0" priority="3" operator="containsText" text="Standard">
      <formula>NOT(ISERROR(SEARCH("Standard",B1)))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09248-DC78-42B5-895C-B72A695B8333}">
  <sheetPr>
    <tabColor rgb="FFFFFF00"/>
  </sheetPr>
  <dimension ref="A1"/>
  <sheetViews>
    <sheetView workbookViewId="0"/>
  </sheetViews>
  <sheetFormatPr defaultColWidth="8.875" defaultRowHeight="15.9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124B6-E9A6-BA46-ABA6-144AA727E451}">
  <sheetPr>
    <tabColor rgb="FFFFFF00"/>
  </sheetPr>
  <dimension ref="A1:R69"/>
  <sheetViews>
    <sheetView workbookViewId="0">
      <pane xSplit="2" topLeftCell="C39" activePane="topRight" state="frozen"/>
      <selection pane="topRight" activeCell="B39" sqref="B39"/>
    </sheetView>
  </sheetViews>
  <sheetFormatPr defaultColWidth="11" defaultRowHeight="15.75" customHeight="1"/>
  <cols>
    <col min="1" max="1" width="10.375" style="5" bestFit="1" customWidth="1"/>
    <col min="2" max="2" width="67.5" bestFit="1" customWidth="1"/>
    <col min="3" max="3" width="13.125" style="56" bestFit="1" customWidth="1"/>
    <col min="4" max="4" width="13.125" style="4" customWidth="1"/>
    <col min="5" max="5" width="15" customWidth="1"/>
    <col min="6" max="6" width="11" bestFit="1" customWidth="1"/>
    <col min="7" max="7" width="14.625" bestFit="1" customWidth="1"/>
    <col min="8" max="8" width="14.625" customWidth="1"/>
    <col min="9" max="12" width="11" bestFit="1" customWidth="1"/>
    <col min="13" max="15" width="13.625" customWidth="1"/>
  </cols>
  <sheetData>
    <row r="1" spans="1:18" ht="15.95">
      <c r="A1" s="8" t="s">
        <v>7</v>
      </c>
      <c r="B1" s="7" t="s">
        <v>9</v>
      </c>
      <c r="C1" s="55" t="s">
        <v>90</v>
      </c>
      <c r="D1" s="59" t="s">
        <v>241</v>
      </c>
      <c r="E1" s="24" t="s">
        <v>12</v>
      </c>
      <c r="F1" s="24" t="s">
        <v>242</v>
      </c>
      <c r="G1" s="24" t="s">
        <v>243</v>
      </c>
      <c r="H1" s="24" t="s">
        <v>244</v>
      </c>
      <c r="I1" s="24" t="s">
        <v>245</v>
      </c>
      <c r="J1" s="24" t="s">
        <v>221</v>
      </c>
      <c r="K1" s="24" t="s">
        <v>246</v>
      </c>
      <c r="L1" s="24" t="s">
        <v>247</v>
      </c>
      <c r="M1" s="24" t="s">
        <v>248</v>
      </c>
      <c r="N1" s="24" t="s">
        <v>249</v>
      </c>
      <c r="O1" s="24" t="s">
        <v>250</v>
      </c>
      <c r="Q1" t="s">
        <v>251</v>
      </c>
      <c r="R1">
        <f>AVERAGEIF(L2:L32,"&gt;0")</f>
        <v>9.1199999999999992</v>
      </c>
    </row>
    <row r="2" spans="1:18" ht="15.95">
      <c r="A2" s="68">
        <v>1</v>
      </c>
      <c r="B2" s="69" t="str">
        <f>VLOOKUP(A2,Visits!AD:AF,2,FALSE)</f>
        <v>Nimi hosts [Art Marathon] Somerset House: Assembly 2024 &amp;amp; Print Fair 23/03</v>
      </c>
      <c r="C2" s="70">
        <f>VLOOKUP(A2,Visits!AD:AF,3,FALSE)</f>
        <v>45374</v>
      </c>
      <c r="D2" s="71"/>
      <c r="E2" s="69"/>
      <c r="F2" s="69"/>
      <c r="G2" s="69" t="s">
        <v>252</v>
      </c>
      <c r="H2" s="69">
        <v>1</v>
      </c>
      <c r="I2" s="69"/>
      <c r="J2">
        <f>MONTH(C2)</f>
        <v>3</v>
      </c>
      <c r="K2">
        <v>1</v>
      </c>
      <c r="L2">
        <f>COUNTIF(Visits!AD:AD,Sessions!A2)</f>
        <v>11</v>
      </c>
    </row>
    <row r="3" spans="1:18" ht="15.95">
      <c r="A3" s="68">
        <v>2</v>
      </c>
      <c r="B3" s="69" t="str">
        <f>VLOOKUP(A3,Visits!AD:AF,2,FALSE)</f>
        <v>Nimi hosts [Creative Session] Life Drawing at Estorick Collection</v>
      </c>
      <c r="C3" s="70">
        <f>VLOOKUP(A3,Visits!AD:AF,3,FALSE)</f>
        <v>45376</v>
      </c>
      <c r="D3" s="71"/>
      <c r="E3" s="69"/>
      <c r="F3" s="69"/>
      <c r="G3" s="69" t="s">
        <v>253</v>
      </c>
      <c r="H3" s="69">
        <v>5</v>
      </c>
      <c r="I3" s="69"/>
      <c r="J3">
        <f t="shared" ref="J3:J24" si="0">MONTH(C3)</f>
        <v>3</v>
      </c>
      <c r="K3">
        <v>1</v>
      </c>
      <c r="L3">
        <f>COUNTIF(Visits!AD:AD,Sessions!A3)</f>
        <v>3</v>
      </c>
    </row>
    <row r="4" spans="1:18" ht="15.95">
      <c r="A4" s="68">
        <v>3</v>
      </c>
      <c r="B4" s="69" t="str">
        <f>VLOOKUP(A4,Visits!AD:AF,2,FALSE)</f>
        <v>Nimi hosts [Hidden Gem] Serpentine Gallery: Refik Anadol</v>
      </c>
      <c r="C4" s="70">
        <f>VLOOKUP(A4,Visits!AD:AF,3,FALSE)</f>
        <v>45381</v>
      </c>
      <c r="D4" s="71"/>
      <c r="E4" s="69"/>
      <c r="F4" s="69"/>
      <c r="G4" s="69" t="s">
        <v>254</v>
      </c>
      <c r="H4" s="69">
        <v>4</v>
      </c>
      <c r="I4" s="69"/>
      <c r="J4">
        <f t="shared" si="0"/>
        <v>3</v>
      </c>
      <c r="K4">
        <v>4</v>
      </c>
      <c r="L4">
        <f>COUNTIF(Visits!AD:AD,Sessions!A4)</f>
        <v>15</v>
      </c>
    </row>
    <row r="5" spans="1:18" ht="15.95">
      <c r="A5" s="68">
        <v>4</v>
      </c>
      <c r="B5" s="69" t="str">
        <f>VLOOKUP(A5,Visits!AD:AF,2,FALSE)</f>
        <v>Nimi hosts [Hidden Gem] First Thursdays Gallery Stroll in East London</v>
      </c>
      <c r="C5" s="70">
        <f>VLOOKUP(A5,Visits!AD:AF,3,FALSE)</f>
        <v>45386</v>
      </c>
      <c r="D5" s="71"/>
      <c r="E5" s="69"/>
      <c r="F5" s="69"/>
      <c r="G5" s="69" t="s">
        <v>254</v>
      </c>
      <c r="H5" s="69">
        <v>5</v>
      </c>
      <c r="I5" s="69"/>
      <c r="J5">
        <f t="shared" si="0"/>
        <v>4</v>
      </c>
      <c r="K5">
        <v>4</v>
      </c>
      <c r="L5">
        <f>COUNTIF(Visits!AD:AD,Sessions!A5)</f>
        <v>9</v>
      </c>
    </row>
    <row r="6" spans="1:18" ht="15.95">
      <c r="A6" s="68">
        <v>5</v>
      </c>
      <c r="B6" s="69" t="str">
        <f>VLOOKUP(A6,Visits!AD:AF,2,FALSE)</f>
        <v>Nimi hosts [Hidden Gem] Galleries Stroll in Mayfair</v>
      </c>
      <c r="C6" s="70">
        <f>VLOOKUP(A6,Visits!AD:AF,3,FALSE)</f>
        <v>45388</v>
      </c>
      <c r="D6" s="71"/>
      <c r="E6" s="69"/>
      <c r="F6" s="69"/>
      <c r="G6" s="69" t="s">
        <v>254</v>
      </c>
      <c r="H6" s="69">
        <v>1</v>
      </c>
      <c r="I6" s="69"/>
      <c r="J6">
        <f t="shared" si="0"/>
        <v>4</v>
      </c>
      <c r="K6">
        <v>4</v>
      </c>
      <c r="L6">
        <f>COUNTIF(Visits!AD:AD,Sessions!A6)</f>
        <v>23</v>
      </c>
    </row>
    <row r="7" spans="1:18" ht="15.95">
      <c r="A7" s="68">
        <v>6</v>
      </c>
      <c r="B7" s="69" t="str">
        <f>VLOOKUP(A7,Visits!AD:AF,2,FALSE)</f>
        <v>Nimi hosts [Hidden Gem] Private View at Art Galleries in Central London</v>
      </c>
      <c r="C7" s="70">
        <f>VLOOKUP(A7,Visits!AD:AF,3,FALSE)</f>
        <v>45389</v>
      </c>
      <c r="D7" s="71"/>
      <c r="E7" s="69"/>
      <c r="F7" s="69"/>
      <c r="G7" s="69" t="s">
        <v>254</v>
      </c>
      <c r="H7" s="69">
        <v>1</v>
      </c>
      <c r="I7" s="69"/>
      <c r="J7">
        <f t="shared" si="0"/>
        <v>4</v>
      </c>
      <c r="K7">
        <v>4</v>
      </c>
      <c r="L7">
        <f>COUNTIF(Visits!AD:AD,Sessions!A7)</f>
        <v>7</v>
      </c>
    </row>
    <row r="8" spans="1:18" ht="15.95">
      <c r="A8" s="68">
        <v>7</v>
      </c>
      <c r="B8" s="69" t="str">
        <f>VLOOKUP(A8,Visits!AD:AF,2,FALSE)</f>
        <v>Nimi hosts [Hidden Gem] Gallery Stroll in South Kensington</v>
      </c>
      <c r="C8" s="70">
        <f>VLOOKUP(A8,Visits!AD:AF,3,FALSE)</f>
        <v>45395</v>
      </c>
      <c r="D8" s="71" t="s">
        <v>255</v>
      </c>
      <c r="E8" s="69"/>
      <c r="F8" s="69"/>
      <c r="G8" s="69" t="s">
        <v>254</v>
      </c>
      <c r="H8" s="69">
        <v>4</v>
      </c>
      <c r="I8" s="69"/>
      <c r="J8">
        <f t="shared" si="0"/>
        <v>4</v>
      </c>
      <c r="K8">
        <v>4</v>
      </c>
      <c r="L8">
        <f>COUNTIF(Visits!AD:AD,Sessions!A8)</f>
        <v>9</v>
      </c>
    </row>
    <row r="9" spans="1:18" ht="15.95">
      <c r="A9" s="68">
        <v>8</v>
      </c>
      <c r="B9" s="69" t="str">
        <f>VLOOKUP(A9,Visits!AD:AF,2,FALSE)</f>
        <v>Nimi hosts [Blockbuster] Visit Yoko Ono at Tate Modern</v>
      </c>
      <c r="C9" s="70">
        <f>VLOOKUP(A9,Visits!AD:AF,3,FALSE)</f>
        <v>45403</v>
      </c>
      <c r="D9" s="71"/>
      <c r="E9" s="69"/>
      <c r="F9" s="69"/>
      <c r="G9" s="69" t="s">
        <v>252</v>
      </c>
      <c r="H9" s="69">
        <v>6</v>
      </c>
      <c r="I9" s="69"/>
      <c r="J9">
        <f t="shared" si="0"/>
        <v>4</v>
      </c>
      <c r="K9">
        <v>1</v>
      </c>
      <c r="L9">
        <f>COUNTIF(Visits!AD:AD,Sessions!A9)</f>
        <v>5</v>
      </c>
    </row>
    <row r="10" spans="1:18" ht="15.95">
      <c r="A10" s="68">
        <v>9</v>
      </c>
      <c r="B10" s="69" t="str">
        <f>VLOOKUP(A10,Visits!AD:AF,2,FALSE)</f>
        <v>Nimi hosts [Hidden Gem] Gallery Stroll in South Kensington</v>
      </c>
      <c r="C10" s="70">
        <f>VLOOKUP(A10,Visits!AD:AF,3,FALSE)</f>
        <v>45402</v>
      </c>
      <c r="D10" s="71" t="s">
        <v>256</v>
      </c>
      <c r="E10" s="69"/>
      <c r="F10" s="69"/>
      <c r="G10" s="69" t="s">
        <v>254</v>
      </c>
      <c r="H10" s="69">
        <v>4</v>
      </c>
      <c r="I10" s="69"/>
      <c r="J10">
        <f t="shared" si="0"/>
        <v>4</v>
      </c>
      <c r="K10">
        <v>4</v>
      </c>
      <c r="L10">
        <f>COUNTIF(Visits!AD:AD,Sessions!A10)</f>
        <v>12</v>
      </c>
    </row>
    <row r="11" spans="1:18" ht="15.95">
      <c r="A11" s="68">
        <v>10</v>
      </c>
      <c r="B11" s="69" t="str">
        <f>VLOOKUP(A11,Visits!AD:AF,2,FALSE)</f>
        <v>[Hidden Gem] First Thursdays Gallery Stroll in East London</v>
      </c>
      <c r="C11" s="70">
        <f>VLOOKUP(A11,Visits!AD:AF,3,FALSE)</f>
        <v>45414</v>
      </c>
      <c r="D11" s="71"/>
      <c r="E11" s="69"/>
      <c r="F11" s="69"/>
      <c r="G11" s="69" t="s">
        <v>254</v>
      </c>
      <c r="H11" s="69">
        <v>5</v>
      </c>
      <c r="I11" s="69"/>
      <c r="J11">
        <f t="shared" si="0"/>
        <v>5</v>
      </c>
      <c r="K11">
        <v>4</v>
      </c>
      <c r="L11">
        <f>COUNTIF(Visits!AD:AD,Sessions!A11)</f>
        <v>3</v>
      </c>
    </row>
    <row r="12" spans="1:18" ht="15.95">
      <c r="A12" s="68">
        <v>11</v>
      </c>
      <c r="B12" s="69" t="str">
        <f>VLOOKUP(A12,Visits!AD:AF,2,FALSE)</f>
        <v>[Blockbuster] When Forms Come Alive @ Hayward Gallery</v>
      </c>
      <c r="C12" s="70">
        <f>VLOOKUP(A12,Visits!AD:AF,3,FALSE)</f>
        <v>45416</v>
      </c>
      <c r="D12" s="71" t="s">
        <v>256</v>
      </c>
      <c r="E12" s="69"/>
      <c r="F12" s="69"/>
      <c r="G12" s="69" t="s">
        <v>252</v>
      </c>
      <c r="H12" s="69">
        <v>6</v>
      </c>
      <c r="I12" s="69"/>
      <c r="J12">
        <f t="shared" si="0"/>
        <v>5</v>
      </c>
      <c r="K12">
        <v>1</v>
      </c>
      <c r="L12">
        <f>COUNTIF(Visits!AD:AD,Sessions!A12)</f>
        <v>6</v>
      </c>
    </row>
    <row r="13" spans="1:18" ht="15.95">
      <c r="A13" s="68">
        <v>12</v>
      </c>
      <c r="B13" s="69" t="str">
        <f>VLOOKUP(A13,Visits!AD:AF,2,FALSE)</f>
        <v>Nimi hosts  [Artist Talk] Unexpected Views at the National Gallery Late</v>
      </c>
      <c r="C13" s="70">
        <f>VLOOKUP(A13,Visits!AD:AF,3,FALSE)</f>
        <v>45408</v>
      </c>
      <c r="D13" s="71" t="s">
        <v>257</v>
      </c>
      <c r="E13" s="69"/>
      <c r="F13" s="69"/>
      <c r="G13" s="69" t="s">
        <v>258</v>
      </c>
      <c r="H13" s="69">
        <v>1</v>
      </c>
      <c r="I13" s="69"/>
      <c r="J13">
        <f t="shared" si="0"/>
        <v>4</v>
      </c>
      <c r="K13">
        <v>1</v>
      </c>
      <c r="L13">
        <f>COUNTIF(Visits!AD:AD,Sessions!A13)</f>
        <v>1</v>
      </c>
    </row>
    <row r="14" spans="1:18" ht="15.95">
      <c r="A14" s="68">
        <v>13</v>
      </c>
      <c r="B14" s="69" t="str">
        <f>VLOOKUP(A14,Visits!AD:AF,2,FALSE)</f>
        <v>Nimi hosts [Hidden Gem] Dreams Have No Titles Exhibition and Tango</v>
      </c>
      <c r="C14" s="70">
        <f>VLOOKUP(A14,Visits!AD:AF,3,FALSE)</f>
        <v>45410</v>
      </c>
      <c r="D14" s="71" t="s">
        <v>259</v>
      </c>
      <c r="E14" s="69"/>
      <c r="F14" s="69">
        <v>15</v>
      </c>
      <c r="G14" s="69" t="s">
        <v>254</v>
      </c>
      <c r="H14" s="69">
        <v>5</v>
      </c>
      <c r="I14" s="69"/>
      <c r="J14">
        <f t="shared" si="0"/>
        <v>4</v>
      </c>
      <c r="K14">
        <v>4</v>
      </c>
      <c r="L14">
        <f>COUNTIF(Visits!AD:AD,Sessions!A14)</f>
        <v>6</v>
      </c>
    </row>
    <row r="15" spans="1:18" ht="15.95">
      <c r="A15" s="68">
        <v>14</v>
      </c>
      <c r="B15" s="69" t="s">
        <v>260</v>
      </c>
      <c r="C15" s="70">
        <v>45423</v>
      </c>
      <c r="D15" s="71" t="s">
        <v>259</v>
      </c>
      <c r="E15" s="69">
        <v>6</v>
      </c>
      <c r="F15" s="69">
        <v>15</v>
      </c>
      <c r="G15" s="69" t="s">
        <v>254</v>
      </c>
      <c r="H15" s="69">
        <v>1</v>
      </c>
      <c r="I15" s="69"/>
      <c r="J15">
        <f t="shared" si="0"/>
        <v>5</v>
      </c>
      <c r="K15">
        <v>4</v>
      </c>
      <c r="L15">
        <f>COUNTIF(Visits!AD:AD,Sessions!A15)</f>
        <v>8</v>
      </c>
    </row>
    <row r="16" spans="1:18" ht="15.95">
      <c r="A16" s="68">
        <v>15</v>
      </c>
      <c r="B16" s="69" t="s">
        <v>260</v>
      </c>
      <c r="C16" s="70">
        <v>45430</v>
      </c>
      <c r="D16" s="71" t="s">
        <v>261</v>
      </c>
      <c r="E16" s="69">
        <v>6</v>
      </c>
      <c r="F16" s="69">
        <v>15</v>
      </c>
      <c r="G16" s="69" t="s">
        <v>254</v>
      </c>
      <c r="H16" s="69">
        <v>2</v>
      </c>
      <c r="I16" s="69"/>
      <c r="J16">
        <f t="shared" si="0"/>
        <v>5</v>
      </c>
      <c r="K16">
        <v>4</v>
      </c>
      <c r="L16">
        <f>COUNTIF(Visits!AD:AD,Sessions!A16)</f>
        <v>9</v>
      </c>
    </row>
    <row r="17" spans="1:13" s="69" customFormat="1" ht="15.95">
      <c r="A17" s="68">
        <v>16</v>
      </c>
      <c r="B17" s="69" t="s">
        <v>260</v>
      </c>
      <c r="C17" s="70">
        <v>45437</v>
      </c>
      <c r="D17" s="71" t="s">
        <v>259</v>
      </c>
      <c r="E17" s="69">
        <v>6</v>
      </c>
      <c r="F17" s="69">
        <v>15</v>
      </c>
      <c r="G17" s="69" t="s">
        <v>254</v>
      </c>
      <c r="H17" s="69">
        <v>1</v>
      </c>
      <c r="J17" s="69">
        <f t="shared" si="0"/>
        <v>5</v>
      </c>
      <c r="K17">
        <v>4</v>
      </c>
      <c r="L17">
        <f>COUNTIF(Visits!AD:AD,Sessions!A17)</f>
        <v>9</v>
      </c>
    </row>
    <row r="18" spans="1:13" s="69" customFormat="1" ht="15.95">
      <c r="A18" s="68">
        <v>17</v>
      </c>
      <c r="B18" s="69" t="s">
        <v>262</v>
      </c>
      <c r="C18" s="70">
        <v>45438</v>
      </c>
      <c r="D18" s="71" t="s">
        <v>259</v>
      </c>
      <c r="E18" s="69">
        <v>6</v>
      </c>
      <c r="F18" s="69">
        <v>19</v>
      </c>
      <c r="G18" s="69" t="s">
        <v>252</v>
      </c>
      <c r="H18" s="69">
        <v>1</v>
      </c>
      <c r="J18" s="69">
        <f t="shared" si="0"/>
        <v>5</v>
      </c>
      <c r="K18">
        <v>1</v>
      </c>
      <c r="L18">
        <f>COUNTIF(Visits!AD:AD,Sessions!A18)</f>
        <v>0</v>
      </c>
    </row>
    <row r="19" spans="1:13" ht="17.100000000000001">
      <c r="A19" s="5">
        <v>18</v>
      </c>
      <c r="B19" s="2" t="s">
        <v>263</v>
      </c>
      <c r="C19" s="56">
        <v>45445</v>
      </c>
      <c r="D19" s="60" t="s">
        <v>264</v>
      </c>
      <c r="E19">
        <v>6</v>
      </c>
      <c r="F19">
        <v>15</v>
      </c>
      <c r="G19" t="s">
        <v>265</v>
      </c>
      <c r="H19" s="69">
        <v>1</v>
      </c>
      <c r="I19">
        <v>16</v>
      </c>
      <c r="J19">
        <f t="shared" si="0"/>
        <v>6</v>
      </c>
      <c r="K19">
        <v>4</v>
      </c>
      <c r="L19">
        <f>COUNTIF(Visits!AD:AD,Sessions!A19)</f>
        <v>20</v>
      </c>
    </row>
    <row r="20" spans="1:13" s="84" customFormat="1" ht="17.100000000000001">
      <c r="A20" s="83">
        <v>19</v>
      </c>
      <c r="B20" s="84" t="s">
        <v>266</v>
      </c>
      <c r="C20" s="85">
        <v>45463</v>
      </c>
      <c r="D20" s="86" t="s">
        <v>267</v>
      </c>
      <c r="E20" s="84">
        <v>6</v>
      </c>
      <c r="F20" s="84">
        <v>15</v>
      </c>
      <c r="G20" s="84" t="s">
        <v>268</v>
      </c>
      <c r="H20" s="69">
        <v>1</v>
      </c>
      <c r="J20" s="84">
        <v>6</v>
      </c>
      <c r="K20">
        <v>1</v>
      </c>
      <c r="L20">
        <f>COUNTIF(Visits!AD:AD,Sessions!A20)</f>
        <v>0</v>
      </c>
    </row>
    <row r="21" spans="1:13" s="69" customFormat="1" ht="15.75" customHeight="1">
      <c r="A21" s="68">
        <v>20</v>
      </c>
      <c r="B21" s="69" t="s">
        <v>269</v>
      </c>
      <c r="C21" s="70">
        <v>45433</v>
      </c>
      <c r="D21" s="81" t="s">
        <v>257</v>
      </c>
      <c r="E21" s="69">
        <v>0</v>
      </c>
      <c r="G21" s="69" t="s">
        <v>270</v>
      </c>
      <c r="H21" s="69">
        <v>3</v>
      </c>
      <c r="I21" s="69">
        <v>10</v>
      </c>
      <c r="J21" s="69">
        <f t="shared" si="0"/>
        <v>5</v>
      </c>
      <c r="K21">
        <v>1</v>
      </c>
      <c r="L21">
        <f>COUNTIF(Visits!AD:AD,Sessions!A21)</f>
        <v>6</v>
      </c>
    </row>
    <row r="22" spans="1:13" s="69" customFormat="1" ht="15.75" customHeight="1">
      <c r="A22" s="68">
        <v>21</v>
      </c>
      <c r="B22" s="69" t="s">
        <v>271</v>
      </c>
      <c r="C22" s="70">
        <v>45434</v>
      </c>
      <c r="D22" s="81" t="s">
        <v>257</v>
      </c>
      <c r="E22" s="69">
        <v>0</v>
      </c>
      <c r="G22" s="69" t="s">
        <v>272</v>
      </c>
      <c r="H22" s="69">
        <v>6</v>
      </c>
      <c r="I22" s="69">
        <v>4</v>
      </c>
      <c r="J22" s="69">
        <f t="shared" si="0"/>
        <v>5</v>
      </c>
      <c r="K22">
        <v>1</v>
      </c>
      <c r="L22">
        <f>COUNTIF(Visits!AD:AD,Sessions!A22)</f>
        <v>0</v>
      </c>
    </row>
    <row r="23" spans="1:13" s="69" customFormat="1" ht="15.75" customHeight="1">
      <c r="A23" s="68">
        <v>22</v>
      </c>
      <c r="B23" s="69" t="s">
        <v>273</v>
      </c>
      <c r="C23" s="70">
        <v>45436</v>
      </c>
      <c r="D23" s="81" t="s">
        <v>274</v>
      </c>
      <c r="E23" s="69">
        <v>6</v>
      </c>
      <c r="F23" s="69">
        <v>19</v>
      </c>
      <c r="G23" s="69" t="s">
        <v>272</v>
      </c>
      <c r="H23" s="69">
        <v>1</v>
      </c>
      <c r="J23" s="69">
        <f t="shared" si="0"/>
        <v>5</v>
      </c>
      <c r="K23">
        <v>1</v>
      </c>
      <c r="L23">
        <f>COUNTIF(Visits!AD:AD,Sessions!A23)</f>
        <v>10</v>
      </c>
    </row>
    <row r="24" spans="1:13" ht="15.75" customHeight="1">
      <c r="A24" s="5">
        <v>23</v>
      </c>
      <c r="B24" t="s">
        <v>275</v>
      </c>
      <c r="C24" s="56">
        <v>45442</v>
      </c>
      <c r="D24" s="4" t="s">
        <v>257</v>
      </c>
      <c r="E24">
        <v>0</v>
      </c>
      <c r="F24">
        <v>0</v>
      </c>
      <c r="G24" t="s">
        <v>276</v>
      </c>
      <c r="H24" s="69">
        <v>1</v>
      </c>
      <c r="I24">
        <v>15</v>
      </c>
      <c r="J24">
        <f t="shared" si="0"/>
        <v>5</v>
      </c>
      <c r="K24">
        <v>1</v>
      </c>
      <c r="L24">
        <f>COUNTIF(Visits!AD:AD,Sessions!A24)</f>
        <v>18</v>
      </c>
    </row>
    <row r="25" spans="1:13" ht="15.75" customHeight="1">
      <c r="A25" s="5">
        <v>24</v>
      </c>
      <c r="B25" t="s">
        <v>277</v>
      </c>
      <c r="C25" s="56">
        <v>45451</v>
      </c>
      <c r="D25" s="3" t="s">
        <v>259</v>
      </c>
      <c r="E25">
        <v>6</v>
      </c>
      <c r="F25">
        <v>15</v>
      </c>
      <c r="G25" t="s">
        <v>254</v>
      </c>
      <c r="H25" s="69">
        <v>6</v>
      </c>
      <c r="I25">
        <v>25</v>
      </c>
      <c r="J25">
        <v>6</v>
      </c>
      <c r="K25">
        <v>4</v>
      </c>
      <c r="L25">
        <f>COUNTIF(Visits!AD:AD,Sessions!A25)</f>
        <v>6</v>
      </c>
    </row>
    <row r="26" spans="1:13" ht="15.75" customHeight="1">
      <c r="A26" s="5">
        <v>25</v>
      </c>
      <c r="B26" t="s">
        <v>278</v>
      </c>
      <c r="C26" s="56">
        <v>45465</v>
      </c>
      <c r="D26" s="3" t="s">
        <v>259</v>
      </c>
      <c r="E26">
        <v>6</v>
      </c>
      <c r="F26">
        <v>15</v>
      </c>
      <c r="G26" t="s">
        <v>254</v>
      </c>
      <c r="H26" s="69">
        <v>1</v>
      </c>
      <c r="I26">
        <v>25</v>
      </c>
      <c r="J26">
        <v>6</v>
      </c>
      <c r="K26">
        <v>4</v>
      </c>
      <c r="L26">
        <f>COUNTIF(Visits!AD:AD,Sessions!A26)</f>
        <v>0</v>
      </c>
    </row>
    <row r="27" spans="1:13" ht="15.75" customHeight="1">
      <c r="A27" s="5">
        <v>26</v>
      </c>
      <c r="B27" t="s">
        <v>279</v>
      </c>
      <c r="C27" s="56">
        <v>45471</v>
      </c>
      <c r="D27" s="3" t="s">
        <v>257</v>
      </c>
      <c r="E27">
        <v>10</v>
      </c>
      <c r="F27">
        <v>25</v>
      </c>
      <c r="G27" t="s">
        <v>272</v>
      </c>
      <c r="H27" s="69">
        <v>1</v>
      </c>
      <c r="I27">
        <v>25</v>
      </c>
      <c r="J27">
        <v>6</v>
      </c>
      <c r="K27">
        <v>1</v>
      </c>
      <c r="L27">
        <f>COUNTIF(Visits!AD:AD,Sessions!A27)</f>
        <v>13</v>
      </c>
    </row>
    <row r="28" spans="1:13" ht="15.75" customHeight="1">
      <c r="A28" s="5">
        <v>27</v>
      </c>
      <c r="B28" t="s">
        <v>280</v>
      </c>
      <c r="C28" s="56">
        <v>45466</v>
      </c>
      <c r="D28" s="3" t="s">
        <v>259</v>
      </c>
      <c r="E28">
        <v>6</v>
      </c>
      <c r="F28">
        <v>15</v>
      </c>
      <c r="G28" t="s">
        <v>254</v>
      </c>
      <c r="H28" s="69">
        <v>6</v>
      </c>
      <c r="I28">
        <v>15</v>
      </c>
      <c r="J28">
        <v>6</v>
      </c>
      <c r="K28">
        <v>1</v>
      </c>
      <c r="L28">
        <f>COUNTIF(Visits!AD:AD,Sessions!A28)</f>
        <v>7</v>
      </c>
      <c r="M28" t="s">
        <v>281</v>
      </c>
    </row>
    <row r="29" spans="1:13" ht="15.75" customHeight="1">
      <c r="A29" s="5">
        <v>28</v>
      </c>
      <c r="B29" t="s">
        <v>282</v>
      </c>
      <c r="C29" s="56">
        <v>45457</v>
      </c>
      <c r="D29" s="3" t="s">
        <v>283</v>
      </c>
      <c r="E29">
        <v>0</v>
      </c>
      <c r="F29">
        <v>0</v>
      </c>
      <c r="G29" t="s">
        <v>254</v>
      </c>
      <c r="H29" s="69">
        <v>3</v>
      </c>
      <c r="I29">
        <v>15</v>
      </c>
      <c r="J29">
        <v>6</v>
      </c>
      <c r="K29">
        <v>1</v>
      </c>
      <c r="L29">
        <f>COUNTIF(Visits!AD:AD,Sessions!A29)</f>
        <v>6</v>
      </c>
    </row>
    <row r="30" spans="1:13" ht="15.75" customHeight="1">
      <c r="A30" s="5">
        <v>29</v>
      </c>
      <c r="B30" t="s">
        <v>284</v>
      </c>
      <c r="C30" s="56">
        <v>45473</v>
      </c>
      <c r="D30" s="4" t="s">
        <v>259</v>
      </c>
      <c r="E30">
        <v>9</v>
      </c>
      <c r="F30">
        <v>22</v>
      </c>
      <c r="G30" t="s">
        <v>252</v>
      </c>
      <c r="H30" s="69">
        <v>3</v>
      </c>
      <c r="I30">
        <v>20</v>
      </c>
      <c r="J30">
        <v>6</v>
      </c>
      <c r="K30">
        <v>1</v>
      </c>
      <c r="L30">
        <f>COUNTIF(Visits!AD:AD,Sessions!A30)</f>
        <v>6</v>
      </c>
      <c r="M30" t="s">
        <v>285</v>
      </c>
    </row>
    <row r="31" spans="1:13" ht="15.75" customHeight="1">
      <c r="A31" s="5">
        <v>30</v>
      </c>
      <c r="B31" t="s">
        <v>286</v>
      </c>
      <c r="C31" s="56">
        <v>45450</v>
      </c>
      <c r="D31" s="4" t="s">
        <v>257</v>
      </c>
      <c r="E31">
        <v>6</v>
      </c>
      <c r="F31">
        <v>15</v>
      </c>
      <c r="G31" t="s">
        <v>272</v>
      </c>
      <c r="H31" s="69">
        <v>2</v>
      </c>
      <c r="J31">
        <v>4</v>
      </c>
      <c r="K31">
        <v>1</v>
      </c>
      <c r="L31">
        <f>COUNTIF(Visits!AD:AD,Sessions!A31)</f>
        <v>0</v>
      </c>
    </row>
    <row r="32" spans="1:13" ht="15.75" customHeight="1">
      <c r="A32" s="5">
        <v>31</v>
      </c>
      <c r="B32" t="s">
        <v>287</v>
      </c>
      <c r="C32" s="56">
        <v>45467</v>
      </c>
      <c r="D32" s="4" t="s">
        <v>257</v>
      </c>
      <c r="E32">
        <v>6</v>
      </c>
      <c r="F32">
        <v>15</v>
      </c>
      <c r="G32" t="s">
        <v>253</v>
      </c>
      <c r="H32" s="69">
        <v>5</v>
      </c>
      <c r="I32">
        <v>15</v>
      </c>
      <c r="J32">
        <v>6</v>
      </c>
      <c r="K32">
        <v>1</v>
      </c>
      <c r="L32">
        <f>COUNTIF(Visits!AD:AD,Sessions!A32)</f>
        <v>0</v>
      </c>
    </row>
    <row r="33" spans="1:12" ht="15.75" customHeight="1">
      <c r="A33" s="5">
        <v>32</v>
      </c>
      <c r="B33" t="s">
        <v>288</v>
      </c>
      <c r="C33" s="56">
        <v>45480</v>
      </c>
      <c r="D33" s="4" t="s">
        <v>259</v>
      </c>
      <c r="E33">
        <v>10</v>
      </c>
      <c r="F33">
        <v>25</v>
      </c>
      <c r="G33" t="s">
        <v>289</v>
      </c>
      <c r="H33" s="69">
        <v>1</v>
      </c>
      <c r="I33">
        <v>25</v>
      </c>
      <c r="J33">
        <v>7</v>
      </c>
      <c r="K33">
        <v>1</v>
      </c>
      <c r="L33">
        <f>COUNTIF(Visits!AD:AD,Sessions!A33)</f>
        <v>11</v>
      </c>
    </row>
    <row r="34" spans="1:12" ht="15.75" customHeight="1">
      <c r="A34" s="5">
        <v>33</v>
      </c>
      <c r="B34" t="s">
        <v>290</v>
      </c>
      <c r="C34" s="56">
        <v>45484</v>
      </c>
      <c r="D34" s="4" t="s">
        <v>257</v>
      </c>
      <c r="E34">
        <v>6</v>
      </c>
      <c r="F34">
        <v>15</v>
      </c>
      <c r="G34" t="s">
        <v>254</v>
      </c>
      <c r="H34" s="69">
        <v>5</v>
      </c>
      <c r="I34">
        <v>10</v>
      </c>
      <c r="J34">
        <v>7</v>
      </c>
      <c r="K34">
        <v>1</v>
      </c>
      <c r="L34">
        <f>COUNTIF(Visits!AD:AD,Sessions!A34)</f>
        <v>7</v>
      </c>
    </row>
    <row r="35" spans="1:12" ht="15.75" customHeight="1">
      <c r="A35" s="5">
        <v>34</v>
      </c>
      <c r="B35" t="s">
        <v>291</v>
      </c>
      <c r="C35" s="56">
        <v>45487</v>
      </c>
      <c r="D35" s="4" t="s">
        <v>292</v>
      </c>
      <c r="E35">
        <v>10</v>
      </c>
      <c r="F35">
        <v>25</v>
      </c>
      <c r="G35" t="s">
        <v>293</v>
      </c>
      <c r="H35" s="69">
        <v>6</v>
      </c>
      <c r="I35">
        <v>15</v>
      </c>
      <c r="J35">
        <v>7</v>
      </c>
      <c r="K35">
        <v>1</v>
      </c>
      <c r="L35">
        <f>COUNTIF(Visits!AD:AD,Sessions!A35)</f>
        <v>5</v>
      </c>
    </row>
    <row r="36" spans="1:12" ht="15.75" customHeight="1">
      <c r="A36" s="5">
        <v>35</v>
      </c>
      <c r="B36" t="s">
        <v>294</v>
      </c>
      <c r="C36" s="56">
        <v>45492</v>
      </c>
      <c r="D36" s="4" t="s">
        <v>295</v>
      </c>
      <c r="E36">
        <v>0</v>
      </c>
      <c r="F36">
        <v>0</v>
      </c>
      <c r="G36" t="s">
        <v>253</v>
      </c>
      <c r="H36" s="69">
        <v>1</v>
      </c>
      <c r="I36">
        <v>12</v>
      </c>
      <c r="J36">
        <v>7</v>
      </c>
      <c r="K36">
        <v>1</v>
      </c>
      <c r="L36">
        <f>COUNTIF(Visits!AD:AD,Sessions!A36)</f>
        <v>12</v>
      </c>
    </row>
    <row r="37" spans="1:12" ht="15.75" customHeight="1">
      <c r="A37" s="5">
        <v>36</v>
      </c>
      <c r="B37" t="s">
        <v>296</v>
      </c>
      <c r="C37" s="56">
        <v>45514</v>
      </c>
      <c r="D37" s="4" t="s">
        <v>256</v>
      </c>
      <c r="E37">
        <v>6</v>
      </c>
      <c r="F37">
        <v>17</v>
      </c>
      <c r="G37" t="s">
        <v>254</v>
      </c>
      <c r="H37">
        <v>6</v>
      </c>
      <c r="I37">
        <v>15</v>
      </c>
      <c r="J37">
        <v>7</v>
      </c>
      <c r="K37">
        <v>1</v>
      </c>
      <c r="L37">
        <f>COUNTIF(Visits!AD:AD,Sessions!A37)</f>
        <v>0</v>
      </c>
    </row>
    <row r="38" spans="1:12" ht="15.75" customHeight="1">
      <c r="A38" s="5">
        <v>37</v>
      </c>
      <c r="B38" t="s">
        <v>297</v>
      </c>
      <c r="C38" s="56">
        <v>45499</v>
      </c>
      <c r="D38" s="4" t="s">
        <v>298</v>
      </c>
      <c r="E38">
        <v>2</v>
      </c>
      <c r="F38">
        <v>5</v>
      </c>
      <c r="G38" t="s">
        <v>272</v>
      </c>
      <c r="H38">
        <v>3</v>
      </c>
      <c r="I38">
        <v>25</v>
      </c>
      <c r="J38">
        <v>7</v>
      </c>
      <c r="K38">
        <v>1</v>
      </c>
      <c r="L38">
        <f>COUNTIF(Visits!AD:AD,Sessions!A38)</f>
        <v>19</v>
      </c>
    </row>
    <row r="39" spans="1:12" ht="15.75" customHeight="1">
      <c r="A39" s="5">
        <v>38</v>
      </c>
      <c r="B39" t="s">
        <v>299</v>
      </c>
      <c r="C39" s="56">
        <v>45506</v>
      </c>
      <c r="D39" s="4" t="s">
        <v>298</v>
      </c>
      <c r="E39">
        <v>0</v>
      </c>
      <c r="F39">
        <v>0</v>
      </c>
      <c r="G39" t="s">
        <v>253</v>
      </c>
      <c r="H39">
        <v>1</v>
      </c>
      <c r="I39">
        <v>10</v>
      </c>
      <c r="J39">
        <v>8</v>
      </c>
      <c r="K39">
        <v>1</v>
      </c>
      <c r="L39">
        <f>COUNTIF(Visits!AD:AD,Sessions!A39)</f>
        <v>4</v>
      </c>
    </row>
    <row r="40" spans="1:12" ht="15.75" customHeight="1">
      <c r="A40" s="5">
        <v>39</v>
      </c>
      <c r="B40" t="s">
        <v>300</v>
      </c>
      <c r="C40" s="56">
        <v>45522</v>
      </c>
      <c r="D40" s="4" t="s">
        <v>256</v>
      </c>
      <c r="E40">
        <v>0</v>
      </c>
      <c r="F40">
        <v>22</v>
      </c>
      <c r="G40" t="s">
        <v>252</v>
      </c>
      <c r="H40">
        <v>3</v>
      </c>
      <c r="J40">
        <v>8</v>
      </c>
      <c r="K40">
        <v>1</v>
      </c>
      <c r="L40">
        <f>COUNTIF(Visits!AD:AD,Sessions!A40)</f>
        <v>0</v>
      </c>
    </row>
    <row r="41" spans="1:12" ht="15.75" customHeight="1">
      <c r="A41" s="5">
        <v>40</v>
      </c>
      <c r="B41" t="s">
        <v>301</v>
      </c>
      <c r="C41" s="56">
        <v>45501</v>
      </c>
      <c r="D41" s="3" t="s">
        <v>259</v>
      </c>
      <c r="E41">
        <v>0</v>
      </c>
      <c r="F41">
        <v>0</v>
      </c>
      <c r="G41" t="s">
        <v>254</v>
      </c>
      <c r="H41">
        <v>3</v>
      </c>
      <c r="I41">
        <v>10</v>
      </c>
      <c r="J41">
        <v>7</v>
      </c>
      <c r="K41">
        <v>2</v>
      </c>
      <c r="L41">
        <f>COUNTIF(Visits!AD:AD,Sessions!A41)</f>
        <v>6</v>
      </c>
    </row>
    <row r="42" spans="1:12" ht="15.75" customHeight="1">
      <c r="A42" s="5">
        <v>41</v>
      </c>
      <c r="B42" t="s">
        <v>302</v>
      </c>
      <c r="C42" s="56">
        <v>45540</v>
      </c>
      <c r="D42" s="4" t="s">
        <v>283</v>
      </c>
      <c r="E42">
        <v>5</v>
      </c>
      <c r="F42">
        <v>12</v>
      </c>
      <c r="G42" t="s">
        <v>254</v>
      </c>
      <c r="I42">
        <v>10</v>
      </c>
      <c r="J42">
        <v>9</v>
      </c>
      <c r="L42">
        <f>COUNTIF(Visits!AD:AD,Sessions!A42)</f>
        <v>0</v>
      </c>
    </row>
    <row r="43" spans="1:12" ht="15.75" customHeight="1">
      <c r="A43" s="5">
        <v>42</v>
      </c>
      <c r="B43" t="s">
        <v>303</v>
      </c>
      <c r="C43" s="56">
        <v>45520</v>
      </c>
      <c r="D43" s="4" t="s">
        <v>298</v>
      </c>
      <c r="E43">
        <v>2</v>
      </c>
      <c r="F43">
        <v>5</v>
      </c>
      <c r="G43" t="s">
        <v>272</v>
      </c>
      <c r="I43">
        <v>25</v>
      </c>
      <c r="J43">
        <v>7</v>
      </c>
      <c r="L43">
        <f>COUNTIF(Visits!AD:AD,Sessions!A43)</f>
        <v>0</v>
      </c>
    </row>
    <row r="44" spans="1:12" ht="15.75" customHeight="1">
      <c r="A44" s="5">
        <v>43</v>
      </c>
      <c r="B44" t="s">
        <v>304</v>
      </c>
      <c r="C44" s="56">
        <v>45536</v>
      </c>
      <c r="D44" s="4" t="s">
        <v>259</v>
      </c>
      <c r="E44">
        <v>8</v>
      </c>
      <c r="F44">
        <v>22</v>
      </c>
      <c r="G44" t="s">
        <v>254</v>
      </c>
      <c r="L44">
        <f>COUNTIF(Visits!AD:AD,Sessions!A44)</f>
        <v>0</v>
      </c>
    </row>
    <row r="45" spans="1:12" ht="15.75" customHeight="1">
      <c r="A45" s="5">
        <v>44</v>
      </c>
      <c r="B45" t="s">
        <v>305</v>
      </c>
      <c r="C45" s="56">
        <v>45535</v>
      </c>
      <c r="D45" s="4" t="s">
        <v>306</v>
      </c>
      <c r="E45">
        <v>10</v>
      </c>
      <c r="F45">
        <v>25</v>
      </c>
      <c r="G45" t="s">
        <v>254</v>
      </c>
      <c r="I45">
        <v>25</v>
      </c>
      <c r="K45">
        <v>1</v>
      </c>
      <c r="L45">
        <f>COUNTIF(Visits!AD:AD,Sessions!A45)</f>
        <v>0</v>
      </c>
    </row>
    <row r="46" spans="1:12" ht="15.75" customHeight="1">
      <c r="L46">
        <f>COUNTIF(Visits!AD:AD,Sessions!A46)</f>
        <v>0</v>
      </c>
    </row>
    <row r="47" spans="1:12" ht="15.75" customHeight="1">
      <c r="L47">
        <f>COUNTIF(Visits!AD:AD,Sessions!A47)</f>
        <v>0</v>
      </c>
    </row>
    <row r="48" spans="1:12" ht="15.75" customHeight="1">
      <c r="L48">
        <f>COUNTIF(Visits!AD:AD,Sessions!A48)</f>
        <v>0</v>
      </c>
    </row>
    <row r="49" spans="12:12" ht="15.75" customHeight="1">
      <c r="L49">
        <f>COUNTIF(Visits!AD:AD,Sessions!A49)</f>
        <v>0</v>
      </c>
    </row>
    <row r="50" spans="12:12" ht="15.75" customHeight="1">
      <c r="L50">
        <f>COUNTIF(Visits!AD:AD,Sessions!A50)</f>
        <v>0</v>
      </c>
    </row>
    <row r="51" spans="12:12" ht="15.75" customHeight="1">
      <c r="L51">
        <f>COUNTIF(Visits!AD:AD,Sessions!A51)</f>
        <v>0</v>
      </c>
    </row>
    <row r="52" spans="12:12" ht="15.75" customHeight="1">
      <c r="L52">
        <f>COUNTIF(Visits!AD:AD,Sessions!A52)</f>
        <v>0</v>
      </c>
    </row>
    <row r="53" spans="12:12" ht="15.75" customHeight="1">
      <c r="L53">
        <f>COUNTIF(Visits!AD:AD,Sessions!A53)</f>
        <v>0</v>
      </c>
    </row>
    <row r="54" spans="12:12" ht="15.75" customHeight="1">
      <c r="L54">
        <f>COUNTIF(Visits!AD:AD,Sessions!A54)</f>
        <v>0</v>
      </c>
    </row>
    <row r="55" spans="12:12" ht="15.75" customHeight="1">
      <c r="L55">
        <f>COUNTIF(Visits!AD:AD,Sessions!A55)</f>
        <v>0</v>
      </c>
    </row>
    <row r="56" spans="12:12" ht="15.75" customHeight="1">
      <c r="L56">
        <f>COUNTIF(Visits!AD:AD,Sessions!A56)</f>
        <v>0</v>
      </c>
    </row>
    <row r="57" spans="12:12" ht="15.75" customHeight="1">
      <c r="L57">
        <f>COUNTIF(Visits!AD:AD,Sessions!A57)</f>
        <v>0</v>
      </c>
    </row>
    <row r="58" spans="12:12" ht="15.75" customHeight="1">
      <c r="L58">
        <f>COUNTIF(Visits!AD:AD,Sessions!A58)</f>
        <v>0</v>
      </c>
    </row>
    <row r="59" spans="12:12" ht="15.75" customHeight="1">
      <c r="L59">
        <f>COUNTIF(Visits!AD:AD,Sessions!A59)</f>
        <v>0</v>
      </c>
    </row>
    <row r="60" spans="12:12" ht="15.75" customHeight="1">
      <c r="L60">
        <f>COUNTIF(Visits!AD:AD,Sessions!A60)</f>
        <v>0</v>
      </c>
    </row>
    <row r="61" spans="12:12" ht="15.75" customHeight="1">
      <c r="L61">
        <f>COUNTIF(Visits!AD:AD,Sessions!A61)</f>
        <v>0</v>
      </c>
    </row>
    <row r="62" spans="12:12" ht="15.75" customHeight="1">
      <c r="L62">
        <f>COUNTIF(Visits!AD:AD,Sessions!A62)</f>
        <v>0</v>
      </c>
    </row>
    <row r="63" spans="12:12" ht="15.75" customHeight="1">
      <c r="L63">
        <f>COUNTIF(Visits!AD:AD,Sessions!A63)</f>
        <v>0</v>
      </c>
    </row>
    <row r="64" spans="12:12" ht="15.75" customHeight="1">
      <c r="L64">
        <f>COUNTIF(Visits!AD:AD,Sessions!A64)</f>
        <v>0</v>
      </c>
    </row>
    <row r="65" spans="12:12" ht="15.75" customHeight="1">
      <c r="L65">
        <f>COUNTIF(Visits!AD:AD,Sessions!A65)</f>
        <v>0</v>
      </c>
    </row>
    <row r="66" spans="12:12" ht="15.75" customHeight="1">
      <c r="L66">
        <f>COUNTIF(Visits!AD:AD,Sessions!A66)</f>
        <v>0</v>
      </c>
    </row>
    <row r="67" spans="12:12" ht="15.75" customHeight="1">
      <c r="L67">
        <f>COUNTIF(Visits!AD:AD,Sessions!A67)</f>
        <v>0</v>
      </c>
    </row>
    <row r="68" spans="12:12" ht="15.75" customHeight="1">
      <c r="L68">
        <f>COUNTIF(Visits!AD:AD,Sessions!A68)</f>
        <v>0</v>
      </c>
    </row>
    <row r="69" spans="12:12" ht="15.75" customHeight="1">
      <c r="L69">
        <f>COUNTIF(Visits!AD:AD,Sessions!A69)</f>
        <v>0</v>
      </c>
    </row>
  </sheetData>
  <autoFilter ref="A1:O69" xr:uid="{744124B6-E9A6-BA46-ABA6-144AA727E451}"/>
  <sortState xmlns:xlrd2="http://schemas.microsoft.com/office/spreadsheetml/2017/richdata2" ref="A2:I1048575">
    <sortCondition ref="I2:I1048575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4478-8974-4158-8A7A-467773E4A647}">
  <sheetPr>
    <tabColor rgb="FFFFFF00"/>
  </sheetPr>
  <dimension ref="A1:F170"/>
  <sheetViews>
    <sheetView tabSelected="1" topLeftCell="A109" zoomScale="130" zoomScaleNormal="130" workbookViewId="0">
      <selection activeCell="C129" sqref="C129"/>
    </sheetView>
  </sheetViews>
  <sheetFormatPr defaultColWidth="11" defaultRowHeight="15.95"/>
  <cols>
    <col min="1" max="1" width="35.875" style="11" bestFit="1" customWidth="1"/>
    <col min="2" max="2" width="14.375" style="11" bestFit="1" customWidth="1"/>
    <col min="3" max="3" width="20.375" style="11" bestFit="1" customWidth="1"/>
    <col min="4" max="4" width="18.5" style="22" customWidth="1"/>
    <col min="5" max="5" width="25.375" customWidth="1"/>
    <col min="6" max="6" width="12.625" customWidth="1"/>
  </cols>
  <sheetData>
    <row r="1" spans="1:6" s="6" customFormat="1">
      <c r="A1" s="10" t="s">
        <v>307</v>
      </c>
      <c r="B1" s="10" t="s">
        <v>98</v>
      </c>
      <c r="C1" s="10" t="s">
        <v>99</v>
      </c>
      <c r="D1" s="20" t="s">
        <v>308</v>
      </c>
      <c r="E1" s="6" t="s">
        <v>6</v>
      </c>
      <c r="F1" s="6" t="s">
        <v>309</v>
      </c>
    </row>
    <row r="2" spans="1:6">
      <c r="A2" s="11" t="s">
        <v>125</v>
      </c>
      <c r="B2" s="12" t="s">
        <v>310</v>
      </c>
      <c r="C2" s="12" t="s">
        <v>311</v>
      </c>
      <c r="D2" s="21" t="s">
        <v>312</v>
      </c>
      <c r="E2" t="str">
        <f>B2&amp;" "&amp;C2</f>
        <v>Aidana Kassymova</v>
      </c>
      <c r="F2" t="str">
        <f>IF(IFERROR(VLOOKUP(Users!E2,Credits!A:A,1,FALSE),"NO")="NO","NO","YES")</f>
        <v>YES</v>
      </c>
    </row>
    <row r="3" spans="1:6">
      <c r="A3" s="11" t="s">
        <v>127</v>
      </c>
      <c r="B3" s="11" t="s">
        <v>313</v>
      </c>
      <c r="C3" s="11" t="s">
        <v>314</v>
      </c>
      <c r="E3" t="str">
        <f t="shared" ref="E3:E54" si="0">B3&amp;" "&amp;C3</f>
        <v>Aleksejs Pleskovs</v>
      </c>
      <c r="F3" t="str">
        <f>IF(IFERROR(VLOOKUP(Users!E3,Credits!A:A,1,FALSE),"NO")="NO","NO","YES")</f>
        <v>NO</v>
      </c>
    </row>
    <row r="4" spans="1:6">
      <c r="B4" s="11" t="s">
        <v>315</v>
      </c>
      <c r="C4" s="11" t="s">
        <v>316</v>
      </c>
      <c r="D4" s="22" t="s">
        <v>317</v>
      </c>
      <c r="E4" t="str">
        <f t="shared" si="0"/>
        <v>Ali Damirzada</v>
      </c>
      <c r="F4" t="str">
        <f>IF(IFERROR(VLOOKUP(Users!E4,Credits!A:A,1,FALSE),"NO")="NO","NO","YES")</f>
        <v>NO</v>
      </c>
    </row>
    <row r="5" spans="1:6">
      <c r="A5" s="12" t="s">
        <v>173</v>
      </c>
      <c r="B5" s="12" t="s">
        <v>318</v>
      </c>
      <c r="C5" s="12" t="s">
        <v>319</v>
      </c>
      <c r="D5" s="21" t="s">
        <v>320</v>
      </c>
      <c r="E5" t="str">
        <f t="shared" si="0"/>
        <v>Alina Galimova</v>
      </c>
      <c r="F5" t="str">
        <f>IF(IFERROR(VLOOKUP(Users!E5,Credits!A:A,1,FALSE),"NO")="NO","NO","YES")</f>
        <v>NO</v>
      </c>
    </row>
    <row r="6" spans="1:6">
      <c r="A6" s="80" t="s">
        <v>321</v>
      </c>
      <c r="B6" s="11" t="s">
        <v>318</v>
      </c>
      <c r="C6" s="11" t="s">
        <v>322</v>
      </c>
      <c r="D6" s="22" t="s">
        <v>323</v>
      </c>
      <c r="E6" t="str">
        <f t="shared" si="0"/>
        <v>Alina Flatscher</v>
      </c>
      <c r="F6" t="str">
        <f>IF(IFERROR(VLOOKUP(Users!E6,Credits!A:A,1,FALSE),"NO")="NO","NO","YES")</f>
        <v>NO</v>
      </c>
    </row>
    <row r="7" spans="1:6">
      <c r="A7" t="s">
        <v>324</v>
      </c>
      <c r="B7" s="11" t="s">
        <v>325</v>
      </c>
      <c r="C7" s="11" t="s">
        <v>326</v>
      </c>
      <c r="D7" s="22" t="s">
        <v>327</v>
      </c>
      <c r="E7" t="str">
        <f t="shared" si="0"/>
        <v>Ana Vasques</v>
      </c>
      <c r="F7" t="str">
        <f>IF(IFERROR(VLOOKUP(Users!E7,Credits!A:A,1,FALSE),"NO")="NO","NO","YES")</f>
        <v>NO</v>
      </c>
    </row>
    <row r="8" spans="1:6">
      <c r="A8" s="12" t="s">
        <v>165</v>
      </c>
      <c r="B8" s="12" t="s">
        <v>328</v>
      </c>
      <c r="C8" s="12" t="s">
        <v>329</v>
      </c>
      <c r="D8" s="21" t="s">
        <v>330</v>
      </c>
      <c r="E8" t="str">
        <f t="shared" si="0"/>
        <v>Anahita Yousefi</v>
      </c>
      <c r="F8" t="str">
        <f>IF(IFERROR(VLOOKUP(Users!E8,Credits!A:A,1,FALSE),"NO")="NO","NO","YES")</f>
        <v>NO</v>
      </c>
    </row>
    <row r="9" spans="1:6">
      <c r="A9" s="12" t="s">
        <v>132</v>
      </c>
      <c r="B9" s="12" t="s">
        <v>331</v>
      </c>
      <c r="C9" s="12" t="s">
        <v>332</v>
      </c>
      <c r="D9" s="21"/>
      <c r="E9" t="str">
        <f t="shared" si="0"/>
        <v>Anaita Agatic</v>
      </c>
      <c r="F9" t="str">
        <f>IF(IFERROR(VLOOKUP(Users!E9,Credits!A:A,1,FALSE),"NO")="NO","NO","YES")</f>
        <v>NO</v>
      </c>
    </row>
    <row r="10" spans="1:6">
      <c r="A10" s="12" t="s">
        <v>162</v>
      </c>
      <c r="B10" s="12" t="s">
        <v>333</v>
      </c>
      <c r="C10" s="12" t="s">
        <v>334</v>
      </c>
      <c r="D10" s="21" t="s">
        <v>335</v>
      </c>
      <c r="E10" t="str">
        <f t="shared" si="0"/>
        <v>Anamaria Parsons</v>
      </c>
      <c r="F10" t="str">
        <f>IF(IFERROR(VLOOKUP(Users!E10,Credits!A:A,1,FALSE),"NO")="NO","NO","YES")</f>
        <v>NO</v>
      </c>
    </row>
    <row r="11" spans="1:6">
      <c r="A11" s="12" t="s">
        <v>175</v>
      </c>
      <c r="B11" s="12" t="s">
        <v>336</v>
      </c>
      <c r="C11" s="12" t="s">
        <v>337</v>
      </c>
      <c r="D11" s="21" t="s">
        <v>338</v>
      </c>
      <c r="E11" t="str">
        <f t="shared" si="0"/>
        <v>Andrew Hetherington</v>
      </c>
      <c r="F11" t="str">
        <f>IF(IFERROR(VLOOKUP(Users!E11,Credits!A:A,1,FALSE),"NO")="NO","NO","YES")</f>
        <v>NO</v>
      </c>
    </row>
    <row r="12" spans="1:6">
      <c r="A12" s="80" t="s">
        <v>339</v>
      </c>
      <c r="B12" s="11" t="s">
        <v>336</v>
      </c>
      <c r="C12" s="11" t="s">
        <v>340</v>
      </c>
      <c r="D12" s="22" t="s">
        <v>341</v>
      </c>
      <c r="E12" t="str">
        <f t="shared" si="0"/>
        <v>Andrew Ikonnikov</v>
      </c>
      <c r="F12" t="str">
        <f>IF(IFERROR(VLOOKUP(Users!E12,Credits!A:A,1,FALSE),"NO")="NO","NO","YES")</f>
        <v>NO</v>
      </c>
    </row>
    <row r="13" spans="1:6">
      <c r="A13" t="s">
        <v>342</v>
      </c>
      <c r="B13" s="12" t="s">
        <v>343</v>
      </c>
      <c r="C13" s="12" t="s">
        <v>344</v>
      </c>
      <c r="D13">
        <v>7730398818</v>
      </c>
      <c r="E13" t="str">
        <f t="shared" si="0"/>
        <v>Angela Kiva</v>
      </c>
      <c r="F13" t="str">
        <f>IF(IFERROR(VLOOKUP(Users!E13,Credits!A:A,1,FALSE),"NO")="NO","NO","YES")</f>
        <v>YES</v>
      </c>
    </row>
    <row r="14" spans="1:6">
      <c r="A14" s="80" t="s">
        <v>345</v>
      </c>
      <c r="B14" s="11" t="s">
        <v>346</v>
      </c>
      <c r="C14" s="11" t="s">
        <v>347</v>
      </c>
      <c r="D14" s="22" t="s">
        <v>348</v>
      </c>
      <c r="E14" t="str">
        <f t="shared" si="0"/>
        <v>Anisha Sood</v>
      </c>
      <c r="F14" t="str">
        <f>IF(IFERROR(VLOOKUP(Users!E14,Credits!A:A,1,FALSE),"NO")="NO","NO","YES")</f>
        <v>NO</v>
      </c>
    </row>
    <row r="15" spans="1:6">
      <c r="A15" t="s">
        <v>158</v>
      </c>
      <c r="B15" s="12" t="s">
        <v>349</v>
      </c>
      <c r="C15" s="12" t="s">
        <v>350</v>
      </c>
      <c r="D15" s="21" t="s">
        <v>351</v>
      </c>
      <c r="E15" t="str">
        <f t="shared" si="0"/>
        <v>Audrey Hutabarat</v>
      </c>
      <c r="F15" t="str">
        <f>IF(IFERROR(VLOOKUP(Users!E15,Credits!A:A,1,FALSE),"NO")="NO","NO","YES")</f>
        <v>NO</v>
      </c>
    </row>
    <row r="16" spans="1:6">
      <c r="A16" s="80" t="s">
        <v>352</v>
      </c>
      <c r="B16" s="11" t="s">
        <v>353</v>
      </c>
      <c r="C16" s="11" t="s">
        <v>354</v>
      </c>
      <c r="D16" s="22" t="s">
        <v>355</v>
      </c>
      <c r="E16" t="str">
        <f t="shared" si="0"/>
        <v>Bev McCrory</v>
      </c>
      <c r="F16" t="str">
        <f>IF(IFERROR(VLOOKUP(Users!E16,Credits!A:A,1,FALSE),"NO")="NO","NO","YES")</f>
        <v>NO</v>
      </c>
    </row>
    <row r="17" spans="1:6">
      <c r="A17" s="80" t="s">
        <v>356</v>
      </c>
      <c r="B17" s="11" t="s">
        <v>357</v>
      </c>
      <c r="C17" s="11" t="s">
        <v>358</v>
      </c>
      <c r="D17" s="22" t="s">
        <v>359</v>
      </c>
      <c r="E17" t="str">
        <f t="shared" si="0"/>
        <v>Camilla Carrapatoso</v>
      </c>
      <c r="F17" t="str">
        <f>IF(IFERROR(VLOOKUP(Users!E17,Credits!A:A,1,FALSE),"NO")="NO","NO","YES")</f>
        <v>NO</v>
      </c>
    </row>
    <row r="18" spans="1:6">
      <c r="A18" s="12" t="s">
        <v>151</v>
      </c>
      <c r="B18" s="12" t="s">
        <v>360</v>
      </c>
      <c r="C18" s="12" t="s">
        <v>361</v>
      </c>
      <c r="D18" s="21" t="s">
        <v>362</v>
      </c>
      <c r="E18" t="str">
        <f t="shared" si="0"/>
        <v>Cecilia Lee</v>
      </c>
      <c r="F18" t="str">
        <f>IF(IFERROR(VLOOKUP(Users!E18,Credits!A:A,1,FALSE),"NO")="NO","NO","YES")</f>
        <v>NO</v>
      </c>
    </row>
    <row r="19" spans="1:6">
      <c r="A19" s="80" t="s">
        <v>363</v>
      </c>
      <c r="B19" s="11" t="s">
        <v>364</v>
      </c>
      <c r="C19" s="11" t="s">
        <v>365</v>
      </c>
      <c r="D19" s="22" t="s">
        <v>366</v>
      </c>
      <c r="E19" t="str">
        <f t="shared" si="0"/>
        <v>Celia Sattamino</v>
      </c>
      <c r="F19" t="str">
        <f>IF(IFERROR(VLOOKUP(Users!E19,Credits!A:A,1,FALSE),"NO")="NO","NO","YES")</f>
        <v>NO</v>
      </c>
    </row>
    <row r="20" spans="1:6">
      <c r="A20" s="12" t="s">
        <v>130</v>
      </c>
      <c r="B20" s="12" t="s">
        <v>367</v>
      </c>
      <c r="C20" s="12" t="s">
        <v>368</v>
      </c>
      <c r="D20" s="21" t="s">
        <v>369</v>
      </c>
      <c r="E20" t="str">
        <f t="shared" si="0"/>
        <v>Claire Couchman</v>
      </c>
      <c r="F20" t="str">
        <f>IF(IFERROR(VLOOKUP(Users!E20,Credits!A:A,1,FALSE),"NO")="NO","NO","YES")</f>
        <v>YES</v>
      </c>
    </row>
    <row r="21" spans="1:6">
      <c r="A21" s="12" t="s">
        <v>141</v>
      </c>
      <c r="B21" s="12" t="s">
        <v>370</v>
      </c>
      <c r="C21" s="12" t="s">
        <v>370</v>
      </c>
      <c r="D21" s="21" t="s">
        <v>371</v>
      </c>
      <c r="E21" t="str">
        <f t="shared" si="0"/>
        <v>Claudia Claudia</v>
      </c>
      <c r="F21" t="str">
        <f>IF(IFERROR(VLOOKUP(Users!E21,Credits!A:A,1,FALSE),"NO")="NO","NO","YES")</f>
        <v>NO</v>
      </c>
    </row>
    <row r="22" spans="1:6">
      <c r="A22" s="80" t="s">
        <v>372</v>
      </c>
      <c r="B22" s="11" t="s">
        <v>373</v>
      </c>
      <c r="C22" s="11" t="s">
        <v>374</v>
      </c>
      <c r="E22" t="str">
        <f t="shared" si="0"/>
        <v>Corneliu Civig</v>
      </c>
      <c r="F22" t="str">
        <f>IF(IFERROR(VLOOKUP(Users!E22,Credits!A:A,1,FALSE),"NO")="NO","NO","YES")</f>
        <v>NO</v>
      </c>
    </row>
    <row r="23" spans="1:6">
      <c r="A23" s="12" t="s">
        <v>122</v>
      </c>
      <c r="B23" s="12" t="s">
        <v>375</v>
      </c>
      <c r="C23" s="12" t="s">
        <v>376</v>
      </c>
      <c r="D23" s="21" t="s">
        <v>377</v>
      </c>
      <c r="E23" t="str">
        <f t="shared" si="0"/>
        <v>Daniel Lugg</v>
      </c>
      <c r="F23" t="str">
        <f>IF(IFERROR(VLOOKUP(Users!E23,Credits!A:A,1,FALSE),"NO")="NO","NO","YES")</f>
        <v>YES</v>
      </c>
    </row>
    <row r="24" spans="1:6">
      <c r="A24" s="80" t="s">
        <v>378</v>
      </c>
      <c r="B24" s="11" t="s">
        <v>375</v>
      </c>
      <c r="C24" s="11" t="s">
        <v>379</v>
      </c>
      <c r="D24" s="22" t="s">
        <v>380</v>
      </c>
      <c r="E24" t="str">
        <f t="shared" si="0"/>
        <v>Daniel Dmello</v>
      </c>
      <c r="F24" t="str">
        <f>IF(IFERROR(VLOOKUP(Users!E24,Credits!A:A,1,FALSE),"NO")="NO","NO","YES")</f>
        <v>NO</v>
      </c>
    </row>
    <row r="25" spans="1:6">
      <c r="A25" s="12" t="s">
        <v>147</v>
      </c>
      <c r="B25" s="12" t="s">
        <v>381</v>
      </c>
      <c r="C25" s="12" t="s">
        <v>382</v>
      </c>
      <c r="D25" s="21" t="s">
        <v>383</v>
      </c>
      <c r="E25" t="str">
        <f t="shared" si="0"/>
        <v>Daniela Jones</v>
      </c>
      <c r="F25" t="str">
        <f>IF(IFERROR(VLOOKUP(Users!E25,Credits!A:A,1,FALSE),"NO")="NO","NO","YES")</f>
        <v>YES</v>
      </c>
    </row>
    <row r="26" spans="1:6">
      <c r="A26" s="12" t="s">
        <v>157</v>
      </c>
      <c r="B26" s="12" t="s">
        <v>384</v>
      </c>
      <c r="C26" s="12" t="s">
        <v>385</v>
      </c>
      <c r="D26" s="21"/>
      <c r="E26" t="str">
        <f t="shared" si="0"/>
        <v>David Barden</v>
      </c>
      <c r="F26" t="str">
        <f>IF(IFERROR(VLOOKUP(Users!E26,Credits!A:A,1,FALSE),"NO")="NO","NO","YES")</f>
        <v>NO</v>
      </c>
    </row>
    <row r="27" spans="1:6">
      <c r="A27" s="80" t="s">
        <v>386</v>
      </c>
      <c r="B27" s="11" t="s">
        <v>387</v>
      </c>
      <c r="C27" s="11" t="s">
        <v>322</v>
      </c>
      <c r="D27" s="22" t="s">
        <v>388</v>
      </c>
      <c r="E27" t="str">
        <f t="shared" si="0"/>
        <v>David  Flatscher</v>
      </c>
      <c r="F27" t="str">
        <f>IF(IFERROR(VLOOKUP(Users!E27,Credits!A:A,1,FALSE),"NO")="NO","NO","YES")</f>
        <v>NO</v>
      </c>
    </row>
    <row r="28" spans="1:6">
      <c r="A28" s="12" t="s">
        <v>166</v>
      </c>
      <c r="B28" s="12" t="s">
        <v>389</v>
      </c>
      <c r="C28" s="12" t="s">
        <v>390</v>
      </c>
      <c r="D28" s="21" t="s">
        <v>391</v>
      </c>
      <c r="E28" t="str">
        <f t="shared" si="0"/>
        <v>Davide Veronese</v>
      </c>
      <c r="F28" t="str">
        <f>IF(IFERROR(VLOOKUP(Users!E28,Credits!A:A,1,FALSE),"NO")="NO","NO","YES")</f>
        <v>NO</v>
      </c>
    </row>
    <row r="29" spans="1:6">
      <c r="A29" s="11" t="s">
        <v>392</v>
      </c>
      <c r="B29" s="11" t="s">
        <v>393</v>
      </c>
      <c r="C29" s="11" t="s">
        <v>394</v>
      </c>
      <c r="D29" s="22" t="s">
        <v>395</v>
      </c>
      <c r="E29" t="str">
        <f t="shared" si="0"/>
        <v>Dildeep Singh</v>
      </c>
      <c r="F29" t="str">
        <f>IF(IFERROR(VLOOKUP(Users!E29,Credits!A:A,1,FALSE),"NO")="NO","NO","YES")</f>
        <v>YES</v>
      </c>
    </row>
    <row r="30" spans="1:6">
      <c r="A30" s="80" t="s">
        <v>396</v>
      </c>
      <c r="B30" s="11" t="s">
        <v>397</v>
      </c>
      <c r="C30" s="11" t="s">
        <v>398</v>
      </c>
      <c r="D30" s="22" t="s">
        <v>399</v>
      </c>
      <c r="E30" t="str">
        <f t="shared" si="0"/>
        <v>Donna Achara</v>
      </c>
      <c r="F30" t="str">
        <f>IF(IFERROR(VLOOKUP(Users!E30,Credits!A:A,1,FALSE),"NO")="NO","NO","YES")</f>
        <v>NO</v>
      </c>
    </row>
    <row r="31" spans="1:6">
      <c r="A31" s="12" t="s">
        <v>174</v>
      </c>
      <c r="B31" s="12" t="s">
        <v>400</v>
      </c>
      <c r="C31" s="12" t="s">
        <v>401</v>
      </c>
      <c r="D31" s="21" t="s">
        <v>402</v>
      </c>
      <c r="E31" t="str">
        <f t="shared" si="0"/>
        <v>Egemen U</v>
      </c>
      <c r="F31" t="str">
        <f>IF(IFERROR(VLOOKUP(Users!E31,Credits!A:A,1,FALSE),"NO")="NO","NO","YES")</f>
        <v>NO</v>
      </c>
    </row>
    <row r="32" spans="1:6">
      <c r="A32" s="80" t="s">
        <v>403</v>
      </c>
      <c r="B32" s="11" t="s">
        <v>404</v>
      </c>
      <c r="C32" s="11" t="s">
        <v>405</v>
      </c>
      <c r="D32" s="22" t="s">
        <v>406</v>
      </c>
      <c r="E32" t="str">
        <f t="shared" si="0"/>
        <v>Ejike Onuchukwu</v>
      </c>
      <c r="F32" t="str">
        <f>IF(IFERROR(VLOOKUP(Users!E32,Credits!A:A,1,FALSE),"NO")="NO","NO","YES")</f>
        <v>NO</v>
      </c>
    </row>
    <row r="33" spans="1:6">
      <c r="A33" t="s">
        <v>407</v>
      </c>
      <c r="B33" s="11" t="s">
        <v>408</v>
      </c>
      <c r="C33" s="11" t="s">
        <v>409</v>
      </c>
      <c r="D33" s="22" t="s">
        <v>410</v>
      </c>
      <c r="E33" t="str">
        <f t="shared" si="0"/>
        <v>Elena Dementeva</v>
      </c>
      <c r="F33" t="str">
        <f>IF(IFERROR(VLOOKUP(Users!E33,Credits!A:A,1,FALSE),"NO")="NO","NO","YES")</f>
        <v>YES</v>
      </c>
    </row>
    <row r="34" spans="1:6">
      <c r="A34" s="12" t="s">
        <v>171</v>
      </c>
      <c r="B34" s="12" t="s">
        <v>408</v>
      </c>
      <c r="C34" s="12" t="s">
        <v>411</v>
      </c>
      <c r="D34" s="21" t="s">
        <v>412</v>
      </c>
      <c r="E34" t="str">
        <f t="shared" si="0"/>
        <v>Elena Kuvshinnikova</v>
      </c>
      <c r="F34" t="str">
        <f>IF(IFERROR(VLOOKUP(Users!E34,Credits!A:A,1,FALSE),"NO")="NO","NO","YES")</f>
        <v>NO</v>
      </c>
    </row>
    <row r="35" spans="1:6">
      <c r="A35" s="80" t="s">
        <v>413</v>
      </c>
      <c r="B35" s="11" t="s">
        <v>414</v>
      </c>
      <c r="C35" s="11" t="s">
        <v>415</v>
      </c>
      <c r="D35" s="22" t="s">
        <v>416</v>
      </c>
      <c r="E35" t="str">
        <f t="shared" si="0"/>
        <v>Emily White</v>
      </c>
      <c r="F35" t="str">
        <f>IF(IFERROR(VLOOKUP(Users!E35,Credits!A:A,1,FALSE),"NO")="NO","NO","YES")</f>
        <v>NO</v>
      </c>
    </row>
    <row r="36" spans="1:6">
      <c r="A36" s="12" t="s">
        <v>148</v>
      </c>
      <c r="B36" s="12" t="s">
        <v>417</v>
      </c>
      <c r="C36" s="12" t="s">
        <v>418</v>
      </c>
      <c r="D36" s="21" t="s">
        <v>419</v>
      </c>
      <c r="E36" t="str">
        <f t="shared" si="0"/>
        <v>Eoghan Naughton</v>
      </c>
      <c r="F36" t="str">
        <f>IF(IFERROR(VLOOKUP(Users!E36,Credits!A:A,1,FALSE),"NO")="NO","NO","YES")</f>
        <v>YES</v>
      </c>
    </row>
    <row r="37" spans="1:6">
      <c r="A37" s="11" t="s">
        <v>420</v>
      </c>
      <c r="B37" s="11" t="s">
        <v>421</v>
      </c>
      <c r="C37" s="11" t="s">
        <v>422</v>
      </c>
      <c r="D37" s="22">
        <v>19176000000</v>
      </c>
      <c r="E37" t="str">
        <f t="shared" si="0"/>
        <v>Esther Chen</v>
      </c>
      <c r="F37" t="str">
        <f>IF(IFERROR(VLOOKUP(Users!E37,Credits!A:A,1,FALSE),"NO")="NO","NO","YES")</f>
        <v>NO</v>
      </c>
    </row>
    <row r="38" spans="1:6">
      <c r="A38" s="11" t="s">
        <v>423</v>
      </c>
      <c r="B38" s="11" t="s">
        <v>424</v>
      </c>
      <c r="C38" s="11" t="s">
        <v>425</v>
      </c>
      <c r="D38" s="22" t="s">
        <v>426</v>
      </c>
      <c r="E38" t="str">
        <f t="shared" si="0"/>
        <v>Eugenia Herman</v>
      </c>
      <c r="F38" t="str">
        <f>IF(IFERROR(VLOOKUP(Users!E38,Credits!A:A,1,FALSE),"NO")="NO","NO","YES")</f>
        <v>NO</v>
      </c>
    </row>
    <row r="39" spans="1:6">
      <c r="A39" s="12" t="s">
        <v>155</v>
      </c>
      <c r="B39" s="12" t="s">
        <v>427</v>
      </c>
      <c r="C39" s="12" t="s">
        <v>428</v>
      </c>
      <c r="D39" s="21"/>
      <c r="E39" t="str">
        <f t="shared" si="0"/>
        <v>Ezgi Çakmak</v>
      </c>
      <c r="F39" t="str">
        <f>IF(IFERROR(VLOOKUP(Users!E39,Credits!A:A,1,FALSE),"NO")="NO","NO","YES")</f>
        <v>NO</v>
      </c>
    </row>
    <row r="40" spans="1:6">
      <c r="A40" s="11" t="s">
        <v>429</v>
      </c>
      <c r="B40" s="11" t="s">
        <v>430</v>
      </c>
      <c r="C40" s="11" t="s">
        <v>431</v>
      </c>
      <c r="D40" s="22" t="s">
        <v>432</v>
      </c>
      <c r="E40" t="str">
        <f t="shared" si="0"/>
        <v>Federica Martini</v>
      </c>
      <c r="F40" t="str">
        <f>IF(IFERROR(VLOOKUP(Users!E40,Credits!A:A,1,FALSE),"NO")="NO","NO","YES")</f>
        <v>NO</v>
      </c>
    </row>
    <row r="41" spans="1:6">
      <c r="B41" s="11" t="s">
        <v>433</v>
      </c>
      <c r="C41" s="11" t="s">
        <v>434</v>
      </c>
      <c r="D41" s="22" t="s">
        <v>435</v>
      </c>
      <c r="E41" t="str">
        <f t="shared" si="0"/>
        <v>Francesco Ruggiero</v>
      </c>
      <c r="F41" t="str">
        <f>IF(IFERROR(VLOOKUP(Users!E41,Credits!A:A,1,FALSE),"NO")="NO","NO","YES")</f>
        <v>NO</v>
      </c>
    </row>
    <row r="42" spans="1:6">
      <c r="A42" t="s">
        <v>436</v>
      </c>
      <c r="B42" s="11" t="s">
        <v>437</v>
      </c>
      <c r="C42" s="11" t="s">
        <v>438</v>
      </c>
      <c r="D42" s="22" t="s">
        <v>439</v>
      </c>
      <c r="E42" t="str">
        <f t="shared" si="0"/>
        <v>Giacomo Saracchi</v>
      </c>
      <c r="F42" t="str">
        <f>IF(IFERROR(VLOOKUP(Users!E42,Credits!A:A,1,FALSE),"NO")="NO","NO","YES")</f>
        <v>NO</v>
      </c>
    </row>
    <row r="43" spans="1:6">
      <c r="A43" t="s">
        <v>440</v>
      </c>
      <c r="B43" s="12" t="s">
        <v>441</v>
      </c>
      <c r="C43" s="12" t="s">
        <v>442</v>
      </c>
      <c r="D43">
        <v>7841262698</v>
      </c>
      <c r="E43" t="str">
        <f t="shared" si="0"/>
        <v>Gil K</v>
      </c>
      <c r="F43" t="str">
        <f>IF(IFERROR(VLOOKUP(Users!E43,Credits!A:A,1,FALSE),"NO")="NO","NO","YES")</f>
        <v>NO</v>
      </c>
    </row>
    <row r="44" spans="1:6">
      <c r="A44" s="12" t="s">
        <v>161</v>
      </c>
      <c r="B44" s="12" t="s">
        <v>443</v>
      </c>
      <c r="C44" s="12" t="s">
        <v>444</v>
      </c>
      <c r="D44" s="21" t="s">
        <v>445</v>
      </c>
      <c r="E44" t="str">
        <f t="shared" si="0"/>
        <v>Hanna Niczyporuk</v>
      </c>
      <c r="F44" t="str">
        <f>IF(IFERROR(VLOOKUP(Users!E44,Credits!A:A,1,FALSE),"NO")="NO","NO","YES")</f>
        <v>NO</v>
      </c>
    </row>
    <row r="45" spans="1:6">
      <c r="A45" t="s">
        <v>446</v>
      </c>
      <c r="B45" s="11" t="s">
        <v>447</v>
      </c>
      <c r="C45" s="11" t="s">
        <v>448</v>
      </c>
      <c r="D45" s="22" t="s">
        <v>449</v>
      </c>
      <c r="E45" t="str">
        <f t="shared" si="0"/>
        <v>Ioana Brezeanu</v>
      </c>
      <c r="F45" t="str">
        <f>IF(IFERROR(VLOOKUP(Users!E45,Credits!A:A,1,FALSE),"NO")="NO","NO","YES")</f>
        <v>YES</v>
      </c>
    </row>
    <row r="46" spans="1:6">
      <c r="A46" s="12" t="s">
        <v>167</v>
      </c>
      <c r="B46" s="12" t="s">
        <v>450</v>
      </c>
      <c r="C46" s="12" t="s">
        <v>451</v>
      </c>
      <c r="D46" s="21" t="s">
        <v>452</v>
      </c>
      <c r="E46" t="str">
        <f t="shared" si="0"/>
        <v>Isadora de Miranda Mello Taam</v>
      </c>
      <c r="F46" t="str">
        <f>IF(IFERROR(VLOOKUP(Users!E46,Credits!A:A,1,FALSE),"NO")="NO","NO","YES")</f>
        <v>NO</v>
      </c>
    </row>
    <row r="47" spans="1:6">
      <c r="A47" s="12" t="s">
        <v>180</v>
      </c>
      <c r="B47" s="12" t="s">
        <v>453</v>
      </c>
      <c r="C47" s="12" t="s">
        <v>454</v>
      </c>
      <c r="D47" s="21" t="s">
        <v>455</v>
      </c>
      <c r="E47" t="str">
        <f t="shared" si="0"/>
        <v>Jing Zhang</v>
      </c>
      <c r="F47" t="str">
        <f>IF(IFERROR(VLOOKUP(Users!E47,Credits!A:A,1,FALSE),"NO")="NO","NO","YES")</f>
        <v>NO</v>
      </c>
    </row>
    <row r="48" spans="1:6">
      <c r="A48" s="12" t="s">
        <v>179</v>
      </c>
      <c r="B48" s="12" t="s">
        <v>456</v>
      </c>
      <c r="C48" s="12" t="s">
        <v>457</v>
      </c>
      <c r="D48" s="21" t="s">
        <v>458</v>
      </c>
      <c r="E48" t="str">
        <f t="shared" si="0"/>
        <v>Jinish Gohil</v>
      </c>
      <c r="F48" t="str">
        <f>IF(IFERROR(VLOOKUP(Users!E48,Credits!A:A,1,FALSE),"NO")="NO","NO","YES")</f>
        <v>YES</v>
      </c>
    </row>
    <row r="49" spans="1:6">
      <c r="A49" s="12" t="s">
        <v>163</v>
      </c>
      <c r="B49" s="12" t="s">
        <v>459</v>
      </c>
      <c r="C49" s="12" t="s">
        <v>460</v>
      </c>
      <c r="D49" s="21" t="s">
        <v>461</v>
      </c>
      <c r="E49" t="str">
        <f t="shared" si="0"/>
        <v>Jonathan Chikly</v>
      </c>
      <c r="F49" t="str">
        <f>IF(IFERROR(VLOOKUP(Users!E49,Credits!A:A,1,FALSE),"NO")="NO","NO","YES")</f>
        <v>NO</v>
      </c>
    </row>
    <row r="50" spans="1:6">
      <c r="A50" s="80" t="s">
        <v>462</v>
      </c>
      <c r="B50" s="11" t="s">
        <v>463</v>
      </c>
      <c r="C50" s="11" t="s">
        <v>464</v>
      </c>
      <c r="D50" s="22" t="s">
        <v>465</v>
      </c>
      <c r="E50" t="str">
        <f t="shared" si="0"/>
        <v>Juan Pablo De La Torre</v>
      </c>
      <c r="F50" t="str">
        <f>IF(IFERROR(VLOOKUP(Users!E50,Credits!A:A,1,FALSE),"NO")="NO","NO","YES")</f>
        <v>NO</v>
      </c>
    </row>
    <row r="51" spans="1:6">
      <c r="A51" t="s">
        <v>466</v>
      </c>
      <c r="B51" s="11" t="s">
        <v>467</v>
      </c>
      <c r="C51" s="11" t="s">
        <v>468</v>
      </c>
      <c r="D51" s="22" t="s">
        <v>469</v>
      </c>
      <c r="E51" t="str">
        <f t="shared" si="0"/>
        <v>Justin Blattner</v>
      </c>
      <c r="F51" t="str">
        <f>IF(IFERROR(VLOOKUP(Users!E51,Credits!A:A,1,FALSE),"NO")="NO","NO","YES")</f>
        <v>NO</v>
      </c>
    </row>
    <row r="52" spans="1:6">
      <c r="A52" s="11" t="s">
        <v>470</v>
      </c>
      <c r="B52" s="11" t="s">
        <v>471</v>
      </c>
      <c r="C52" s="11" t="s">
        <v>472</v>
      </c>
      <c r="D52" s="22">
        <v>7469394835</v>
      </c>
      <c r="E52" t="str">
        <f t="shared" si="0"/>
        <v>Karen Johnstone</v>
      </c>
      <c r="F52" t="str">
        <f>IF(IFERROR(VLOOKUP(Users!E52,Credits!A:A,1,FALSE),"NO")="NO","NO","YES")</f>
        <v>NO</v>
      </c>
    </row>
    <row r="53" spans="1:6">
      <c r="A53" s="12" t="s">
        <v>131</v>
      </c>
      <c r="B53" s="12" t="s">
        <v>473</v>
      </c>
      <c r="C53" s="12" t="s">
        <v>474</v>
      </c>
      <c r="D53" s="21" t="s">
        <v>475</v>
      </c>
      <c r="E53" t="str">
        <f t="shared" si="0"/>
        <v>Katherine Kim</v>
      </c>
      <c r="F53" t="str">
        <f>IF(IFERROR(VLOOKUP(Users!E53,Credits!A:A,1,FALSE),"NO")="NO","NO","YES")</f>
        <v>NO</v>
      </c>
    </row>
    <row r="54" spans="1:6">
      <c r="A54" s="11" t="s">
        <v>476</v>
      </c>
      <c r="B54" s="11" t="s">
        <v>477</v>
      </c>
      <c r="C54" s="11" t="s">
        <v>478</v>
      </c>
      <c r="D54" s="22" t="s">
        <v>479</v>
      </c>
      <c r="E54" t="str">
        <f t="shared" si="0"/>
        <v>Ken Nyar</v>
      </c>
      <c r="F54" t="str">
        <f>IF(IFERROR(VLOOKUP(Users!E54,Credits!A:A,1,FALSE),"NO")="NO","NO","YES")</f>
        <v>NO</v>
      </c>
    </row>
    <row r="55" spans="1:6">
      <c r="A55" s="12" t="s">
        <v>153</v>
      </c>
      <c r="B55" s="12" t="s">
        <v>480</v>
      </c>
      <c r="C55" s="12" t="s">
        <v>481</v>
      </c>
      <c r="D55" s="21"/>
      <c r="E55" t="str">
        <f t="shared" ref="E55:E63" si="1">B55&amp;" "&amp;C55</f>
        <v>Kostas Palierakis</v>
      </c>
      <c r="F55" t="str">
        <f>IF(IFERROR(VLOOKUP(Users!E55,Credits!A:A,1,FALSE),"NO")="NO","NO","YES")</f>
        <v>NO</v>
      </c>
    </row>
    <row r="56" spans="1:6">
      <c r="A56" s="12" t="s">
        <v>136</v>
      </c>
      <c r="B56" s="12" t="s">
        <v>482</v>
      </c>
      <c r="C56" s="12" t="s">
        <v>483</v>
      </c>
      <c r="D56" s="21" t="s">
        <v>484</v>
      </c>
      <c r="E56" t="str">
        <f t="shared" si="1"/>
        <v>Laura Brown</v>
      </c>
      <c r="F56" t="str">
        <f>IF(IFERROR(VLOOKUP(Users!E56,Credits!A:A,1,FALSE),"NO")="NO","NO","YES")</f>
        <v>YES</v>
      </c>
    </row>
    <row r="57" spans="1:6">
      <c r="A57" t="s">
        <v>485</v>
      </c>
      <c r="B57" s="11" t="s">
        <v>486</v>
      </c>
      <c r="C57" s="11" t="s">
        <v>487</v>
      </c>
      <c r="D57" s="22" t="s">
        <v>488</v>
      </c>
      <c r="E57" t="str">
        <f t="shared" si="1"/>
        <v>Laure Kroely</v>
      </c>
      <c r="F57" t="str">
        <f>IF(IFERROR(VLOOKUP(Users!E57,Credits!A:A,1,FALSE),"NO")="NO","NO","YES")</f>
        <v>NO</v>
      </c>
    </row>
    <row r="58" spans="1:6">
      <c r="A58" s="12" t="s">
        <v>142</v>
      </c>
      <c r="B58" s="12" t="s">
        <v>489</v>
      </c>
      <c r="C58" s="12" t="s">
        <v>490</v>
      </c>
      <c r="D58" s="21" t="s">
        <v>491</v>
      </c>
      <c r="E58" t="str">
        <f t="shared" si="1"/>
        <v>Louise Chow</v>
      </c>
      <c r="F58" t="str">
        <f>IF(IFERROR(VLOOKUP(Users!E58,Credits!A:A,1,FALSE),"NO")="NO","NO","YES")</f>
        <v>NO</v>
      </c>
    </row>
    <row r="59" spans="1:6">
      <c r="A59" t="s">
        <v>118</v>
      </c>
      <c r="B59" s="12" t="s">
        <v>492</v>
      </c>
      <c r="C59" s="12" t="s">
        <v>493</v>
      </c>
      <c r="D59" s="21" t="s">
        <v>494</v>
      </c>
      <c r="E59" t="str">
        <f t="shared" si="1"/>
        <v>Lucy Zhou</v>
      </c>
      <c r="F59" t="str">
        <f>IF(IFERROR(VLOOKUP(Users!E59,Credits!A:A,1,FALSE),"NO")="NO","NO","YES")</f>
        <v>NO</v>
      </c>
    </row>
    <row r="60" spans="1:6">
      <c r="A60" s="14" t="s">
        <v>495</v>
      </c>
      <c r="B60" s="11" t="s">
        <v>496</v>
      </c>
      <c r="C60" s="11" t="s">
        <v>497</v>
      </c>
      <c r="D60" s="22" t="s">
        <v>498</v>
      </c>
      <c r="E60" t="str">
        <f t="shared" si="1"/>
        <v>Maggie Manolova</v>
      </c>
      <c r="F60" t="str">
        <f>IF(IFERROR(VLOOKUP(Users!E60,Credits!A:A,1,FALSE),"NO")="NO","NO","YES")</f>
        <v>YES</v>
      </c>
    </row>
    <row r="61" spans="1:6">
      <c r="A61" s="11" t="s">
        <v>499</v>
      </c>
      <c r="B61" s="11" t="s">
        <v>500</v>
      </c>
      <c r="C61" s="11" t="s">
        <v>501</v>
      </c>
      <c r="D61" s="22">
        <v>0</v>
      </c>
      <c r="E61" t="str">
        <f t="shared" si="1"/>
        <v>Malti .</v>
      </c>
      <c r="F61" t="str">
        <f>IF(IFERROR(VLOOKUP(Users!E61,Credits!A:A,1,FALSE),"NO")="NO","NO","YES")</f>
        <v>NO</v>
      </c>
    </row>
    <row r="62" spans="1:6">
      <c r="A62" s="80" t="s">
        <v>502</v>
      </c>
      <c r="B62" s="11" t="s">
        <v>503</v>
      </c>
      <c r="C62" s="11" t="s">
        <v>504</v>
      </c>
      <c r="D62" s="22" t="s">
        <v>505</v>
      </c>
      <c r="E62" t="str">
        <f t="shared" si="1"/>
        <v>Matt Hoza</v>
      </c>
      <c r="F62" t="str">
        <f>IF(IFERROR(VLOOKUP(Users!E62,Credits!A:A,1,FALSE),"NO")="NO","NO","YES")</f>
        <v>NO</v>
      </c>
    </row>
    <row r="63" spans="1:6">
      <c r="A63" s="12" t="s">
        <v>178</v>
      </c>
      <c r="B63" s="12" t="s">
        <v>506</v>
      </c>
      <c r="C63" s="12" t="s">
        <v>507</v>
      </c>
      <c r="D63" s="21" t="s">
        <v>508</v>
      </c>
      <c r="E63" t="str">
        <f t="shared" si="1"/>
        <v>Matthew Watts</v>
      </c>
      <c r="F63" t="str">
        <f>IF(IFERROR(VLOOKUP(Users!E63,Credits!A:A,1,FALSE),"NO")="NO","NO","YES")</f>
        <v>NO</v>
      </c>
    </row>
    <row r="64" spans="1:6">
      <c r="A64" t="s">
        <v>509</v>
      </c>
      <c r="B64" s="12" t="s">
        <v>510</v>
      </c>
      <c r="C64" s="12" t="s">
        <v>511</v>
      </c>
      <c r="D64">
        <v>7503778383</v>
      </c>
      <c r="E64" t="str">
        <f t="shared" ref="E64:E70" si="2">B64&amp;" "&amp;C64</f>
        <v>Mercelani Dumayday</v>
      </c>
      <c r="F64" t="str">
        <f>IF(IFERROR(VLOOKUP(Users!E64,Credits!A:A,1,FALSE),"NO")="NO","NO","YES")</f>
        <v>NO</v>
      </c>
    </row>
    <row r="65" spans="1:6">
      <c r="A65" s="12" t="s">
        <v>160</v>
      </c>
      <c r="B65" s="12" t="s">
        <v>512</v>
      </c>
      <c r="C65" s="12" t="s">
        <v>513</v>
      </c>
      <c r="D65" s="21"/>
      <c r="E65" t="str">
        <f t="shared" si="2"/>
        <v>Monique Blemur</v>
      </c>
      <c r="F65" t="str">
        <f>IF(IFERROR(VLOOKUP(Users!E65,Credits!A:A,1,FALSE),"NO")="NO","NO","YES")</f>
        <v>YES</v>
      </c>
    </row>
    <row r="66" spans="1:6">
      <c r="A66" s="11" t="s">
        <v>144</v>
      </c>
      <c r="B66" s="11" t="s">
        <v>514</v>
      </c>
      <c r="C66" s="11" t="s">
        <v>515</v>
      </c>
      <c r="D66" s="22" t="s">
        <v>516</v>
      </c>
      <c r="E66" t="str">
        <f t="shared" si="2"/>
        <v>Mouna Iraqi</v>
      </c>
      <c r="F66" t="str">
        <f>IF(IFERROR(VLOOKUP(Users!E66,Credits!A:A,1,FALSE),"NO")="NO","NO","YES")</f>
        <v>YES</v>
      </c>
    </row>
    <row r="67" spans="1:6">
      <c r="A67" s="80" t="s">
        <v>517</v>
      </c>
      <c r="B67" s="11" t="s">
        <v>518</v>
      </c>
      <c r="C67" s="11" t="s">
        <v>519</v>
      </c>
      <c r="D67" s="22" t="s">
        <v>520</v>
      </c>
      <c r="E67" t="str">
        <f t="shared" si="2"/>
        <v xml:space="preserve">Natali Okolie </v>
      </c>
      <c r="F67" t="str">
        <f>IF(IFERROR(VLOOKUP(Users!E67,Credits!A:A,1,FALSE),"NO")="NO","NO","YES")</f>
        <v>NO</v>
      </c>
    </row>
    <row r="68" spans="1:6">
      <c r="A68" s="12" t="s">
        <v>140</v>
      </c>
      <c r="B68" s="12" t="s">
        <v>521</v>
      </c>
      <c r="C68" s="12" t="s">
        <v>522</v>
      </c>
      <c r="D68" s="21" t="s">
        <v>523</v>
      </c>
      <c r="E68" t="str">
        <f t="shared" si="2"/>
        <v>Natasha Pavlovskaya</v>
      </c>
      <c r="F68" t="str">
        <f>IF(IFERROR(VLOOKUP(Users!E68,Credits!A:A,1,FALSE),"NO")="NO","NO","YES")</f>
        <v>NO</v>
      </c>
    </row>
    <row r="69" spans="1:6">
      <c r="A69" s="11" t="s">
        <v>146</v>
      </c>
      <c r="B69" s="11" t="s">
        <v>524</v>
      </c>
      <c r="C69" s="11" t="s">
        <v>525</v>
      </c>
      <c r="E69" t="str">
        <f t="shared" si="2"/>
        <v>Nathanael Geman</v>
      </c>
      <c r="F69" t="str">
        <f>IF(IFERROR(VLOOKUP(Users!E69,Credits!A:A,1,FALSE),"NO")="NO","NO","YES")</f>
        <v>NO</v>
      </c>
    </row>
    <row r="70" spans="1:6">
      <c r="A70" t="s">
        <v>526</v>
      </c>
      <c r="B70" s="11" t="s">
        <v>527</v>
      </c>
      <c r="E70" t="str">
        <f t="shared" si="2"/>
        <v xml:space="preserve">ND </v>
      </c>
      <c r="F70" t="str">
        <f>IF(IFERROR(VLOOKUP(Users!E70,Credits!A:A,1,FALSE),"NO")="NO","NO","YES")</f>
        <v>NO</v>
      </c>
    </row>
    <row r="71" spans="1:6">
      <c r="A71" s="12" t="s">
        <v>139</v>
      </c>
      <c r="B71" s="12" t="s">
        <v>528</v>
      </c>
      <c r="C71" s="12" t="s">
        <v>529</v>
      </c>
      <c r="D71" s="21" t="s">
        <v>530</v>
      </c>
      <c r="E71" t="str">
        <f t="shared" ref="E71:E133" si="3">B71&amp;" "&amp;C71</f>
        <v>Olawale Okunrinboye</v>
      </c>
      <c r="F71" t="str">
        <f>IF(IFERROR(VLOOKUP(Users!E71,Credits!A:A,1,FALSE),"NO")="NO","NO","YES")</f>
        <v>NO</v>
      </c>
    </row>
    <row r="72" spans="1:6">
      <c r="A72" s="12" t="s">
        <v>177</v>
      </c>
      <c r="B72" s="12" t="s">
        <v>531</v>
      </c>
      <c r="C72" s="12" t="s">
        <v>532</v>
      </c>
      <c r="D72" s="21" t="s">
        <v>533</v>
      </c>
      <c r="E72" t="str">
        <f t="shared" si="3"/>
        <v>Pragyapti Bhandari</v>
      </c>
      <c r="F72" t="str">
        <f>IF(IFERROR(VLOOKUP(Users!E72,Credits!A:A,1,FALSE),"NO")="NO","NO","YES")</f>
        <v>NO</v>
      </c>
    </row>
    <row r="73" spans="1:6">
      <c r="A73" s="80" t="s">
        <v>534</v>
      </c>
      <c r="B73" s="11" t="s">
        <v>535</v>
      </c>
      <c r="C73" s="11" t="s">
        <v>536</v>
      </c>
      <c r="D73" s="22" t="s">
        <v>537</v>
      </c>
      <c r="E73" t="str">
        <f t="shared" si="3"/>
        <v>Richard  Segal</v>
      </c>
      <c r="F73" t="str">
        <f>IF(IFERROR(VLOOKUP(Users!E73,Credits!A:A,1,FALSE),"NO")="NO","NO","YES")</f>
        <v>NO</v>
      </c>
    </row>
    <row r="74" spans="1:6">
      <c r="A74" s="11" t="s">
        <v>128</v>
      </c>
      <c r="B74" s="12" t="s">
        <v>538</v>
      </c>
      <c r="C74" s="12" t="s">
        <v>539</v>
      </c>
      <c r="D74" s="21" t="s">
        <v>540</v>
      </c>
      <c r="E74" t="str">
        <f t="shared" si="3"/>
        <v>Robert Chapman</v>
      </c>
      <c r="F74" t="str">
        <f>IF(IFERROR(VLOOKUP(Users!E74,Credits!A:A,1,FALSE),"NO")="NO","NO","YES")</f>
        <v>YES</v>
      </c>
    </row>
    <row r="75" spans="1:6">
      <c r="A75" s="12" t="s">
        <v>123</v>
      </c>
      <c r="B75" s="12" t="s">
        <v>541</v>
      </c>
      <c r="C75" s="12" t="s">
        <v>542</v>
      </c>
      <c r="D75" s="21" t="s">
        <v>543</v>
      </c>
      <c r="E75" t="str">
        <f t="shared" si="3"/>
        <v>Rohini Tendulkar</v>
      </c>
      <c r="F75" t="str">
        <f>IF(IFERROR(VLOOKUP(Users!E75,Credits!A:A,1,FALSE),"NO")="NO","NO","YES")</f>
        <v>YES</v>
      </c>
    </row>
    <row r="76" spans="1:6">
      <c r="A76" s="12" t="s">
        <v>164</v>
      </c>
      <c r="B76" s="12" t="s">
        <v>544</v>
      </c>
      <c r="C76" s="12" t="s">
        <v>545</v>
      </c>
      <c r="D76" s="21" t="s">
        <v>546</v>
      </c>
      <c r="E76" t="str">
        <f t="shared" si="3"/>
        <v>Rowan El Atrache</v>
      </c>
      <c r="F76" t="str">
        <f>IF(IFERROR(VLOOKUP(Users!E76,Credits!A:A,1,FALSE),"NO")="NO","NO","YES")</f>
        <v>NO</v>
      </c>
    </row>
    <row r="77" spans="1:6">
      <c r="A77" s="80" t="s">
        <v>547</v>
      </c>
      <c r="B77" s="11" t="s">
        <v>548</v>
      </c>
      <c r="C77" s="11" t="s">
        <v>549</v>
      </c>
      <c r="D77" s="22" t="s">
        <v>550</v>
      </c>
      <c r="E77" t="str">
        <f t="shared" si="3"/>
        <v>Sabina Khaytbaeva</v>
      </c>
      <c r="F77" t="str">
        <f>IF(IFERROR(VLOOKUP(Users!E77,Credits!A:A,1,FALSE),"NO")="NO","NO","YES")</f>
        <v>NO</v>
      </c>
    </row>
    <row r="78" spans="1:6">
      <c r="A78" s="12" t="s">
        <v>134</v>
      </c>
      <c r="B78" s="12" t="s">
        <v>551</v>
      </c>
      <c r="C78" s="12" t="s">
        <v>552</v>
      </c>
      <c r="D78" s="21" t="s">
        <v>553</v>
      </c>
      <c r="E78" t="str">
        <f t="shared" si="3"/>
        <v>Samedzade Samed</v>
      </c>
      <c r="F78" t="str">
        <f>IF(IFERROR(VLOOKUP(Users!E78,Credits!A:A,1,FALSE),"NO")="NO","NO","YES")</f>
        <v>NO</v>
      </c>
    </row>
    <row r="79" spans="1:6">
      <c r="A79" s="12" t="s">
        <v>124</v>
      </c>
      <c r="B79" s="12" t="s">
        <v>554</v>
      </c>
      <c r="C79" s="12" t="s">
        <v>555</v>
      </c>
      <c r="D79" s="21" t="s">
        <v>556</v>
      </c>
      <c r="E79" t="str">
        <f t="shared" si="3"/>
        <v>Sara Khan</v>
      </c>
      <c r="F79" t="str">
        <f>IF(IFERROR(VLOOKUP(Users!E79,Credits!A:A,1,FALSE),"NO")="NO","NO","YES")</f>
        <v>YES</v>
      </c>
    </row>
    <row r="80" spans="1:6">
      <c r="A80" s="80" t="s">
        <v>557</v>
      </c>
      <c r="B80" s="11" t="s">
        <v>558</v>
      </c>
      <c r="C80" s="11" t="s">
        <v>559</v>
      </c>
      <c r="D80" s="22" t="s">
        <v>560</v>
      </c>
      <c r="E80" t="str">
        <f t="shared" si="3"/>
        <v>Scott Gilbert</v>
      </c>
      <c r="F80" t="str">
        <f>IF(IFERROR(VLOOKUP(Users!E80,Credits!A:A,1,FALSE),"NO")="NO","NO","YES")</f>
        <v>NO</v>
      </c>
    </row>
    <row r="81" spans="1:6">
      <c r="A81" s="12" t="s">
        <v>181</v>
      </c>
      <c r="B81" s="12" t="s">
        <v>561</v>
      </c>
      <c r="C81" s="12" t="s">
        <v>562</v>
      </c>
      <c r="D81" s="21" t="s">
        <v>563</v>
      </c>
      <c r="E81" t="str">
        <f t="shared" si="3"/>
        <v>Serena Or</v>
      </c>
      <c r="F81" t="str">
        <f>IF(IFERROR(VLOOKUP(Users!E81,Credits!A:A,1,FALSE),"NO")="NO","NO","YES")</f>
        <v>NO</v>
      </c>
    </row>
    <row r="82" spans="1:6">
      <c r="A82" s="12" t="s">
        <v>135</v>
      </c>
      <c r="B82" s="12" t="s">
        <v>564</v>
      </c>
      <c r="C82" s="12" t="s">
        <v>565</v>
      </c>
      <c r="D82" s="21" t="s">
        <v>566</v>
      </c>
      <c r="E82" t="str">
        <f t="shared" si="3"/>
        <v>Shay Steele</v>
      </c>
      <c r="F82" t="str">
        <f>IF(IFERROR(VLOOKUP(Users!E82,Credits!A:A,1,FALSE),"NO")="NO","NO","YES")</f>
        <v>YES</v>
      </c>
    </row>
    <row r="83" spans="1:6">
      <c r="A83" s="11" t="s">
        <v>567</v>
      </c>
      <c r="B83" s="11" t="s">
        <v>564</v>
      </c>
      <c r="C83" s="11" t="s">
        <v>568</v>
      </c>
      <c r="D83" s="22" t="s">
        <v>566</v>
      </c>
      <c r="E83" t="str">
        <f t="shared" si="3"/>
        <v>Shay Lim</v>
      </c>
      <c r="F83" t="str">
        <f>IF(IFERROR(VLOOKUP(Users!E83,Credits!A:A,1,FALSE),"NO")="NO","NO","YES")</f>
        <v>NO</v>
      </c>
    </row>
    <row r="84" spans="1:6">
      <c r="A84" s="12" t="s">
        <v>154</v>
      </c>
      <c r="B84" s="12" t="s">
        <v>569</v>
      </c>
      <c r="C84" s="12" t="s">
        <v>570</v>
      </c>
      <c r="D84" s="21"/>
      <c r="E84" t="str">
        <f t="shared" si="3"/>
        <v>Silviu Burca</v>
      </c>
      <c r="F84" t="str">
        <f>IF(IFERROR(VLOOKUP(Users!E84,Credits!A:A,1,FALSE),"NO")="NO","NO","YES")</f>
        <v>NO</v>
      </c>
    </row>
    <row r="85" spans="1:6">
      <c r="A85" s="80" t="s">
        <v>571</v>
      </c>
      <c r="B85" s="11" t="s">
        <v>572</v>
      </c>
      <c r="C85" s="11" t="s">
        <v>573</v>
      </c>
      <c r="D85" s="22" t="s">
        <v>574</v>
      </c>
      <c r="E85" t="str">
        <f t="shared" si="3"/>
        <v>Simon Bourke</v>
      </c>
      <c r="F85" t="str">
        <f>IF(IFERROR(VLOOKUP(Users!E85,Credits!A:A,1,FALSE),"NO")="NO","NO","YES")</f>
        <v>NO</v>
      </c>
    </row>
    <row r="86" spans="1:6">
      <c r="A86" s="12" t="s">
        <v>156</v>
      </c>
      <c r="B86" s="12" t="s">
        <v>575</v>
      </c>
      <c r="C86" s="12" t="s">
        <v>576</v>
      </c>
      <c r="D86" s="21"/>
      <c r="E86" t="str">
        <f t="shared" si="3"/>
        <v>Simona Vicol</v>
      </c>
      <c r="F86" t="str">
        <f>IF(IFERROR(VLOOKUP(Users!E86,Credits!A:A,1,FALSE),"NO")="NO","NO","YES")</f>
        <v>NO</v>
      </c>
    </row>
    <row r="87" spans="1:6">
      <c r="A87" s="12" t="s">
        <v>150</v>
      </c>
      <c r="B87" s="12" t="s">
        <v>577</v>
      </c>
      <c r="C87" s="12" t="s">
        <v>578</v>
      </c>
      <c r="D87" s="21" t="s">
        <v>579</v>
      </c>
      <c r="E87" t="str">
        <f t="shared" si="3"/>
        <v>Sophia Shemlugu</v>
      </c>
      <c r="F87" t="str">
        <f>IF(IFERROR(VLOOKUP(Users!E87,Credits!A:A,1,FALSE),"NO")="NO","NO","YES")</f>
        <v>NO</v>
      </c>
    </row>
    <row r="88" spans="1:6">
      <c r="A88" s="12" t="s">
        <v>138</v>
      </c>
      <c r="B88" s="12" t="s">
        <v>580</v>
      </c>
      <c r="C88" s="12" t="s">
        <v>581</v>
      </c>
      <c r="D88" s="21" t="s">
        <v>582</v>
      </c>
      <c r="E88" t="str">
        <f t="shared" si="3"/>
        <v>Srivaths Swaminathan</v>
      </c>
      <c r="F88" t="str">
        <f>IF(IFERROR(VLOOKUP(Users!E88,Credits!A:A,1,FALSE),"NO")="NO","NO","YES")</f>
        <v>NO</v>
      </c>
    </row>
    <row r="89" spans="1:6" ht="15.75">
      <c r="A89" s="80" t="s">
        <v>145</v>
      </c>
      <c r="B89" s="11" t="s">
        <v>583</v>
      </c>
      <c r="C89" s="11" t="s">
        <v>584</v>
      </c>
      <c r="E89" t="str">
        <f t="shared" si="3"/>
        <v>Susan Durkan Jackson</v>
      </c>
      <c r="F89" t="str">
        <f>IF(IFERROR(VLOOKUP(Users!E89,Credits!A:A,1,FALSE),"NO")="NO","NO","YES")</f>
        <v>NO</v>
      </c>
    </row>
    <row r="90" spans="1:6">
      <c r="A90" s="11" t="s">
        <v>585</v>
      </c>
      <c r="B90" s="11" t="s">
        <v>586</v>
      </c>
      <c r="C90" s="11" t="s">
        <v>587</v>
      </c>
      <c r="D90" s="22" t="s">
        <v>588</v>
      </c>
      <c r="E90" t="str">
        <f t="shared" si="3"/>
        <v>Tamara Muñoz</v>
      </c>
      <c r="F90" t="str">
        <f>IF(IFERROR(VLOOKUP(Users!E90,Credits!A:A,1,FALSE),"NO")="NO","NO","YES")</f>
        <v>NO</v>
      </c>
    </row>
    <row r="91" spans="1:6">
      <c r="A91" s="12" t="s">
        <v>589</v>
      </c>
      <c r="B91" s="11" t="s">
        <v>586</v>
      </c>
      <c r="C91" s="11" t="s">
        <v>590</v>
      </c>
      <c r="D91" s="22" t="s">
        <v>591</v>
      </c>
      <c r="E91" t="str">
        <f t="shared" si="3"/>
        <v>Tamara Dews</v>
      </c>
      <c r="F91" t="str">
        <f>IF(IFERROR(VLOOKUP(Users!E91,Credits!A:A,1,FALSE),"NO")="NO","NO","YES")</f>
        <v>NO</v>
      </c>
    </row>
    <row r="92" spans="1:6">
      <c r="A92" s="12" t="s">
        <v>168</v>
      </c>
      <c r="B92" s="12" t="s">
        <v>592</v>
      </c>
      <c r="C92" s="12" t="s">
        <v>593</v>
      </c>
      <c r="D92" s="21" t="s">
        <v>594</v>
      </c>
      <c r="E92" t="str">
        <f t="shared" si="3"/>
        <v>Tanvi Sethi</v>
      </c>
      <c r="F92" t="str">
        <f>IF(IFERROR(VLOOKUP(Users!E92,Credits!A:A,1,FALSE),"NO")="NO","NO","YES")</f>
        <v>YES</v>
      </c>
    </row>
    <row r="93" spans="1:6">
      <c r="A93" t="s">
        <v>595</v>
      </c>
      <c r="B93" s="11" t="s">
        <v>596</v>
      </c>
      <c r="C93" s="11" t="s">
        <v>597</v>
      </c>
      <c r="E93" t="str">
        <f t="shared" si="3"/>
        <v>Teodor Radu</v>
      </c>
      <c r="F93" t="str">
        <f>IF(IFERROR(VLOOKUP(Users!E93,Credits!A:A,1,FALSE),"NO")="NO","NO","YES")</f>
        <v>NO</v>
      </c>
    </row>
    <row r="94" spans="1:6">
      <c r="A94" s="11" t="s">
        <v>598</v>
      </c>
      <c r="B94" s="11" t="s">
        <v>599</v>
      </c>
      <c r="C94" s="11" t="s">
        <v>600</v>
      </c>
      <c r="D94" s="22" t="s">
        <v>601</v>
      </c>
      <c r="E94" t="str">
        <f t="shared" si="3"/>
        <v>Tianqi Yang</v>
      </c>
      <c r="F94" t="str">
        <f>IF(IFERROR(VLOOKUP(Users!E94,Credits!A:A,1,FALSE),"NO")="NO","NO","YES")</f>
        <v>NO</v>
      </c>
    </row>
    <row r="95" spans="1:6">
      <c r="A95" s="12" t="s">
        <v>176</v>
      </c>
      <c r="B95" s="12" t="s">
        <v>602</v>
      </c>
      <c r="C95" s="12" t="s">
        <v>603</v>
      </c>
      <c r="D95" s="21" t="s">
        <v>604</v>
      </c>
      <c r="E95" t="str">
        <f t="shared" si="3"/>
        <v>Tom Saville</v>
      </c>
      <c r="F95" t="str">
        <f>IF(IFERROR(VLOOKUP(Users!E95,Credits!A:A,1,FALSE),"NO")="NO","NO","YES")</f>
        <v>NO</v>
      </c>
    </row>
    <row r="96" spans="1:6">
      <c r="A96" s="80" t="s">
        <v>605</v>
      </c>
      <c r="B96" s="11" t="s">
        <v>606</v>
      </c>
      <c r="C96" s="92" t="s">
        <v>607</v>
      </c>
      <c r="D96" s="22" t="s">
        <v>608</v>
      </c>
      <c r="E96" t="str">
        <f t="shared" si="3"/>
        <v>Wil Akanno</v>
      </c>
      <c r="F96" t="str">
        <f>IF(IFERROR(VLOOKUP(Users!E96,Credits!A:A,1,FALSE),"NO")="NO","NO","YES")</f>
        <v>NO</v>
      </c>
    </row>
    <row r="97" spans="1:6">
      <c r="A97" s="12" t="s">
        <v>170</v>
      </c>
      <c r="B97" s="12" t="s">
        <v>609</v>
      </c>
      <c r="C97" s="12" t="s">
        <v>610</v>
      </c>
      <c r="D97" s="21" t="s">
        <v>611</v>
      </c>
      <c r="E97" t="str">
        <f t="shared" si="3"/>
        <v>Win Man</v>
      </c>
      <c r="F97" t="str">
        <f>IF(IFERROR(VLOOKUP(Users!E97,Credits!A:A,1,FALSE),"NO")="NO","NO","YES")</f>
        <v>NO</v>
      </c>
    </row>
    <row r="98" spans="1:6">
      <c r="A98" s="12" t="s">
        <v>172</v>
      </c>
      <c r="B98" s="12" t="s">
        <v>612</v>
      </c>
      <c r="C98" s="12" t="s">
        <v>613</v>
      </c>
      <c r="D98" s="21" t="s">
        <v>614</v>
      </c>
      <c r="E98" t="str">
        <f t="shared" si="3"/>
        <v>Yasemin Mermer</v>
      </c>
      <c r="F98" t="str">
        <f>IF(IFERROR(VLOOKUP(Users!E98,Credits!A:A,1,FALSE),"NO")="NO","NO","YES")</f>
        <v>NO</v>
      </c>
    </row>
    <row r="99" spans="1:6">
      <c r="A99" t="s">
        <v>615</v>
      </c>
      <c r="B99" s="11" t="s">
        <v>616</v>
      </c>
      <c r="C99" s="11" t="s">
        <v>617</v>
      </c>
      <c r="D99" s="22" t="s">
        <v>618</v>
      </c>
      <c r="E99" t="str">
        <f t="shared" si="3"/>
        <v>Yusuke Inoue</v>
      </c>
      <c r="F99" t="str">
        <f>IF(IFERROR(VLOOKUP(Users!E99,Credits!A:A,1,FALSE),"NO")="NO","NO","YES")</f>
        <v>NO</v>
      </c>
    </row>
    <row r="100" spans="1:6">
      <c r="A100" s="12" t="s">
        <v>169</v>
      </c>
      <c r="B100" s="12" t="s">
        <v>619</v>
      </c>
      <c r="C100" s="12" t="s">
        <v>620</v>
      </c>
      <c r="D100" s="21" t="s">
        <v>621</v>
      </c>
      <c r="E100" t="str">
        <f t="shared" si="3"/>
        <v>Zinab Al Ramathany</v>
      </c>
      <c r="F100" t="str">
        <f>IF(IFERROR(VLOOKUP(Users!E100,Credits!A:A,1,FALSE),"NO")="NO","NO","YES")</f>
        <v>NO</v>
      </c>
    </row>
    <row r="101" spans="1:6">
      <c r="A101" s="80" t="s">
        <v>622</v>
      </c>
      <c r="B101" s="11" t="s">
        <v>623</v>
      </c>
      <c r="C101" s="11" t="s">
        <v>624</v>
      </c>
      <c r="D101" s="22" t="s">
        <v>625</v>
      </c>
      <c r="E101" t="str">
        <f t="shared" si="3"/>
        <v>Shulli Clinton-Davis</v>
      </c>
      <c r="F101" t="str">
        <f>IF(IFERROR(VLOOKUP(Users!E101,Credits!A:A,1,FALSE),"NO")="NO","NO","YES")</f>
        <v>NO</v>
      </c>
    </row>
    <row r="102" spans="1:6">
      <c r="A102" s="80" t="s">
        <v>626</v>
      </c>
      <c r="B102" s="11" t="s">
        <v>627</v>
      </c>
      <c r="C102" s="11" t="s">
        <v>628</v>
      </c>
      <c r="D102" s="22" t="s">
        <v>629</v>
      </c>
      <c r="E102" t="str">
        <f t="shared" si="3"/>
        <v>Gaukhar Uskenbayeva</v>
      </c>
      <c r="F102" t="str">
        <f>IF(IFERROR(VLOOKUP(Users!E102,Credits!A:A,1,FALSE),"NO")="NO","NO","YES")</f>
        <v>NO</v>
      </c>
    </row>
    <row r="103" spans="1:6">
      <c r="A103" s="80" t="s">
        <v>630</v>
      </c>
      <c r="B103" s="11" t="s">
        <v>631</v>
      </c>
      <c r="C103" s="11" t="s">
        <v>632</v>
      </c>
      <c r="D103" s="22" t="s">
        <v>633</v>
      </c>
      <c r="E103" t="str">
        <f t="shared" si="3"/>
        <v>Konstantin Angelov</v>
      </c>
      <c r="F103" t="str">
        <f>IF(IFERROR(VLOOKUP(Users!E103,Credits!A:A,1,FALSE),"NO")="NO","NO","YES")</f>
        <v>NO</v>
      </c>
    </row>
    <row r="104" spans="1:6">
      <c r="A104" s="80" t="s">
        <v>634</v>
      </c>
      <c r="B104" s="11" t="s">
        <v>635</v>
      </c>
      <c r="C104" s="11" t="s">
        <v>636</v>
      </c>
      <c r="D104" s="22" t="s">
        <v>637</v>
      </c>
      <c r="E104" t="str">
        <f t="shared" si="3"/>
        <v>Zauresh Kezheneva</v>
      </c>
      <c r="F104" t="str">
        <f>IF(IFERROR(VLOOKUP(Users!E104,Credits!A:A,1,FALSE),"NO")="NO","NO","YES")</f>
        <v>NO</v>
      </c>
    </row>
    <row r="105" spans="1:6">
      <c r="A105" s="80" t="s">
        <v>638</v>
      </c>
      <c r="B105" s="11" t="s">
        <v>639</v>
      </c>
      <c r="C105" s="11" t="s">
        <v>640</v>
      </c>
      <c r="D105" s="22" t="s">
        <v>641</v>
      </c>
      <c r="E105" t="str">
        <f t="shared" si="3"/>
        <v>Liane  Pereira</v>
      </c>
      <c r="F105" t="str">
        <f>IF(IFERROR(VLOOKUP(Users!E105,Credits!A:A,1,FALSE),"NO")="NO","NO","YES")</f>
        <v>NO</v>
      </c>
    </row>
    <row r="106" spans="1:6">
      <c r="A106" s="14" t="s">
        <v>642</v>
      </c>
      <c r="B106" s="11" t="s">
        <v>643</v>
      </c>
      <c r="C106" s="11" t="s">
        <v>644</v>
      </c>
      <c r="E106" t="str">
        <f t="shared" si="3"/>
        <v>Ella Ngwodo</v>
      </c>
      <c r="F106" t="str">
        <f>IF(IFERROR(VLOOKUP(Users!E106,Credits!A:A,1,FALSE),"NO")="NO","NO","YES")</f>
        <v>NO</v>
      </c>
    </row>
    <row r="107" spans="1:6">
      <c r="A107" s="14" t="s">
        <v>645</v>
      </c>
      <c r="B107" s="11" t="s">
        <v>646</v>
      </c>
      <c r="C107" s="11" t="s">
        <v>647</v>
      </c>
      <c r="E107" t="str">
        <f t="shared" si="3"/>
        <v>Erin Squires</v>
      </c>
      <c r="F107" t="str">
        <f>IF(IFERROR(VLOOKUP(Users!E107,Credits!A:A,1,FALSE),"NO")="NO","NO","YES")</f>
        <v>NO</v>
      </c>
    </row>
    <row r="108" spans="1:6">
      <c r="A108" s="14" t="s">
        <v>648</v>
      </c>
      <c r="B108" t="s">
        <v>477</v>
      </c>
      <c r="C108" t="s">
        <v>478</v>
      </c>
      <c r="D108" t="s">
        <v>479</v>
      </c>
      <c r="E108" t="str">
        <f t="shared" si="3"/>
        <v>Ken Nyar</v>
      </c>
      <c r="F108" t="str">
        <f>IF(IFERROR(VLOOKUP(Users!E108,Credits!A:A,1,FALSE),"NO")="NO","NO","YES")</f>
        <v>NO</v>
      </c>
    </row>
    <row r="109" spans="1:6">
      <c r="A109" s="14" t="s">
        <v>649</v>
      </c>
      <c r="B109" t="s">
        <v>650</v>
      </c>
      <c r="C109" t="s">
        <v>651</v>
      </c>
      <c r="D109">
        <v>754819073</v>
      </c>
      <c r="E109" t="str">
        <f t="shared" si="3"/>
        <v>Aaliyah Yates</v>
      </c>
      <c r="F109" t="str">
        <f>IF(IFERROR(VLOOKUP(Users!E109,Credits!A:A,1,FALSE),"NO")="NO","NO","YES")</f>
        <v>NO</v>
      </c>
    </row>
    <row r="110" spans="1:6">
      <c r="A110" s="11" t="s">
        <v>652</v>
      </c>
      <c r="B110" s="11" t="s">
        <v>653</v>
      </c>
      <c r="C110" s="11" t="s">
        <v>654</v>
      </c>
      <c r="D110" s="22" t="s">
        <v>618</v>
      </c>
      <c r="E110" t="str">
        <f t="shared" si="3"/>
        <v>遊介 井上</v>
      </c>
      <c r="F110" t="str">
        <f>IF(IFERROR(VLOOKUP(Users!E110,Credits!A:A,1,FALSE),"NO")="NO","NO","YES")</f>
        <v>NO</v>
      </c>
    </row>
    <row r="111" spans="1:6">
      <c r="A111" s="11" t="s">
        <v>655</v>
      </c>
      <c r="B111" s="11" t="s">
        <v>656</v>
      </c>
      <c r="C111" s="11" t="s">
        <v>657</v>
      </c>
      <c r="D111" s="22">
        <v>7815759788</v>
      </c>
      <c r="E111" t="str">
        <f t="shared" si="3"/>
        <v>Deborah Merrony</v>
      </c>
      <c r="F111" t="str">
        <f>IF(IFERROR(VLOOKUP(Users!E111,Credits!A:A,1,FALSE),"NO")="NO","NO","YES")</f>
        <v>NO</v>
      </c>
    </row>
    <row r="112" spans="1:6">
      <c r="A112" s="11" t="s">
        <v>658</v>
      </c>
      <c r="B112" s="11" t="s">
        <v>659</v>
      </c>
      <c r="C112" s="11" t="s">
        <v>660</v>
      </c>
      <c r="D112" s="22">
        <v>7896634620</v>
      </c>
      <c r="E112" t="str">
        <f t="shared" si="3"/>
        <v>win man</v>
      </c>
      <c r="F112" t="str">
        <f>IF(IFERROR(VLOOKUP(Users!E112,Credits!A:A,1,FALSE),"NO")="NO","NO","YES")</f>
        <v>NO</v>
      </c>
    </row>
    <row r="113" spans="1:6">
      <c r="A113" s="11" t="s">
        <v>661</v>
      </c>
      <c r="B113" s="11" t="s">
        <v>662</v>
      </c>
      <c r="C113" s="11" t="s">
        <v>663</v>
      </c>
      <c r="D113" s="22">
        <v>7377163517</v>
      </c>
      <c r="E113" t="str">
        <f t="shared" si="3"/>
        <v>Akhil Madan</v>
      </c>
      <c r="F113" t="str">
        <f>IF(IFERROR(VLOOKUP(Users!E113,Credits!A:A,1,FALSE),"NO")="NO","NO","YES")</f>
        <v>NO</v>
      </c>
    </row>
    <row r="114" spans="1:6">
      <c r="A114" s="11" t="s">
        <v>664</v>
      </c>
      <c r="B114" s="11" t="s">
        <v>665</v>
      </c>
      <c r="C114" s="11" t="s">
        <v>666</v>
      </c>
      <c r="D114" s="22">
        <v>7423246502</v>
      </c>
      <c r="E114" t="str">
        <f t="shared" si="3"/>
        <v>Anne Constant</v>
      </c>
      <c r="F114" t="str">
        <f>IF(IFERROR(VLOOKUP(Users!E114,Credits!A:A,1,FALSE),"NO")="NO","NO","YES")</f>
        <v>NO</v>
      </c>
    </row>
    <row r="115" spans="1:6">
      <c r="A115" s="11" t="s">
        <v>667</v>
      </c>
      <c r="B115" s="11" t="s">
        <v>668</v>
      </c>
      <c r="C115" s="11" t="s">
        <v>669</v>
      </c>
      <c r="D115" s="22">
        <v>7940537644</v>
      </c>
      <c r="E115" t="str">
        <f t="shared" si="3"/>
        <v>Karis Mclarty</v>
      </c>
      <c r="F115" t="str">
        <f>IF(IFERROR(VLOOKUP(Users!E115,Credits!A:A,1,FALSE),"NO")="NO","NO","YES")</f>
        <v>NO</v>
      </c>
    </row>
    <row r="116" spans="1:6">
      <c r="A116" s="11" t="s">
        <v>670</v>
      </c>
      <c r="B116" s="11" t="s">
        <v>671</v>
      </c>
      <c r="C116" s="11" t="s">
        <v>672</v>
      </c>
      <c r="D116" s="22">
        <v>8615811312125</v>
      </c>
      <c r="E116" t="str">
        <f t="shared" si="3"/>
        <v>Qinwen Wei</v>
      </c>
      <c r="F116" t="str">
        <f>IF(IFERROR(VLOOKUP(Users!E116,Credits!A:A,1,FALSE),"NO")="NO","NO","YES")</f>
        <v>NO</v>
      </c>
    </row>
    <row r="117" spans="1:6">
      <c r="A117" s="11" t="s">
        <v>673</v>
      </c>
      <c r="B117" s="11" t="s">
        <v>674</v>
      </c>
      <c r="C117" s="11" t="s">
        <v>675</v>
      </c>
      <c r="D117" s="22">
        <v>7983779098</v>
      </c>
      <c r="E117" t="str">
        <f t="shared" si="3"/>
        <v>Chloe Yu</v>
      </c>
      <c r="F117" t="str">
        <f>IF(IFERROR(VLOOKUP(Users!E117,Credits!A:A,1,FALSE),"NO")="NO","NO","YES")</f>
        <v>NO</v>
      </c>
    </row>
    <row r="118" spans="1:6">
      <c r="A118" s="11" t="s">
        <v>676</v>
      </c>
      <c r="B118" s="11" t="s">
        <v>677</v>
      </c>
      <c r="C118" s="11" t="s">
        <v>678</v>
      </c>
      <c r="D118" s="22" t="s">
        <v>679</v>
      </c>
      <c r="E118" t="str">
        <f t="shared" si="3"/>
        <v>Priyanka Garg</v>
      </c>
      <c r="F118" t="str">
        <f>IF(IFERROR(VLOOKUP(Users!E118,Credits!A:A,1,FALSE),"NO")="NO","NO","YES")</f>
        <v>NO</v>
      </c>
    </row>
    <row r="119" spans="1:6">
      <c r="A119" s="11" t="s">
        <v>680</v>
      </c>
      <c r="B119" s="11" t="s">
        <v>681</v>
      </c>
      <c r="C119" s="11" t="s">
        <v>682</v>
      </c>
      <c r="D119" s="22" t="s">
        <v>683</v>
      </c>
      <c r="E119" t="str">
        <f t="shared" si="3"/>
        <v>Alison Yasuoka</v>
      </c>
      <c r="F119" t="str">
        <f>IF(IFERROR(VLOOKUP(Users!E119,Credits!A:A,1,FALSE),"NO")="NO","NO","YES")</f>
        <v>NO</v>
      </c>
    </row>
    <row r="120" spans="1:6">
      <c r="A120" s="11" t="s">
        <v>684</v>
      </c>
      <c r="B120" s="11" t="s">
        <v>685</v>
      </c>
      <c r="C120" s="11" t="s">
        <v>686</v>
      </c>
      <c r="D120" s="22" t="s">
        <v>687</v>
      </c>
      <c r="E120" t="str">
        <f t="shared" si="3"/>
        <v>DANIEL DMELLO</v>
      </c>
      <c r="F120" t="str">
        <f>IF(IFERROR(VLOOKUP(Users!E120,Credits!A:A,1,FALSE),"NO")="NO","NO","YES")</f>
        <v>NO</v>
      </c>
    </row>
    <row r="121" spans="1:6">
      <c r="A121" s="11" t="s">
        <v>688</v>
      </c>
      <c r="B121" s="11" t="s">
        <v>689</v>
      </c>
      <c r="D121" s="22" t="s">
        <v>690</v>
      </c>
      <c r="E121" t="str">
        <f t="shared" si="3"/>
        <v xml:space="preserve">Sayan </v>
      </c>
      <c r="F121" t="str">
        <f>IF(IFERROR(VLOOKUP(Users!E121,Credits!A:A,1,FALSE),"NO")="NO","NO","YES")</f>
        <v>NO</v>
      </c>
    </row>
    <row r="122" spans="1:6">
      <c r="A122" s="11" t="s">
        <v>691</v>
      </c>
      <c r="B122" s="11" t="s">
        <v>692</v>
      </c>
      <c r="D122" s="22" t="s">
        <v>690</v>
      </c>
      <c r="E122" t="str">
        <f t="shared" si="3"/>
        <v xml:space="preserve">Leonie </v>
      </c>
      <c r="F122" t="str">
        <f>IF(IFERROR(VLOOKUP(Users!E122,Credits!A:A,1,FALSE),"NO")="NO","NO","YES")</f>
        <v>NO</v>
      </c>
    </row>
    <row r="123" spans="1:6">
      <c r="A123" s="11" t="s">
        <v>693</v>
      </c>
      <c r="B123" s="11" t="s">
        <v>694</v>
      </c>
      <c r="C123" s="11" t="s">
        <v>695</v>
      </c>
      <c r="D123" s="22" t="s">
        <v>696</v>
      </c>
      <c r="E123" t="str">
        <f t="shared" si="3"/>
        <v>Maria Davila</v>
      </c>
      <c r="F123" t="str">
        <f>IF(IFERROR(VLOOKUP(Users!E123,Credits!A:A,1,FALSE),"NO")="NO","NO","YES")</f>
        <v>NO</v>
      </c>
    </row>
    <row r="124" spans="1:6">
      <c r="A124" s="11" t="s">
        <v>697</v>
      </c>
      <c r="B124" s="11" t="s">
        <v>698</v>
      </c>
      <c r="C124" s="11" t="s">
        <v>699</v>
      </c>
      <c r="D124" s="22" t="s">
        <v>700</v>
      </c>
      <c r="E124" t="str">
        <f t="shared" si="3"/>
        <v>Nathalie Cubero</v>
      </c>
      <c r="F124" t="str">
        <f>IF(IFERROR(VLOOKUP(Users!E124,Credits!A:A,1,FALSE),"NO")="NO","NO","YES")</f>
        <v>NO</v>
      </c>
    </row>
    <row r="125" spans="1:6" ht="15.75">
      <c r="A125" t="s">
        <v>701</v>
      </c>
      <c r="B125" s="11" t="s">
        <v>702</v>
      </c>
      <c r="C125" s="11" t="s">
        <v>703</v>
      </c>
      <c r="F125" t="str">
        <f>IF(IFERROR(VLOOKUP(Users!E125,Credits!A:A,1,FALSE),"NO")="NO","NO","YES")</f>
        <v>NO</v>
      </c>
    </row>
    <row r="126" spans="1:6" ht="15.75">
      <c r="A126" t="s">
        <v>704</v>
      </c>
      <c r="B126" s="11" t="s">
        <v>705</v>
      </c>
      <c r="C126" s="11" t="s">
        <v>706</v>
      </c>
      <c r="E126" t="str">
        <f t="shared" si="3"/>
        <v>Liliana Chavez</v>
      </c>
      <c r="F126" t="str">
        <f>IF(IFERROR(VLOOKUP(Users!E126,Credits!A:A,1,FALSE),"NO")="NO","NO","YES")</f>
        <v>NO</v>
      </c>
    </row>
    <row r="127" spans="1:6" ht="15.75">
      <c r="A127" t="s">
        <v>707</v>
      </c>
      <c r="B127" s="11" t="s">
        <v>708</v>
      </c>
      <c r="E127" t="str">
        <f t="shared" si="3"/>
        <v xml:space="preserve">Jay </v>
      </c>
      <c r="F127" t="str">
        <f>IF(IFERROR(VLOOKUP(Users!E127,Credits!A:A,1,FALSE),"NO")="NO","NO","YES")</f>
        <v>NO</v>
      </c>
    </row>
    <row r="128" spans="1:6" ht="15.75">
      <c r="A128" t="s">
        <v>709</v>
      </c>
      <c r="E128" t="str">
        <f t="shared" si="3"/>
        <v xml:space="preserve"> </v>
      </c>
      <c r="F128" t="str">
        <f>IF(IFERROR(VLOOKUP(Users!E128,Credits!A:A,1,FALSE),"NO")="NO","NO","YES")</f>
        <v>NO</v>
      </c>
    </row>
    <row r="129" spans="1:6" ht="15.75">
      <c r="A129" t="s">
        <v>710</v>
      </c>
      <c r="B129" s="11" t="s">
        <v>711</v>
      </c>
      <c r="E129" t="str">
        <f t="shared" si="3"/>
        <v xml:space="preserve">Alisa </v>
      </c>
      <c r="F129" t="str">
        <f>IF(IFERROR(VLOOKUP(Users!E129,Credits!A:A,1,FALSE),"NO")="NO","NO","YES")</f>
        <v>NO</v>
      </c>
    </row>
    <row r="130" spans="1:6">
      <c r="E130" t="str">
        <f t="shared" si="3"/>
        <v xml:space="preserve"> </v>
      </c>
      <c r="F130" t="str">
        <f>IF(IFERROR(VLOOKUP(Users!E130,Credits!A:A,1,FALSE),"NO")="NO","NO","YES")</f>
        <v>NO</v>
      </c>
    </row>
    <row r="131" spans="1:6">
      <c r="E131" t="str">
        <f t="shared" si="3"/>
        <v xml:space="preserve"> </v>
      </c>
      <c r="F131" t="str">
        <f>IF(IFERROR(VLOOKUP(Users!E131,Credits!A:A,1,FALSE),"NO")="NO","NO","YES")</f>
        <v>NO</v>
      </c>
    </row>
    <row r="132" spans="1:6">
      <c r="E132" t="str">
        <f t="shared" si="3"/>
        <v xml:space="preserve"> </v>
      </c>
      <c r="F132" t="str">
        <f>IF(IFERROR(VLOOKUP(Users!E132,Credits!A:A,1,FALSE),"NO")="NO","NO","YES")</f>
        <v>NO</v>
      </c>
    </row>
    <row r="133" spans="1:6">
      <c r="E133" t="str">
        <f t="shared" si="3"/>
        <v xml:space="preserve"> </v>
      </c>
      <c r="F133" t="str">
        <f>IF(IFERROR(VLOOKUP(Users!E133,Credits!A:A,1,FALSE),"NO")="NO","NO","YES")</f>
        <v>NO</v>
      </c>
    </row>
    <row r="134" spans="1:6">
      <c r="E134" t="str">
        <f t="shared" ref="E134:E170" si="4">B134&amp;" "&amp;C134</f>
        <v xml:space="preserve"> </v>
      </c>
      <c r="F134" t="str">
        <f>IF(IFERROR(VLOOKUP(Users!E134,Credits!A:A,1,FALSE),"NO")="NO","NO","YES")</f>
        <v>NO</v>
      </c>
    </row>
    <row r="135" spans="1:6">
      <c r="E135" t="str">
        <f t="shared" si="4"/>
        <v xml:space="preserve"> </v>
      </c>
      <c r="F135" t="str">
        <f>IF(IFERROR(VLOOKUP(Users!E135,Credits!A:A,1,FALSE),"NO")="NO","NO","YES")</f>
        <v>NO</v>
      </c>
    </row>
    <row r="136" spans="1:6">
      <c r="E136" t="str">
        <f t="shared" si="4"/>
        <v xml:space="preserve"> </v>
      </c>
      <c r="F136" t="str">
        <f>IF(IFERROR(VLOOKUP(Users!E136,Credits!A:A,1,FALSE),"NO")="NO","NO","YES")</f>
        <v>NO</v>
      </c>
    </row>
    <row r="137" spans="1:6">
      <c r="E137" t="str">
        <f t="shared" si="4"/>
        <v xml:space="preserve"> </v>
      </c>
      <c r="F137" t="str">
        <f>IF(IFERROR(VLOOKUP(Users!E137,Credits!A:A,1,FALSE),"NO")="NO","NO","YES")</f>
        <v>NO</v>
      </c>
    </row>
    <row r="138" spans="1:6">
      <c r="E138" t="str">
        <f t="shared" si="4"/>
        <v xml:space="preserve"> </v>
      </c>
      <c r="F138" t="str">
        <f>IF(IFERROR(VLOOKUP(Users!E138,Credits!A:A,1,FALSE),"NO")="NO","NO","YES")</f>
        <v>NO</v>
      </c>
    </row>
    <row r="139" spans="1:6">
      <c r="E139" t="str">
        <f t="shared" si="4"/>
        <v xml:space="preserve"> </v>
      </c>
      <c r="F139" t="str">
        <f>IF(IFERROR(VLOOKUP(Users!E139,Credits!A:A,1,FALSE),"NO")="NO","NO","YES")</f>
        <v>NO</v>
      </c>
    </row>
    <row r="140" spans="1:6">
      <c r="E140" t="str">
        <f t="shared" si="4"/>
        <v xml:space="preserve"> </v>
      </c>
      <c r="F140" t="str">
        <f>IF(IFERROR(VLOOKUP(Users!E140,Credits!A:A,1,FALSE),"NO")="NO","NO","YES")</f>
        <v>NO</v>
      </c>
    </row>
    <row r="141" spans="1:6">
      <c r="E141" t="str">
        <f t="shared" si="4"/>
        <v xml:space="preserve"> </v>
      </c>
      <c r="F141" t="str">
        <f>IF(IFERROR(VLOOKUP(Users!E141,Credits!A:A,1,FALSE),"NO")="NO","NO","YES")</f>
        <v>NO</v>
      </c>
    </row>
    <row r="142" spans="1:6">
      <c r="E142" t="str">
        <f t="shared" si="4"/>
        <v xml:space="preserve"> </v>
      </c>
      <c r="F142" t="str">
        <f>IF(IFERROR(VLOOKUP(Users!E142,Credits!A:A,1,FALSE),"NO")="NO","NO","YES")</f>
        <v>NO</v>
      </c>
    </row>
    <row r="143" spans="1:6">
      <c r="E143" t="str">
        <f t="shared" si="4"/>
        <v xml:space="preserve"> </v>
      </c>
      <c r="F143" t="str">
        <f>IF(IFERROR(VLOOKUP(Users!E143,Credits!A:A,1,FALSE),"NO")="NO","NO","YES")</f>
        <v>NO</v>
      </c>
    </row>
    <row r="144" spans="1:6">
      <c r="E144" t="str">
        <f t="shared" si="4"/>
        <v xml:space="preserve"> </v>
      </c>
      <c r="F144" t="str">
        <f>IF(IFERROR(VLOOKUP(Users!E144,Credits!A:A,1,FALSE),"NO")="NO","NO","YES")</f>
        <v>NO</v>
      </c>
    </row>
    <row r="145" spans="5:6">
      <c r="E145" t="str">
        <f t="shared" si="4"/>
        <v xml:space="preserve"> </v>
      </c>
      <c r="F145" t="str">
        <f>IF(IFERROR(VLOOKUP(Users!E145,Credits!A:A,1,FALSE),"NO")="NO","NO","YES")</f>
        <v>NO</v>
      </c>
    </row>
    <row r="146" spans="5:6">
      <c r="E146" t="str">
        <f t="shared" si="4"/>
        <v xml:space="preserve"> </v>
      </c>
      <c r="F146" t="str">
        <f>IF(IFERROR(VLOOKUP(Users!E146,Credits!A:A,1,FALSE),"NO")="NO","NO","YES")</f>
        <v>NO</v>
      </c>
    </row>
    <row r="147" spans="5:6">
      <c r="E147" t="str">
        <f t="shared" si="4"/>
        <v xml:space="preserve"> </v>
      </c>
      <c r="F147" t="str">
        <f>IF(IFERROR(VLOOKUP(Users!E147,Credits!A:A,1,FALSE),"NO")="NO","NO","YES")</f>
        <v>NO</v>
      </c>
    </row>
    <row r="148" spans="5:6">
      <c r="E148" t="str">
        <f t="shared" si="4"/>
        <v xml:space="preserve"> </v>
      </c>
      <c r="F148" t="str">
        <f>IF(IFERROR(VLOOKUP(Users!E148,Credits!A:A,1,FALSE),"NO")="NO","NO","YES")</f>
        <v>NO</v>
      </c>
    </row>
    <row r="149" spans="5:6">
      <c r="E149" t="str">
        <f t="shared" si="4"/>
        <v xml:space="preserve"> </v>
      </c>
      <c r="F149" t="str">
        <f>IF(IFERROR(VLOOKUP(Users!E149,Credits!A:A,1,FALSE),"NO")="NO","NO","YES")</f>
        <v>NO</v>
      </c>
    </row>
    <row r="150" spans="5:6">
      <c r="E150" t="str">
        <f t="shared" si="4"/>
        <v xml:space="preserve"> </v>
      </c>
      <c r="F150" t="str">
        <f>IF(IFERROR(VLOOKUP(Users!E150,Credits!A:A,1,FALSE),"NO")="NO","NO","YES")</f>
        <v>NO</v>
      </c>
    </row>
    <row r="151" spans="5:6">
      <c r="E151" t="str">
        <f t="shared" si="4"/>
        <v xml:space="preserve"> </v>
      </c>
      <c r="F151" t="str">
        <f>IF(IFERROR(VLOOKUP(Users!E151,Credits!A:A,1,FALSE),"NO")="NO","NO","YES")</f>
        <v>NO</v>
      </c>
    </row>
    <row r="152" spans="5:6">
      <c r="E152" t="str">
        <f t="shared" si="4"/>
        <v xml:space="preserve"> </v>
      </c>
      <c r="F152" t="str">
        <f>IF(IFERROR(VLOOKUP(Users!E152,Credits!A:A,1,FALSE),"NO")="NO","NO","YES")</f>
        <v>NO</v>
      </c>
    </row>
    <row r="153" spans="5:6">
      <c r="E153" t="str">
        <f t="shared" si="4"/>
        <v xml:space="preserve"> </v>
      </c>
      <c r="F153" t="str">
        <f>IF(IFERROR(VLOOKUP(Users!E153,Credits!A:A,1,FALSE),"NO")="NO","NO","YES")</f>
        <v>NO</v>
      </c>
    </row>
    <row r="154" spans="5:6">
      <c r="E154" t="str">
        <f t="shared" si="4"/>
        <v xml:space="preserve"> </v>
      </c>
      <c r="F154" t="str">
        <f>IF(IFERROR(VLOOKUP(Users!E154,Credits!A:A,1,FALSE),"NO")="NO","NO","YES")</f>
        <v>NO</v>
      </c>
    </row>
    <row r="155" spans="5:6">
      <c r="E155" t="str">
        <f t="shared" si="4"/>
        <v xml:space="preserve"> </v>
      </c>
      <c r="F155" t="str">
        <f>IF(IFERROR(VLOOKUP(Users!E155,Credits!A:A,1,FALSE),"NO")="NO","NO","YES")</f>
        <v>NO</v>
      </c>
    </row>
    <row r="156" spans="5:6">
      <c r="E156" t="str">
        <f t="shared" si="4"/>
        <v xml:space="preserve"> </v>
      </c>
      <c r="F156" t="str">
        <f>IF(IFERROR(VLOOKUP(Users!E156,Credits!A:A,1,FALSE),"NO")="NO","NO","YES")</f>
        <v>NO</v>
      </c>
    </row>
    <row r="157" spans="5:6">
      <c r="E157" t="str">
        <f t="shared" si="4"/>
        <v xml:space="preserve"> </v>
      </c>
      <c r="F157" t="str">
        <f>IF(IFERROR(VLOOKUP(Users!E157,Credits!A:A,1,FALSE),"NO")="NO","NO","YES")</f>
        <v>NO</v>
      </c>
    </row>
    <row r="158" spans="5:6">
      <c r="E158" t="str">
        <f t="shared" si="4"/>
        <v xml:space="preserve"> </v>
      </c>
      <c r="F158" t="str">
        <f>IF(IFERROR(VLOOKUP(Users!E158,Credits!A:A,1,FALSE),"NO")="NO","NO","YES")</f>
        <v>NO</v>
      </c>
    </row>
    <row r="159" spans="5:6">
      <c r="E159" t="str">
        <f t="shared" si="4"/>
        <v xml:space="preserve"> </v>
      </c>
      <c r="F159" t="str">
        <f>IF(IFERROR(VLOOKUP(Users!E159,Credits!A:A,1,FALSE),"NO")="NO","NO","YES")</f>
        <v>NO</v>
      </c>
    </row>
    <row r="160" spans="5:6">
      <c r="E160" t="str">
        <f t="shared" si="4"/>
        <v xml:space="preserve"> </v>
      </c>
      <c r="F160" t="str">
        <f>IF(IFERROR(VLOOKUP(Users!E160,Credits!A:A,1,FALSE),"NO")="NO","NO","YES")</f>
        <v>NO</v>
      </c>
    </row>
    <row r="161" spans="5:6">
      <c r="E161" t="str">
        <f t="shared" si="4"/>
        <v xml:space="preserve"> </v>
      </c>
      <c r="F161" t="str">
        <f>IF(IFERROR(VLOOKUP(Users!E161,Credits!A:A,1,FALSE),"NO")="NO","NO","YES")</f>
        <v>NO</v>
      </c>
    </row>
    <row r="162" spans="5:6">
      <c r="E162" t="str">
        <f t="shared" si="4"/>
        <v xml:space="preserve"> </v>
      </c>
      <c r="F162" t="str">
        <f>IF(IFERROR(VLOOKUP(Users!E162,Credits!A:A,1,FALSE),"NO")="NO","NO","YES")</f>
        <v>NO</v>
      </c>
    </row>
    <row r="163" spans="5:6">
      <c r="E163" t="str">
        <f t="shared" si="4"/>
        <v xml:space="preserve"> </v>
      </c>
      <c r="F163" t="str">
        <f>IF(IFERROR(VLOOKUP(Users!E163,Credits!A:A,1,FALSE),"NO")="NO","NO","YES")</f>
        <v>NO</v>
      </c>
    </row>
    <row r="164" spans="5:6">
      <c r="E164" t="str">
        <f t="shared" si="4"/>
        <v xml:space="preserve"> </v>
      </c>
    </row>
    <row r="165" spans="5:6">
      <c r="E165" t="str">
        <f t="shared" si="4"/>
        <v xml:space="preserve"> </v>
      </c>
    </row>
    <row r="166" spans="5:6">
      <c r="E166" t="str">
        <f t="shared" si="4"/>
        <v xml:space="preserve"> </v>
      </c>
    </row>
    <row r="167" spans="5:6">
      <c r="E167" t="str">
        <f t="shared" si="4"/>
        <v xml:space="preserve"> </v>
      </c>
    </row>
    <row r="168" spans="5:6">
      <c r="E168" t="str">
        <f t="shared" si="4"/>
        <v xml:space="preserve"> </v>
      </c>
    </row>
    <row r="169" spans="5:6">
      <c r="E169" t="str">
        <f t="shared" si="4"/>
        <v xml:space="preserve"> </v>
      </c>
    </row>
    <row r="170" spans="5:6">
      <c r="E170" t="str">
        <f t="shared" si="4"/>
        <v xml:space="preserve"> </v>
      </c>
    </row>
  </sheetData>
  <autoFilter ref="A1:F163" xr:uid="{9C0B4478-8974-4158-8A7A-467773E4A647}"/>
  <phoneticPr fontId="2" type="noConversion"/>
  <hyperlinks>
    <hyperlink ref="A60" r:id="rId1" xr:uid="{97A3D75E-7E3F-4D26-A917-D050DF3BC220}"/>
    <hyperlink ref="A80" r:id="rId2" xr:uid="{6FB6EAE1-0DA9-4654-B61C-92B41C45FD34}"/>
    <hyperlink ref="A14" r:id="rId3" xr:uid="{A5BA40D0-8833-4909-A6C1-12F61A71CF11}"/>
    <hyperlink ref="A35" r:id="rId4" xr:uid="{55963E50-0B2A-4331-B205-3D3A5D941B89}"/>
    <hyperlink ref="A96" r:id="rId5" xr:uid="{351CA088-A199-4DCA-B07F-B0E384EA8D4E}"/>
    <hyperlink ref="A67" r:id="rId6" xr:uid="{21D32DE2-9556-49A1-B741-6ACFDDF9E6AA}"/>
    <hyperlink ref="A32" r:id="rId7" xr:uid="{25619F90-E22E-49E7-8A58-57EDC1FF7372}"/>
    <hyperlink ref="A77" r:id="rId8" xr:uid="{0B9B988E-8986-4ADA-AB69-D21CC1F968C8}"/>
    <hyperlink ref="A27" r:id="rId9" xr:uid="{FB4F7DFC-09F1-44BF-BED9-31075D62E78B}"/>
    <hyperlink ref="A6" r:id="rId10" xr:uid="{4367FD0D-1569-4CFD-A19D-C44A1C4328EC}"/>
    <hyperlink ref="A17" r:id="rId11" xr:uid="{BFF8A61B-59D5-487E-94C2-74BB28190451}"/>
    <hyperlink ref="A30" r:id="rId12" xr:uid="{E104A42D-6E44-4473-BA67-0E1A5D336D39}"/>
    <hyperlink ref="A73" r:id="rId13" xr:uid="{A8AE6BCB-4260-418D-9973-4821E07BD04E}"/>
    <hyperlink ref="A22" r:id="rId14" xr:uid="{982A757C-A010-4ADE-AEFA-9D835589CBFA}"/>
    <hyperlink ref="A101" r:id="rId15" xr:uid="{7923DC51-FBC7-4283-BBFF-5045214C61E6}"/>
    <hyperlink ref="A102" r:id="rId16" xr:uid="{8AD811DA-CE83-45D1-B30E-92BA64E2CACB}"/>
    <hyperlink ref="A103" r:id="rId17" xr:uid="{D253FEDA-A2F3-4FEE-A486-3D1E4C70CB51}"/>
    <hyperlink ref="A104" r:id="rId18" xr:uid="{50943E09-78C3-47F0-B844-1E527D3FD9A8}"/>
    <hyperlink ref="A105" r:id="rId19" xr:uid="{7A12CC61-7B60-4287-BC10-84878403507E}"/>
    <hyperlink ref="A106" r:id="rId20" xr:uid="{3E67FB36-43CD-044B-93A0-EA11234F2B96}"/>
    <hyperlink ref="A107" r:id="rId21" xr:uid="{4A9359EE-2E1A-FE47-B1B6-46CA274330F2}"/>
    <hyperlink ref="A109" r:id="rId22" xr:uid="{0D2B0C08-380F-824A-B29C-614CC0BCB1DC}"/>
    <hyperlink ref="A108" r:id="rId23" xr:uid="{C7292F26-F4DB-434C-9751-019A16BDF4E4}"/>
    <hyperlink ref="A89" r:id="rId24" xr:uid="{69E77248-7E83-4B75-8CC2-E18521184FB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BA19A-A2B1-3340-9D41-94F7497AB614}">
  <sheetPr>
    <tabColor rgb="FFFFFF00"/>
  </sheetPr>
  <dimension ref="A1:AM452"/>
  <sheetViews>
    <sheetView zoomScale="130" zoomScaleNormal="130" workbookViewId="0">
      <pane xSplit="5" topLeftCell="AD274" activePane="topRight" state="frozen"/>
      <selection pane="topRight" activeCell="D294" sqref="D294"/>
    </sheetView>
  </sheetViews>
  <sheetFormatPr defaultColWidth="9" defaultRowHeight="15.75" customHeight="1"/>
  <cols>
    <col min="1" max="1" width="15" style="31" customWidth="1"/>
    <col min="2" max="2" width="11.625" style="31" customWidth="1"/>
    <col min="3" max="3" width="11.125" style="31" customWidth="1"/>
    <col min="4" max="4" width="10.5" style="31" customWidth="1"/>
    <col min="5" max="5" width="23.625" style="121" customWidth="1"/>
    <col min="6" max="6" width="14.375" style="125" customWidth="1"/>
    <col min="7" max="9" width="1.375" style="125" customWidth="1"/>
    <col min="10" max="10" width="42.125" style="31" customWidth="1"/>
    <col min="11" max="11" width="10.375" style="121" customWidth="1"/>
    <col min="12" max="12" width="20.125" style="31" customWidth="1"/>
    <col min="13" max="15" width="1.875" style="31" customWidth="1"/>
    <col min="16" max="16" width="4.5" style="31" customWidth="1"/>
    <col min="17" max="17" width="1.875" style="31" customWidth="1"/>
    <col min="18" max="18" width="4.5" style="31" customWidth="1"/>
    <col min="19" max="19" width="4.875" style="31" customWidth="1"/>
    <col min="20" max="20" width="4.5" style="31" customWidth="1"/>
    <col min="21" max="21" width="16.625" style="31" bestFit="1" customWidth="1"/>
    <col min="22" max="22" width="3.125" style="31" customWidth="1"/>
    <col min="23" max="23" width="30.625" style="31" customWidth="1"/>
    <col min="24" max="27" width="2" style="31" customWidth="1"/>
    <col min="28" max="28" width="22.375" style="31" customWidth="1"/>
    <col min="29" max="29" width="14.125" style="31" bestFit="1" customWidth="1"/>
    <col min="30" max="30" width="13.125" style="123" bestFit="1" customWidth="1"/>
    <col min="31" max="31" width="37.125" style="123" customWidth="1"/>
    <col min="32" max="33" width="13.875" style="124" customWidth="1"/>
    <col min="34" max="34" width="16.125" style="123" customWidth="1"/>
    <col min="35" max="35" width="19" style="123" customWidth="1"/>
    <col min="36" max="36" width="37.125" customWidth="1"/>
  </cols>
  <sheetData>
    <row r="1" spans="1:39" s="6" customFormat="1" ht="15.95" customHeight="1">
      <c r="A1" s="120" t="s">
        <v>5</v>
      </c>
      <c r="B1" s="120" t="s">
        <v>712</v>
      </c>
      <c r="C1" s="120" t="s">
        <v>98</v>
      </c>
      <c r="D1" s="120" t="s">
        <v>99</v>
      </c>
      <c r="E1" s="121" t="s">
        <v>307</v>
      </c>
      <c r="F1" s="122" t="s">
        <v>308</v>
      </c>
      <c r="G1" s="122"/>
      <c r="H1" s="122"/>
      <c r="I1" s="122"/>
      <c r="J1" s="120" t="s">
        <v>9</v>
      </c>
      <c r="K1" s="121" t="s">
        <v>7</v>
      </c>
      <c r="L1" s="120" t="s">
        <v>713</v>
      </c>
      <c r="M1" s="120"/>
      <c r="N1" s="120"/>
      <c r="O1" s="120"/>
      <c r="P1" s="120" t="s">
        <v>714</v>
      </c>
      <c r="Q1" s="120"/>
      <c r="R1" s="120" t="s">
        <v>715</v>
      </c>
      <c r="S1" s="120" t="s">
        <v>716</v>
      </c>
      <c r="T1" s="120" t="s">
        <v>717</v>
      </c>
      <c r="U1" s="120" t="s">
        <v>718</v>
      </c>
      <c r="V1" s="120" t="s">
        <v>719</v>
      </c>
      <c r="W1" s="120" t="s">
        <v>97</v>
      </c>
      <c r="X1" s="120"/>
      <c r="Y1" s="120"/>
      <c r="Z1" s="120"/>
      <c r="AA1" s="120"/>
      <c r="AB1" s="120" t="s">
        <v>720</v>
      </c>
      <c r="AC1" s="120" t="s">
        <v>721</v>
      </c>
      <c r="AD1" s="123" t="s">
        <v>722</v>
      </c>
      <c r="AE1" s="123" t="s">
        <v>723</v>
      </c>
      <c r="AF1" s="124" t="s">
        <v>724</v>
      </c>
      <c r="AG1" s="124" t="s">
        <v>725</v>
      </c>
      <c r="AH1" s="123" t="s">
        <v>720</v>
      </c>
      <c r="AI1" s="123" t="s">
        <v>726</v>
      </c>
      <c r="AJ1" s="123" t="s">
        <v>727</v>
      </c>
      <c r="AK1" s="6" t="s">
        <v>192</v>
      </c>
      <c r="AL1" s="6" t="s">
        <v>196</v>
      </c>
      <c r="AM1" s="6" t="s">
        <v>247</v>
      </c>
    </row>
    <row r="2" spans="1:39" ht="15.95" customHeight="1">
      <c r="A2" s="31" t="s">
        <v>728</v>
      </c>
      <c r="B2" s="31" t="s">
        <v>729</v>
      </c>
      <c r="C2" s="31" t="s">
        <v>310</v>
      </c>
      <c r="D2" s="31" t="s">
        <v>311</v>
      </c>
      <c r="E2" s="121" t="s">
        <v>125</v>
      </c>
      <c r="J2" s="31" t="s">
        <v>730</v>
      </c>
      <c r="K2" s="121">
        <v>1</v>
      </c>
      <c r="L2" s="31" t="s">
        <v>731</v>
      </c>
      <c r="P2" s="31">
        <v>1</v>
      </c>
      <c r="R2" s="31" t="s">
        <v>732</v>
      </c>
      <c r="S2" s="31" t="s">
        <v>733</v>
      </c>
      <c r="T2" s="31">
        <v>40</v>
      </c>
      <c r="U2" s="31" t="s">
        <v>310</v>
      </c>
      <c r="V2" s="31" t="s">
        <v>311</v>
      </c>
      <c r="W2" s="31" t="s">
        <v>125</v>
      </c>
      <c r="AD2" s="126">
        <f t="shared" ref="AD2:AD33" si="0">K2</f>
        <v>1</v>
      </c>
      <c r="AE2" s="123" t="str">
        <f t="shared" ref="AE2:AE65" si="1">J2</f>
        <v>Nimi hosts [Art Marathon] Somerset House: Assembly 2024 &amp;amp; Print Fair 23/03</v>
      </c>
      <c r="AF2" s="124">
        <v>45374</v>
      </c>
      <c r="AG2" s="123">
        <v>3</v>
      </c>
      <c r="AJ2" s="123"/>
    </row>
    <row r="3" spans="1:39" ht="15.95" customHeight="1">
      <c r="A3" s="31" t="s">
        <v>734</v>
      </c>
      <c r="B3" s="31" t="s">
        <v>729</v>
      </c>
      <c r="C3" s="31" t="s">
        <v>313</v>
      </c>
      <c r="D3" s="31" t="s">
        <v>314</v>
      </c>
      <c r="E3" s="121" t="s">
        <v>127</v>
      </c>
      <c r="J3" s="31" t="s">
        <v>730</v>
      </c>
      <c r="K3" s="121">
        <v>1</v>
      </c>
      <c r="L3" s="31" t="s">
        <v>731</v>
      </c>
      <c r="P3" s="31">
        <v>1</v>
      </c>
      <c r="R3" s="31" t="s">
        <v>732</v>
      </c>
      <c r="S3" s="31" t="s">
        <v>733</v>
      </c>
      <c r="T3" s="31">
        <v>40</v>
      </c>
      <c r="U3" s="31" t="s">
        <v>313</v>
      </c>
      <c r="V3" s="31" t="s">
        <v>314</v>
      </c>
      <c r="W3" s="31" t="s">
        <v>127</v>
      </c>
      <c r="AD3" s="126">
        <f t="shared" si="0"/>
        <v>1</v>
      </c>
      <c r="AE3" s="123" t="str">
        <f t="shared" si="1"/>
        <v>Nimi hosts [Art Marathon] Somerset House: Assembly 2024 &amp;amp; Print Fair 23/03</v>
      </c>
      <c r="AF3" s="124">
        <v>45374</v>
      </c>
      <c r="AG3" s="123">
        <v>3</v>
      </c>
      <c r="AJ3" s="123"/>
    </row>
    <row r="4" spans="1:39" ht="15.95" customHeight="1">
      <c r="A4" s="31" t="s">
        <v>735</v>
      </c>
      <c r="B4" s="31" t="s">
        <v>729</v>
      </c>
      <c r="C4" s="31" t="s">
        <v>736</v>
      </c>
      <c r="D4" s="31" t="s">
        <v>376</v>
      </c>
      <c r="E4" s="121" t="s">
        <v>122</v>
      </c>
      <c r="J4" s="31" t="s">
        <v>730</v>
      </c>
      <c r="K4" s="121">
        <v>1</v>
      </c>
      <c r="L4" s="31" t="s">
        <v>731</v>
      </c>
      <c r="P4" s="31">
        <v>1</v>
      </c>
      <c r="R4" s="31" t="s">
        <v>737</v>
      </c>
      <c r="S4" s="31" t="s">
        <v>733</v>
      </c>
      <c r="T4" s="31">
        <v>25</v>
      </c>
      <c r="U4" s="31" t="s">
        <v>736</v>
      </c>
      <c r="V4" s="31" t="s">
        <v>376</v>
      </c>
      <c r="W4" s="31" t="s">
        <v>122</v>
      </c>
      <c r="AD4" s="126">
        <f t="shared" si="0"/>
        <v>1</v>
      </c>
      <c r="AE4" s="123" t="str">
        <f t="shared" si="1"/>
        <v>Nimi hosts [Art Marathon] Somerset House: Assembly 2024 &amp;amp; Print Fair 23/03</v>
      </c>
      <c r="AF4" s="124">
        <v>45374</v>
      </c>
      <c r="AG4" s="123">
        <v>3</v>
      </c>
      <c r="AJ4" s="123"/>
    </row>
    <row r="5" spans="1:39" ht="15.95" customHeight="1">
      <c r="A5" s="31" t="s">
        <v>738</v>
      </c>
      <c r="B5" s="31" t="s">
        <v>729</v>
      </c>
      <c r="C5" s="31" t="s">
        <v>482</v>
      </c>
      <c r="D5" s="31" t="s">
        <v>483</v>
      </c>
      <c r="E5" s="121" t="s">
        <v>136</v>
      </c>
      <c r="J5" s="31" t="s">
        <v>730</v>
      </c>
      <c r="K5" s="121">
        <v>1</v>
      </c>
      <c r="L5" s="31" t="s">
        <v>731</v>
      </c>
      <c r="P5" s="31">
        <v>1</v>
      </c>
      <c r="R5" s="31" t="s">
        <v>737</v>
      </c>
      <c r="S5" s="31" t="s">
        <v>733</v>
      </c>
      <c r="T5" s="31">
        <v>25</v>
      </c>
      <c r="U5" s="31" t="s">
        <v>482</v>
      </c>
      <c r="V5" s="31" t="s">
        <v>483</v>
      </c>
      <c r="W5" s="31" t="s">
        <v>136</v>
      </c>
      <c r="AD5" s="126">
        <f t="shared" si="0"/>
        <v>1</v>
      </c>
      <c r="AE5" s="123" t="str">
        <f t="shared" si="1"/>
        <v>Nimi hosts [Art Marathon] Somerset House: Assembly 2024 &amp;amp; Print Fair 23/03</v>
      </c>
      <c r="AF5" s="124">
        <v>45374</v>
      </c>
      <c r="AG5" s="123">
        <v>3</v>
      </c>
      <c r="AJ5" s="123"/>
    </row>
    <row r="6" spans="1:39" ht="15.95" customHeight="1">
      <c r="A6" s="31" t="s">
        <v>739</v>
      </c>
      <c r="B6" s="31" t="s">
        <v>729</v>
      </c>
      <c r="C6" s="31" t="s">
        <v>492</v>
      </c>
      <c r="D6" s="31" t="s">
        <v>493</v>
      </c>
      <c r="E6" s="121" t="s">
        <v>118</v>
      </c>
      <c r="J6" s="31" t="s">
        <v>730</v>
      </c>
      <c r="K6" s="121">
        <v>1</v>
      </c>
      <c r="L6" s="31" t="s">
        <v>731</v>
      </c>
      <c r="P6" s="31">
        <v>1</v>
      </c>
      <c r="R6" s="31" t="s">
        <v>732</v>
      </c>
      <c r="S6" s="31" t="s">
        <v>733</v>
      </c>
      <c r="T6" s="31">
        <v>40</v>
      </c>
      <c r="U6" s="31" t="s">
        <v>492</v>
      </c>
      <c r="V6" s="31" t="s">
        <v>493</v>
      </c>
      <c r="W6" s="31" t="s">
        <v>118</v>
      </c>
      <c r="AD6" s="126">
        <f t="shared" si="0"/>
        <v>1</v>
      </c>
      <c r="AE6" s="123" t="str">
        <f t="shared" si="1"/>
        <v>Nimi hosts [Art Marathon] Somerset House: Assembly 2024 &amp;amp; Print Fair 23/03</v>
      </c>
      <c r="AF6" s="124">
        <v>45374</v>
      </c>
      <c r="AG6" s="123">
        <v>3</v>
      </c>
      <c r="AJ6" s="123"/>
    </row>
    <row r="7" spans="1:39" ht="15.95" customHeight="1">
      <c r="A7" s="31" t="s">
        <v>740</v>
      </c>
      <c r="B7" s="31" t="s">
        <v>729</v>
      </c>
      <c r="C7" s="31" t="s">
        <v>514</v>
      </c>
      <c r="D7" s="31" t="s">
        <v>515</v>
      </c>
      <c r="E7" s="121" t="s">
        <v>144</v>
      </c>
      <c r="J7" s="31" t="s">
        <v>730</v>
      </c>
      <c r="K7" s="121">
        <v>1</v>
      </c>
      <c r="L7" s="31" t="s">
        <v>731</v>
      </c>
      <c r="P7" s="31">
        <v>1</v>
      </c>
      <c r="R7" s="31" t="s">
        <v>732</v>
      </c>
      <c r="S7" s="31" t="s">
        <v>733</v>
      </c>
      <c r="T7" s="31">
        <v>40</v>
      </c>
      <c r="U7" s="31" t="s">
        <v>514</v>
      </c>
      <c r="V7" s="31" t="s">
        <v>515</v>
      </c>
      <c r="W7" s="31" t="s">
        <v>144</v>
      </c>
      <c r="AD7" s="126">
        <f t="shared" si="0"/>
        <v>1</v>
      </c>
      <c r="AE7" s="123" t="str">
        <f t="shared" si="1"/>
        <v>Nimi hosts [Art Marathon] Somerset House: Assembly 2024 &amp;amp; Print Fair 23/03</v>
      </c>
      <c r="AF7" s="124">
        <v>45374</v>
      </c>
      <c r="AG7" s="123">
        <v>3</v>
      </c>
      <c r="AJ7" s="123"/>
    </row>
    <row r="8" spans="1:39" ht="15.95" customHeight="1">
      <c r="A8" s="31" t="s">
        <v>741</v>
      </c>
      <c r="B8" s="31" t="s">
        <v>729</v>
      </c>
      <c r="C8" s="31" t="s">
        <v>524</v>
      </c>
      <c r="D8" s="31" t="s">
        <v>525</v>
      </c>
      <c r="E8" s="121" t="s">
        <v>146</v>
      </c>
      <c r="J8" s="31" t="s">
        <v>730</v>
      </c>
      <c r="K8" s="121">
        <v>1</v>
      </c>
      <c r="L8" s="31" t="s">
        <v>731</v>
      </c>
      <c r="P8" s="31">
        <v>1</v>
      </c>
      <c r="R8" s="31" t="s">
        <v>737</v>
      </c>
      <c r="S8" s="31" t="s">
        <v>733</v>
      </c>
      <c r="T8" s="31">
        <v>25</v>
      </c>
      <c r="U8" s="31" t="s">
        <v>524</v>
      </c>
      <c r="V8" s="31" t="s">
        <v>525</v>
      </c>
      <c r="W8" s="31" t="s">
        <v>146</v>
      </c>
      <c r="AD8" s="126">
        <f t="shared" si="0"/>
        <v>1</v>
      </c>
      <c r="AE8" s="123" t="str">
        <f t="shared" si="1"/>
        <v>Nimi hosts [Art Marathon] Somerset House: Assembly 2024 &amp;amp; Print Fair 23/03</v>
      </c>
      <c r="AF8" s="124">
        <v>45374</v>
      </c>
      <c r="AG8" s="123">
        <v>3</v>
      </c>
      <c r="AJ8" s="123"/>
    </row>
    <row r="9" spans="1:39" ht="15.95" customHeight="1">
      <c r="A9" s="31" t="s">
        <v>742</v>
      </c>
      <c r="B9" s="31" t="s">
        <v>729</v>
      </c>
      <c r="C9" s="31" t="s">
        <v>743</v>
      </c>
      <c r="D9" s="31" t="s">
        <v>744</v>
      </c>
      <c r="E9" s="121" t="s">
        <v>139</v>
      </c>
      <c r="J9" s="31" t="s">
        <v>730</v>
      </c>
      <c r="K9" s="121">
        <v>1</v>
      </c>
      <c r="L9" s="31" t="s">
        <v>731</v>
      </c>
      <c r="P9" s="31">
        <v>1</v>
      </c>
      <c r="R9" s="31" t="s">
        <v>737</v>
      </c>
      <c r="S9" s="31" t="s">
        <v>733</v>
      </c>
      <c r="T9" s="31">
        <v>25</v>
      </c>
      <c r="U9" s="31" t="s">
        <v>743</v>
      </c>
      <c r="V9" s="31" t="s">
        <v>744</v>
      </c>
      <c r="W9" s="31" t="s">
        <v>139</v>
      </c>
      <c r="AD9" s="126">
        <f t="shared" si="0"/>
        <v>1</v>
      </c>
      <c r="AE9" s="123" t="str">
        <f t="shared" si="1"/>
        <v>Nimi hosts [Art Marathon] Somerset House: Assembly 2024 &amp;amp; Print Fair 23/03</v>
      </c>
      <c r="AF9" s="124">
        <v>45374</v>
      </c>
      <c r="AG9" s="123">
        <v>3</v>
      </c>
      <c r="AJ9" s="123"/>
    </row>
    <row r="10" spans="1:39" ht="15.95" customHeight="1">
      <c r="A10" s="31" t="s">
        <v>745</v>
      </c>
      <c r="B10" s="31" t="s">
        <v>729</v>
      </c>
      <c r="C10" s="31" t="s">
        <v>538</v>
      </c>
      <c r="D10" s="31" t="s">
        <v>539</v>
      </c>
      <c r="E10" s="121" t="s">
        <v>128</v>
      </c>
      <c r="J10" s="31" t="s">
        <v>730</v>
      </c>
      <c r="K10" s="121">
        <v>1</v>
      </c>
      <c r="L10" s="31" t="s">
        <v>731</v>
      </c>
      <c r="P10" s="31">
        <v>1</v>
      </c>
      <c r="R10" s="31" t="s">
        <v>737</v>
      </c>
      <c r="S10" s="31" t="s">
        <v>733</v>
      </c>
      <c r="T10" s="31">
        <v>25</v>
      </c>
      <c r="U10" s="31" t="s">
        <v>538</v>
      </c>
      <c r="V10" s="31" t="s">
        <v>539</v>
      </c>
      <c r="W10" s="31" t="s">
        <v>128</v>
      </c>
      <c r="AD10" s="126">
        <f t="shared" si="0"/>
        <v>1</v>
      </c>
      <c r="AE10" s="123" t="str">
        <f t="shared" si="1"/>
        <v>Nimi hosts [Art Marathon] Somerset House: Assembly 2024 &amp;amp; Print Fair 23/03</v>
      </c>
      <c r="AF10" s="124">
        <v>45374</v>
      </c>
      <c r="AG10" s="123">
        <v>3</v>
      </c>
      <c r="AJ10" s="123"/>
    </row>
    <row r="11" spans="1:39" ht="15.95" customHeight="1">
      <c r="A11" s="31" t="s">
        <v>746</v>
      </c>
      <c r="B11" s="31" t="s">
        <v>729</v>
      </c>
      <c r="C11" s="31" t="s">
        <v>580</v>
      </c>
      <c r="D11" s="31" t="s">
        <v>581</v>
      </c>
      <c r="E11" s="121" t="s">
        <v>138</v>
      </c>
      <c r="J11" s="31" t="s">
        <v>730</v>
      </c>
      <c r="K11" s="121">
        <v>1</v>
      </c>
      <c r="L11" s="31" t="s">
        <v>731</v>
      </c>
      <c r="P11" s="31">
        <v>1</v>
      </c>
      <c r="R11" s="31" t="s">
        <v>732</v>
      </c>
      <c r="S11" s="31" t="s">
        <v>733</v>
      </c>
      <c r="T11" s="31">
        <v>40</v>
      </c>
      <c r="U11" s="31" t="s">
        <v>580</v>
      </c>
      <c r="V11" s="31" t="s">
        <v>581</v>
      </c>
      <c r="W11" s="31" t="s">
        <v>138</v>
      </c>
      <c r="AD11" s="126">
        <f t="shared" si="0"/>
        <v>1</v>
      </c>
      <c r="AE11" s="123" t="str">
        <f t="shared" si="1"/>
        <v>Nimi hosts [Art Marathon] Somerset House: Assembly 2024 &amp;amp; Print Fair 23/03</v>
      </c>
      <c r="AF11" s="124">
        <v>45374</v>
      </c>
      <c r="AG11" s="123">
        <v>3</v>
      </c>
      <c r="AJ11" s="123"/>
    </row>
    <row r="12" spans="1:39" ht="15.95" customHeight="1">
      <c r="A12" s="31" t="s">
        <v>747</v>
      </c>
      <c r="B12" s="31" t="s">
        <v>729</v>
      </c>
      <c r="C12" s="31" t="s">
        <v>583</v>
      </c>
      <c r="D12" s="31" t="s">
        <v>584</v>
      </c>
      <c r="E12" s="121" t="s">
        <v>145</v>
      </c>
      <c r="J12" s="31" t="s">
        <v>730</v>
      </c>
      <c r="K12" s="121">
        <v>1</v>
      </c>
      <c r="L12" s="31" t="s">
        <v>731</v>
      </c>
      <c r="P12" s="31">
        <v>1</v>
      </c>
      <c r="R12" s="31" t="s">
        <v>732</v>
      </c>
      <c r="S12" s="31" t="s">
        <v>733</v>
      </c>
      <c r="T12" s="31">
        <v>40</v>
      </c>
      <c r="U12" s="31" t="s">
        <v>583</v>
      </c>
      <c r="V12" s="31" t="s">
        <v>584</v>
      </c>
      <c r="W12" s="31" t="s">
        <v>145</v>
      </c>
      <c r="AD12" s="126">
        <f t="shared" si="0"/>
        <v>1</v>
      </c>
      <c r="AE12" s="123" t="str">
        <f t="shared" si="1"/>
        <v>Nimi hosts [Art Marathon] Somerset House: Assembly 2024 &amp;amp; Print Fair 23/03</v>
      </c>
      <c r="AF12" s="124">
        <v>45374</v>
      </c>
      <c r="AG12" s="123">
        <v>3</v>
      </c>
      <c r="AJ12" s="123"/>
    </row>
    <row r="13" spans="1:39" ht="15.95" customHeight="1">
      <c r="A13" t="s">
        <v>748</v>
      </c>
      <c r="B13" t="s">
        <v>749</v>
      </c>
      <c r="C13" t="s">
        <v>331</v>
      </c>
      <c r="D13" t="s">
        <v>332</v>
      </c>
      <c r="E13" s="88" t="s">
        <v>132</v>
      </c>
      <c r="F13" s="66"/>
      <c r="G13" s="66"/>
      <c r="H13" s="66"/>
      <c r="I13" s="66"/>
      <c r="J13" t="s">
        <v>750</v>
      </c>
      <c r="K13" s="88">
        <v>2</v>
      </c>
      <c r="L13" t="s">
        <v>751</v>
      </c>
      <c r="M13"/>
      <c r="N13"/>
      <c r="O13"/>
      <c r="P13">
        <v>1</v>
      </c>
      <c r="Q13"/>
      <c r="R13" t="s">
        <v>752</v>
      </c>
      <c r="S13" t="s">
        <v>733</v>
      </c>
      <c r="T13">
        <v>14</v>
      </c>
      <c r="U13" t="s">
        <v>331</v>
      </c>
      <c r="V13" t="s">
        <v>332</v>
      </c>
      <c r="W13" t="s">
        <v>132</v>
      </c>
      <c r="X13"/>
      <c r="Y13"/>
      <c r="Z13"/>
      <c r="AA13"/>
      <c r="AB13"/>
      <c r="AC13"/>
      <c r="AD13" s="126">
        <f t="shared" si="0"/>
        <v>2</v>
      </c>
      <c r="AE13" s="123" t="str">
        <f t="shared" si="1"/>
        <v>Nimi hosts [Creative Session] Life Drawing at Estorick Collection</v>
      </c>
      <c r="AF13" s="124">
        <v>45376</v>
      </c>
      <c r="AG13" s="123">
        <v>3</v>
      </c>
      <c r="AJ13" s="123"/>
    </row>
    <row r="14" spans="1:39" ht="15.95" customHeight="1">
      <c r="A14" t="s">
        <v>753</v>
      </c>
      <c r="B14" t="s">
        <v>749</v>
      </c>
      <c r="C14" t="s">
        <v>367</v>
      </c>
      <c r="D14" t="s">
        <v>368</v>
      </c>
      <c r="E14" s="88" t="s">
        <v>130</v>
      </c>
      <c r="F14" s="66"/>
      <c r="G14" s="66"/>
      <c r="H14" s="66"/>
      <c r="I14" s="66"/>
      <c r="J14" t="s">
        <v>750</v>
      </c>
      <c r="K14" s="88">
        <v>2</v>
      </c>
      <c r="L14" t="s">
        <v>751</v>
      </c>
      <c r="M14"/>
      <c r="N14"/>
      <c r="O14"/>
      <c r="P14">
        <v>1</v>
      </c>
      <c r="Q14"/>
      <c r="R14" t="s">
        <v>752</v>
      </c>
      <c r="S14" t="s">
        <v>733</v>
      </c>
      <c r="T14">
        <v>14</v>
      </c>
      <c r="U14" t="s">
        <v>367</v>
      </c>
      <c r="V14" t="s">
        <v>368</v>
      </c>
      <c r="W14" t="s">
        <v>130</v>
      </c>
      <c r="X14"/>
      <c r="Y14"/>
      <c r="Z14"/>
      <c r="AA14"/>
      <c r="AB14"/>
      <c r="AC14"/>
      <c r="AD14" s="126">
        <f t="shared" si="0"/>
        <v>2</v>
      </c>
      <c r="AE14" s="123" t="str">
        <f t="shared" si="1"/>
        <v>Nimi hosts [Creative Session] Life Drawing at Estorick Collection</v>
      </c>
      <c r="AF14" s="124">
        <v>45376</v>
      </c>
      <c r="AG14" s="123">
        <v>3</v>
      </c>
      <c r="AJ14" s="123"/>
    </row>
    <row r="15" spans="1:39" ht="15.95" customHeight="1">
      <c r="A15" t="s">
        <v>754</v>
      </c>
      <c r="B15" t="s">
        <v>749</v>
      </c>
      <c r="C15" t="s">
        <v>473</v>
      </c>
      <c r="D15" t="s">
        <v>474</v>
      </c>
      <c r="E15" s="88" t="s">
        <v>131</v>
      </c>
      <c r="F15" s="66"/>
      <c r="G15" s="66"/>
      <c r="H15" s="66"/>
      <c r="I15" s="66"/>
      <c r="J15" t="s">
        <v>750</v>
      </c>
      <c r="K15" s="88">
        <v>2</v>
      </c>
      <c r="L15" t="s">
        <v>751</v>
      </c>
      <c r="M15"/>
      <c r="N15"/>
      <c r="O15"/>
      <c r="P15">
        <v>1</v>
      </c>
      <c r="Q15"/>
      <c r="R15" t="s">
        <v>752</v>
      </c>
      <c r="S15" t="s">
        <v>733</v>
      </c>
      <c r="T15">
        <v>14</v>
      </c>
      <c r="U15" t="s">
        <v>473</v>
      </c>
      <c r="V15" t="s">
        <v>474</v>
      </c>
      <c r="W15" t="s">
        <v>131</v>
      </c>
      <c r="X15"/>
      <c r="Y15"/>
      <c r="Z15"/>
      <c r="AA15"/>
      <c r="AB15"/>
      <c r="AC15"/>
      <c r="AD15" s="126">
        <f t="shared" si="0"/>
        <v>2</v>
      </c>
      <c r="AE15" s="123" t="str">
        <f t="shared" si="1"/>
        <v>Nimi hosts [Creative Session] Life Drawing at Estorick Collection</v>
      </c>
      <c r="AF15" s="124">
        <v>45376</v>
      </c>
      <c r="AG15" s="123">
        <v>3</v>
      </c>
      <c r="AJ15" s="123"/>
    </row>
    <row r="16" spans="1:39" ht="15.95" customHeight="1">
      <c r="A16" t="s">
        <v>755</v>
      </c>
      <c r="B16" t="s">
        <v>729</v>
      </c>
      <c r="C16" t="s">
        <v>349</v>
      </c>
      <c r="D16" t="s">
        <v>350</v>
      </c>
      <c r="E16" s="88" t="s">
        <v>158</v>
      </c>
      <c r="F16" s="66"/>
      <c r="G16" s="66"/>
      <c r="H16" s="66"/>
      <c r="I16" s="66"/>
      <c r="J16" t="s">
        <v>756</v>
      </c>
      <c r="K16" s="88">
        <v>3</v>
      </c>
      <c r="L16" t="s">
        <v>757</v>
      </c>
      <c r="M16"/>
      <c r="N16"/>
      <c r="O16"/>
      <c r="P16">
        <v>1</v>
      </c>
      <c r="Q16"/>
      <c r="R16" t="s">
        <v>752</v>
      </c>
      <c r="S16" t="s">
        <v>733</v>
      </c>
      <c r="T16">
        <v>0</v>
      </c>
      <c r="U16" t="s">
        <v>349</v>
      </c>
      <c r="V16" t="s">
        <v>350</v>
      </c>
      <c r="W16" t="s">
        <v>158</v>
      </c>
      <c r="X16"/>
      <c r="Y16"/>
      <c r="Z16"/>
      <c r="AA16"/>
      <c r="AB16"/>
      <c r="AC16"/>
      <c r="AD16" s="126">
        <f t="shared" si="0"/>
        <v>3</v>
      </c>
      <c r="AE16" s="123" t="str">
        <f t="shared" si="1"/>
        <v>Nimi hosts [Hidden Gem] Serpentine Gallery: Refik Anadol</v>
      </c>
      <c r="AF16" s="124">
        <v>45381</v>
      </c>
      <c r="AG16" s="123">
        <v>3</v>
      </c>
      <c r="AJ16" s="123"/>
    </row>
    <row r="17" spans="1:36" ht="15.95" customHeight="1">
      <c r="A17" t="s">
        <v>758</v>
      </c>
      <c r="B17" t="s">
        <v>729</v>
      </c>
      <c r="C17" t="s">
        <v>367</v>
      </c>
      <c r="D17" t="s">
        <v>368</v>
      </c>
      <c r="E17" s="88" t="s">
        <v>130</v>
      </c>
      <c r="F17" s="66"/>
      <c r="G17" s="66"/>
      <c r="H17" s="66"/>
      <c r="I17" s="66"/>
      <c r="J17" t="s">
        <v>756</v>
      </c>
      <c r="K17" s="88">
        <v>3</v>
      </c>
      <c r="L17" t="s">
        <v>757</v>
      </c>
      <c r="M17"/>
      <c r="N17"/>
      <c r="O17"/>
      <c r="P17">
        <v>1</v>
      </c>
      <c r="Q17"/>
      <c r="R17" t="s">
        <v>759</v>
      </c>
      <c r="S17" t="s">
        <v>733</v>
      </c>
      <c r="T17">
        <v>5</v>
      </c>
      <c r="U17" t="s">
        <v>367</v>
      </c>
      <c r="V17" t="s">
        <v>368</v>
      </c>
      <c r="W17" t="s">
        <v>130</v>
      </c>
      <c r="X17"/>
      <c r="Y17"/>
      <c r="Z17"/>
      <c r="AA17"/>
      <c r="AB17"/>
      <c r="AC17"/>
      <c r="AD17" s="126">
        <f t="shared" si="0"/>
        <v>3</v>
      </c>
      <c r="AE17" s="123" t="str">
        <f t="shared" si="1"/>
        <v>Nimi hosts [Hidden Gem] Serpentine Gallery: Refik Anadol</v>
      </c>
      <c r="AF17" s="124">
        <v>45381</v>
      </c>
      <c r="AG17" s="123">
        <v>3</v>
      </c>
      <c r="AJ17" s="123"/>
    </row>
    <row r="18" spans="1:36" ht="15.95" customHeight="1">
      <c r="A18" t="s">
        <v>760</v>
      </c>
      <c r="B18" t="s">
        <v>749</v>
      </c>
      <c r="C18" t="s">
        <v>384</v>
      </c>
      <c r="D18" t="s">
        <v>385</v>
      </c>
      <c r="E18" s="88" t="s">
        <v>157</v>
      </c>
      <c r="F18" s="66"/>
      <c r="G18" s="66"/>
      <c r="H18" s="66"/>
      <c r="I18" s="66"/>
      <c r="J18" t="s">
        <v>756</v>
      </c>
      <c r="K18" s="88">
        <v>3</v>
      </c>
      <c r="L18" t="s">
        <v>757</v>
      </c>
      <c r="M18"/>
      <c r="N18"/>
      <c r="O18"/>
      <c r="P18">
        <v>1</v>
      </c>
      <c r="Q18"/>
      <c r="R18" t="s">
        <v>759</v>
      </c>
      <c r="S18" t="s">
        <v>733</v>
      </c>
      <c r="T18">
        <v>5</v>
      </c>
      <c r="U18" t="s">
        <v>384</v>
      </c>
      <c r="V18" t="s">
        <v>385</v>
      </c>
      <c r="W18" t="s">
        <v>157</v>
      </c>
      <c r="X18"/>
      <c r="Y18"/>
      <c r="Z18"/>
      <c r="AA18"/>
      <c r="AB18"/>
      <c r="AC18"/>
      <c r="AD18" s="126">
        <f t="shared" si="0"/>
        <v>3</v>
      </c>
      <c r="AE18" s="123" t="str">
        <f t="shared" si="1"/>
        <v>Nimi hosts [Hidden Gem] Serpentine Gallery: Refik Anadol</v>
      </c>
      <c r="AF18" s="124">
        <v>45381</v>
      </c>
      <c r="AG18" s="123">
        <v>3</v>
      </c>
      <c r="AJ18" s="123"/>
    </row>
    <row r="19" spans="1:36" ht="15.95" customHeight="1">
      <c r="A19" t="s">
        <v>761</v>
      </c>
      <c r="B19" t="s">
        <v>749</v>
      </c>
      <c r="C19" t="s">
        <v>762</v>
      </c>
      <c r="D19" t="s">
        <v>763</v>
      </c>
      <c r="E19" s="88" t="s">
        <v>155</v>
      </c>
      <c r="F19" s="66"/>
      <c r="G19" s="66"/>
      <c r="H19" s="66"/>
      <c r="I19" s="66"/>
      <c r="J19" t="s">
        <v>756</v>
      </c>
      <c r="K19" s="88">
        <v>3</v>
      </c>
      <c r="L19" t="s">
        <v>757</v>
      </c>
      <c r="M19"/>
      <c r="N19"/>
      <c r="O19"/>
      <c r="P19">
        <v>1</v>
      </c>
      <c r="Q19"/>
      <c r="R19" t="s">
        <v>759</v>
      </c>
      <c r="S19" t="s">
        <v>733</v>
      </c>
      <c r="T19">
        <v>5</v>
      </c>
      <c r="U19" t="s">
        <v>762</v>
      </c>
      <c r="V19" t="s">
        <v>764</v>
      </c>
      <c r="W19" t="s">
        <v>155</v>
      </c>
      <c r="X19"/>
      <c r="Y19"/>
      <c r="Z19"/>
      <c r="AA19"/>
      <c r="AB19"/>
      <c r="AC19"/>
      <c r="AD19" s="126">
        <f t="shared" si="0"/>
        <v>3</v>
      </c>
      <c r="AE19" s="123" t="str">
        <f t="shared" si="1"/>
        <v>Nimi hosts [Hidden Gem] Serpentine Gallery: Refik Anadol</v>
      </c>
      <c r="AF19" s="124">
        <v>45381</v>
      </c>
      <c r="AG19" s="123">
        <v>3</v>
      </c>
      <c r="AJ19" s="123"/>
    </row>
    <row r="20" spans="1:36" ht="15.95" customHeight="1">
      <c r="A20" t="s">
        <v>765</v>
      </c>
      <c r="B20" t="s">
        <v>729</v>
      </c>
      <c r="C20" t="s">
        <v>480</v>
      </c>
      <c r="D20" t="s">
        <v>481</v>
      </c>
      <c r="E20" s="88" t="s">
        <v>153</v>
      </c>
      <c r="F20" s="66"/>
      <c r="G20" s="66"/>
      <c r="H20" s="66"/>
      <c r="I20" s="66"/>
      <c r="J20" t="s">
        <v>756</v>
      </c>
      <c r="K20" s="88">
        <v>3</v>
      </c>
      <c r="L20" t="s">
        <v>757</v>
      </c>
      <c r="M20"/>
      <c r="N20"/>
      <c r="O20"/>
      <c r="P20">
        <v>1</v>
      </c>
      <c r="Q20"/>
      <c r="R20" t="s">
        <v>759</v>
      </c>
      <c r="S20" t="s">
        <v>733</v>
      </c>
      <c r="T20">
        <v>5</v>
      </c>
      <c r="U20" t="s">
        <v>480</v>
      </c>
      <c r="V20" t="s">
        <v>481</v>
      </c>
      <c r="W20" t="s">
        <v>153</v>
      </c>
      <c r="X20"/>
      <c r="Y20"/>
      <c r="Z20"/>
      <c r="AA20"/>
      <c r="AB20"/>
      <c r="AC20"/>
      <c r="AD20" s="126">
        <f t="shared" si="0"/>
        <v>3</v>
      </c>
      <c r="AE20" s="123" t="str">
        <f t="shared" si="1"/>
        <v>Nimi hosts [Hidden Gem] Serpentine Gallery: Refik Anadol</v>
      </c>
      <c r="AF20" s="124">
        <v>45381</v>
      </c>
      <c r="AG20" s="123">
        <v>3</v>
      </c>
      <c r="AJ20" s="123"/>
    </row>
    <row r="21" spans="1:36" ht="15.95" customHeight="1">
      <c r="A21" t="s">
        <v>766</v>
      </c>
      <c r="B21" t="s">
        <v>729</v>
      </c>
      <c r="C21" t="s">
        <v>489</v>
      </c>
      <c r="D21" t="s">
        <v>490</v>
      </c>
      <c r="E21" s="88" t="s">
        <v>142</v>
      </c>
      <c r="F21" s="66"/>
      <c r="G21" s="66"/>
      <c r="H21" s="66"/>
      <c r="I21" s="66"/>
      <c r="J21" t="s">
        <v>756</v>
      </c>
      <c r="K21" s="88">
        <v>3</v>
      </c>
      <c r="L21" t="s">
        <v>757</v>
      </c>
      <c r="M21"/>
      <c r="N21"/>
      <c r="O21"/>
      <c r="P21">
        <v>1</v>
      </c>
      <c r="Q21"/>
      <c r="R21" t="s">
        <v>759</v>
      </c>
      <c r="S21" t="s">
        <v>733</v>
      </c>
      <c r="T21">
        <v>5</v>
      </c>
      <c r="U21" t="s">
        <v>489</v>
      </c>
      <c r="V21" t="s">
        <v>490</v>
      </c>
      <c r="W21" t="s">
        <v>143</v>
      </c>
      <c r="X21"/>
      <c r="Y21"/>
      <c r="Z21"/>
      <c r="AA21"/>
      <c r="AB21"/>
      <c r="AC21"/>
      <c r="AD21" s="126">
        <f t="shared" si="0"/>
        <v>3</v>
      </c>
      <c r="AE21" s="123" t="str">
        <f t="shared" si="1"/>
        <v>Nimi hosts [Hidden Gem] Serpentine Gallery: Refik Anadol</v>
      </c>
      <c r="AF21" s="124">
        <v>45381</v>
      </c>
      <c r="AG21" s="123">
        <v>3</v>
      </c>
      <c r="AJ21" s="123"/>
    </row>
    <row r="22" spans="1:36" ht="15.95" customHeight="1">
      <c r="A22" t="s">
        <v>767</v>
      </c>
      <c r="B22" t="s">
        <v>729</v>
      </c>
      <c r="C22" t="s">
        <v>492</v>
      </c>
      <c r="D22" t="s">
        <v>493</v>
      </c>
      <c r="E22" s="88" t="s">
        <v>118</v>
      </c>
      <c r="F22" s="66"/>
      <c r="G22" s="66"/>
      <c r="H22" s="66"/>
      <c r="I22" s="66"/>
      <c r="J22" t="s">
        <v>756</v>
      </c>
      <c r="K22" s="88">
        <v>3</v>
      </c>
      <c r="L22" t="s">
        <v>757</v>
      </c>
      <c r="M22"/>
      <c r="N22"/>
      <c r="O22"/>
      <c r="P22">
        <v>1</v>
      </c>
      <c r="Q22"/>
      <c r="R22" t="s">
        <v>759</v>
      </c>
      <c r="S22" t="s">
        <v>733</v>
      </c>
      <c r="T22">
        <v>5</v>
      </c>
      <c r="U22" t="s">
        <v>492</v>
      </c>
      <c r="V22" t="s">
        <v>493</v>
      </c>
      <c r="W22" t="s">
        <v>118</v>
      </c>
      <c r="X22"/>
      <c r="Y22"/>
      <c r="Z22"/>
      <c r="AA22"/>
      <c r="AB22"/>
      <c r="AC22"/>
      <c r="AD22" s="126">
        <f t="shared" si="0"/>
        <v>3</v>
      </c>
      <c r="AE22" s="123" t="str">
        <f t="shared" si="1"/>
        <v>Nimi hosts [Hidden Gem] Serpentine Gallery: Refik Anadol</v>
      </c>
      <c r="AF22" s="124">
        <v>45381</v>
      </c>
      <c r="AG22" s="123">
        <v>3</v>
      </c>
      <c r="AJ22" s="123"/>
    </row>
    <row r="23" spans="1:36" ht="15.95" customHeight="1">
      <c r="A23" t="s">
        <v>768</v>
      </c>
      <c r="B23" t="s">
        <v>729</v>
      </c>
      <c r="C23" t="s">
        <v>512</v>
      </c>
      <c r="D23" t="s">
        <v>513</v>
      </c>
      <c r="E23" s="88" t="s">
        <v>160</v>
      </c>
      <c r="F23" s="66"/>
      <c r="G23" s="66"/>
      <c r="H23" s="66"/>
      <c r="I23" s="66"/>
      <c r="J23" t="s">
        <v>756</v>
      </c>
      <c r="K23" s="88">
        <v>3</v>
      </c>
      <c r="L23" t="s">
        <v>757</v>
      </c>
      <c r="M23"/>
      <c r="N23"/>
      <c r="O23"/>
      <c r="P23">
        <v>1</v>
      </c>
      <c r="Q23"/>
      <c r="R23" t="s">
        <v>759</v>
      </c>
      <c r="S23" t="s">
        <v>733</v>
      </c>
      <c r="T23">
        <v>0</v>
      </c>
      <c r="U23" t="s">
        <v>512</v>
      </c>
      <c r="V23" t="s">
        <v>513</v>
      </c>
      <c r="W23" t="s">
        <v>160</v>
      </c>
      <c r="X23"/>
      <c r="Y23"/>
      <c r="Z23"/>
      <c r="AA23"/>
      <c r="AB23"/>
      <c r="AC23" t="s">
        <v>769</v>
      </c>
      <c r="AD23" s="126">
        <f t="shared" si="0"/>
        <v>3</v>
      </c>
      <c r="AE23" s="123" t="str">
        <f t="shared" si="1"/>
        <v>Nimi hosts [Hidden Gem] Serpentine Gallery: Refik Anadol</v>
      </c>
      <c r="AF23" s="124">
        <v>45381</v>
      </c>
      <c r="AG23" s="123">
        <v>3</v>
      </c>
      <c r="AJ23" s="123"/>
    </row>
    <row r="24" spans="1:36" ht="15.95" customHeight="1">
      <c r="A24" t="s">
        <v>770</v>
      </c>
      <c r="B24" t="s">
        <v>729</v>
      </c>
      <c r="C24" t="s">
        <v>538</v>
      </c>
      <c r="D24" t="s">
        <v>539</v>
      </c>
      <c r="E24" s="88" t="s">
        <v>128</v>
      </c>
      <c r="F24" s="66"/>
      <c r="G24" s="66"/>
      <c r="H24" s="66"/>
      <c r="I24" s="66"/>
      <c r="J24" t="s">
        <v>756</v>
      </c>
      <c r="K24" s="88">
        <v>3</v>
      </c>
      <c r="L24" t="s">
        <v>757</v>
      </c>
      <c r="M24"/>
      <c r="N24"/>
      <c r="O24"/>
      <c r="P24">
        <v>1</v>
      </c>
      <c r="Q24"/>
      <c r="R24" t="s">
        <v>759</v>
      </c>
      <c r="S24" t="s">
        <v>733</v>
      </c>
      <c r="T24">
        <v>5</v>
      </c>
      <c r="U24" t="s">
        <v>538</v>
      </c>
      <c r="V24" t="s">
        <v>539</v>
      </c>
      <c r="W24" t="s">
        <v>128</v>
      </c>
      <c r="X24"/>
      <c r="Y24"/>
      <c r="Z24"/>
      <c r="AA24"/>
      <c r="AB24"/>
      <c r="AC24"/>
      <c r="AD24" s="126">
        <f t="shared" si="0"/>
        <v>3</v>
      </c>
      <c r="AE24" s="123" t="str">
        <f t="shared" si="1"/>
        <v>Nimi hosts [Hidden Gem] Serpentine Gallery: Refik Anadol</v>
      </c>
      <c r="AF24" s="124">
        <v>45381</v>
      </c>
      <c r="AG24" s="123">
        <v>3</v>
      </c>
      <c r="AJ24" s="123"/>
    </row>
    <row r="25" spans="1:36" ht="15.95" customHeight="1">
      <c r="A25" t="s">
        <v>770</v>
      </c>
      <c r="B25" t="s">
        <v>729</v>
      </c>
      <c r="C25" t="s">
        <v>538</v>
      </c>
      <c r="D25" t="s">
        <v>539</v>
      </c>
      <c r="E25" s="88" t="s">
        <v>128</v>
      </c>
      <c r="F25" s="66"/>
      <c r="G25" s="66"/>
      <c r="H25" s="66"/>
      <c r="I25" s="66"/>
      <c r="J25" t="s">
        <v>756</v>
      </c>
      <c r="K25" s="88">
        <v>3</v>
      </c>
      <c r="L25" t="s">
        <v>757</v>
      </c>
      <c r="M25"/>
      <c r="N25"/>
      <c r="O25"/>
      <c r="P25">
        <v>1</v>
      </c>
      <c r="Q25"/>
      <c r="R25" t="s">
        <v>759</v>
      </c>
      <c r="S25" t="s">
        <v>733</v>
      </c>
      <c r="T25">
        <v>5</v>
      </c>
      <c r="U25" t="s">
        <v>538</v>
      </c>
      <c r="V25" t="s">
        <v>539</v>
      </c>
      <c r="W25" t="s">
        <v>128</v>
      </c>
      <c r="X25"/>
      <c r="Y25"/>
      <c r="Z25"/>
      <c r="AA25"/>
      <c r="AB25"/>
      <c r="AC25"/>
      <c r="AD25" s="126">
        <f t="shared" si="0"/>
        <v>3</v>
      </c>
      <c r="AE25" s="123" t="str">
        <f t="shared" si="1"/>
        <v>Nimi hosts [Hidden Gem] Serpentine Gallery: Refik Anadol</v>
      </c>
      <c r="AF25" s="124">
        <v>45381</v>
      </c>
      <c r="AG25" s="123">
        <v>3</v>
      </c>
      <c r="AJ25" s="123"/>
    </row>
    <row r="26" spans="1:36" ht="15.95" customHeight="1">
      <c r="A26" t="s">
        <v>771</v>
      </c>
      <c r="B26" t="s">
        <v>749</v>
      </c>
      <c r="C26" t="s">
        <v>538</v>
      </c>
      <c r="D26" t="s">
        <v>539</v>
      </c>
      <c r="E26" s="88" t="s">
        <v>128</v>
      </c>
      <c r="F26" s="66"/>
      <c r="G26" s="66"/>
      <c r="H26" s="66"/>
      <c r="I26" s="66"/>
      <c r="J26" t="s">
        <v>756</v>
      </c>
      <c r="K26" s="88">
        <v>3</v>
      </c>
      <c r="L26" t="s">
        <v>757</v>
      </c>
      <c r="M26"/>
      <c r="N26"/>
      <c r="O26"/>
      <c r="P26">
        <v>1</v>
      </c>
      <c r="Q26"/>
      <c r="R26" t="s">
        <v>759</v>
      </c>
      <c r="S26" t="s">
        <v>733</v>
      </c>
      <c r="T26">
        <v>5</v>
      </c>
      <c r="U26" t="s">
        <v>538</v>
      </c>
      <c r="V26" t="s">
        <v>539</v>
      </c>
      <c r="W26" t="s">
        <v>128</v>
      </c>
      <c r="X26"/>
      <c r="Y26"/>
      <c r="Z26"/>
      <c r="AA26"/>
      <c r="AB26"/>
      <c r="AC26"/>
      <c r="AD26" s="126">
        <f t="shared" si="0"/>
        <v>3</v>
      </c>
      <c r="AE26" s="123" t="str">
        <f t="shared" si="1"/>
        <v>Nimi hosts [Hidden Gem] Serpentine Gallery: Refik Anadol</v>
      </c>
      <c r="AF26" s="124">
        <v>45381</v>
      </c>
      <c r="AG26" s="123">
        <v>3</v>
      </c>
      <c r="AJ26" s="123"/>
    </row>
    <row r="27" spans="1:36" ht="15.95" customHeight="1">
      <c r="A27" t="s">
        <v>772</v>
      </c>
      <c r="B27" t="s">
        <v>729</v>
      </c>
      <c r="C27" t="s">
        <v>541</v>
      </c>
      <c r="D27" t="s">
        <v>542</v>
      </c>
      <c r="E27" s="88" t="s">
        <v>123</v>
      </c>
      <c r="F27" s="66"/>
      <c r="G27" s="66"/>
      <c r="H27" s="66"/>
      <c r="I27" s="66"/>
      <c r="J27" t="s">
        <v>756</v>
      </c>
      <c r="K27" s="88">
        <v>3</v>
      </c>
      <c r="L27" t="s">
        <v>757</v>
      </c>
      <c r="M27"/>
      <c r="N27"/>
      <c r="O27"/>
      <c r="P27">
        <v>1</v>
      </c>
      <c r="Q27"/>
      <c r="R27" t="s">
        <v>759</v>
      </c>
      <c r="S27" t="s">
        <v>733</v>
      </c>
      <c r="T27">
        <v>5</v>
      </c>
      <c r="U27" t="s">
        <v>541</v>
      </c>
      <c r="V27" t="s">
        <v>542</v>
      </c>
      <c r="W27" t="s">
        <v>123</v>
      </c>
      <c r="X27"/>
      <c r="Y27"/>
      <c r="Z27"/>
      <c r="AA27"/>
      <c r="AB27"/>
      <c r="AC27"/>
      <c r="AD27" s="126">
        <f t="shared" si="0"/>
        <v>3</v>
      </c>
      <c r="AE27" s="123" t="str">
        <f t="shared" si="1"/>
        <v>Nimi hosts [Hidden Gem] Serpentine Gallery: Refik Anadol</v>
      </c>
      <c r="AF27" s="124">
        <v>45381</v>
      </c>
      <c r="AG27" s="123">
        <v>3</v>
      </c>
      <c r="AJ27" s="123"/>
    </row>
    <row r="28" spans="1:36" ht="15.95" customHeight="1">
      <c r="A28" t="s">
        <v>772</v>
      </c>
      <c r="B28" t="s">
        <v>729</v>
      </c>
      <c r="C28" t="s">
        <v>541</v>
      </c>
      <c r="D28" t="s">
        <v>542</v>
      </c>
      <c r="E28" s="88" t="s">
        <v>123</v>
      </c>
      <c r="F28" s="66"/>
      <c r="G28" s="66"/>
      <c r="H28" s="66"/>
      <c r="I28" s="66"/>
      <c r="J28" t="s">
        <v>756</v>
      </c>
      <c r="K28" s="88">
        <v>3</v>
      </c>
      <c r="L28" t="s">
        <v>757</v>
      </c>
      <c r="M28"/>
      <c r="N28"/>
      <c r="O28"/>
      <c r="P28">
        <v>1</v>
      </c>
      <c r="Q28"/>
      <c r="R28" t="s">
        <v>759</v>
      </c>
      <c r="S28" t="s">
        <v>733</v>
      </c>
      <c r="T28">
        <v>5</v>
      </c>
      <c r="U28" t="s">
        <v>541</v>
      </c>
      <c r="V28" t="s">
        <v>542</v>
      </c>
      <c r="W28" t="s">
        <v>123</v>
      </c>
      <c r="X28"/>
      <c r="Y28"/>
      <c r="Z28"/>
      <c r="AA28"/>
      <c r="AB28"/>
      <c r="AC28"/>
      <c r="AD28" s="126">
        <f t="shared" si="0"/>
        <v>3</v>
      </c>
      <c r="AE28" s="123" t="str">
        <f t="shared" si="1"/>
        <v>Nimi hosts [Hidden Gem] Serpentine Gallery: Refik Anadol</v>
      </c>
      <c r="AF28" s="124">
        <v>45381</v>
      </c>
      <c r="AG28" s="123">
        <v>3</v>
      </c>
      <c r="AJ28" s="123"/>
    </row>
    <row r="29" spans="1:36" ht="15.95" customHeight="1">
      <c r="A29" t="s">
        <v>773</v>
      </c>
      <c r="B29" t="s">
        <v>729</v>
      </c>
      <c r="C29" t="s">
        <v>569</v>
      </c>
      <c r="D29" t="s">
        <v>570</v>
      </c>
      <c r="E29" s="88" t="s">
        <v>154</v>
      </c>
      <c r="F29" s="66"/>
      <c r="G29" s="66"/>
      <c r="H29" s="66"/>
      <c r="I29" s="66"/>
      <c r="J29" t="s">
        <v>756</v>
      </c>
      <c r="K29" s="88">
        <v>3</v>
      </c>
      <c r="L29" t="s">
        <v>757</v>
      </c>
      <c r="M29"/>
      <c r="N29"/>
      <c r="O29"/>
      <c r="P29">
        <v>1</v>
      </c>
      <c r="Q29"/>
      <c r="R29" t="s">
        <v>759</v>
      </c>
      <c r="S29" t="s">
        <v>733</v>
      </c>
      <c r="T29">
        <v>5</v>
      </c>
      <c r="U29" t="s">
        <v>569</v>
      </c>
      <c r="V29" t="s">
        <v>570</v>
      </c>
      <c r="W29" t="s">
        <v>154</v>
      </c>
      <c r="X29"/>
      <c r="Y29"/>
      <c r="Z29"/>
      <c r="AA29"/>
      <c r="AB29"/>
      <c r="AC29"/>
      <c r="AD29" s="126">
        <f t="shared" si="0"/>
        <v>3</v>
      </c>
      <c r="AE29" s="123" t="str">
        <f t="shared" si="1"/>
        <v>Nimi hosts [Hidden Gem] Serpentine Gallery: Refik Anadol</v>
      </c>
      <c r="AF29" s="124">
        <v>45381</v>
      </c>
      <c r="AG29" s="123">
        <v>3</v>
      </c>
      <c r="AJ29" s="123"/>
    </row>
    <row r="30" spans="1:36" ht="15.95" customHeight="1">
      <c r="A30" t="s">
        <v>774</v>
      </c>
      <c r="B30" t="s">
        <v>729</v>
      </c>
      <c r="C30" t="s">
        <v>575</v>
      </c>
      <c r="D30" t="s">
        <v>576</v>
      </c>
      <c r="E30" s="88" t="s">
        <v>156</v>
      </c>
      <c r="F30" s="66"/>
      <c r="G30" s="66"/>
      <c r="H30" s="66"/>
      <c r="I30" s="66"/>
      <c r="J30" t="s">
        <v>756</v>
      </c>
      <c r="K30" s="88">
        <v>3</v>
      </c>
      <c r="L30" t="s">
        <v>757</v>
      </c>
      <c r="M30"/>
      <c r="N30"/>
      <c r="O30"/>
      <c r="P30">
        <v>1</v>
      </c>
      <c r="Q30"/>
      <c r="R30" t="s">
        <v>759</v>
      </c>
      <c r="S30" t="s">
        <v>733</v>
      </c>
      <c r="T30">
        <v>5</v>
      </c>
      <c r="U30" t="s">
        <v>575</v>
      </c>
      <c r="V30" t="s">
        <v>576</v>
      </c>
      <c r="W30" t="s">
        <v>156</v>
      </c>
      <c r="X30"/>
      <c r="Y30"/>
      <c r="Z30"/>
      <c r="AA30"/>
      <c r="AB30"/>
      <c r="AC30"/>
      <c r="AD30" s="126">
        <f t="shared" si="0"/>
        <v>3</v>
      </c>
      <c r="AE30" s="123" t="str">
        <f t="shared" si="1"/>
        <v>Nimi hosts [Hidden Gem] Serpentine Gallery: Refik Anadol</v>
      </c>
      <c r="AF30" s="124">
        <v>45381</v>
      </c>
      <c r="AG30" s="123">
        <v>3</v>
      </c>
      <c r="AJ30" s="123"/>
    </row>
    <row r="31" spans="1:36" ht="15.95" customHeight="1">
      <c r="A31" t="s">
        <v>775</v>
      </c>
      <c r="B31" t="s">
        <v>729</v>
      </c>
      <c r="C31" t="s">
        <v>367</v>
      </c>
      <c r="D31" t="s">
        <v>368</v>
      </c>
      <c r="E31" s="88" t="s">
        <v>130</v>
      </c>
      <c r="F31" s="66" t="s">
        <v>369</v>
      </c>
      <c r="G31" s="66"/>
      <c r="H31" s="66"/>
      <c r="I31" s="66"/>
      <c r="J31" t="s">
        <v>776</v>
      </c>
      <c r="K31" s="88">
        <v>4</v>
      </c>
      <c r="L31" t="s">
        <v>777</v>
      </c>
      <c r="M31"/>
      <c r="N31"/>
      <c r="O31"/>
      <c r="P31">
        <v>1</v>
      </c>
      <c r="Q31"/>
      <c r="R31" t="s">
        <v>759</v>
      </c>
      <c r="S31" t="s">
        <v>733</v>
      </c>
      <c r="T31">
        <v>7.5</v>
      </c>
      <c r="U31" t="s">
        <v>367</v>
      </c>
      <c r="V31" t="s">
        <v>368</v>
      </c>
      <c r="W31" t="s">
        <v>130</v>
      </c>
      <c r="X31"/>
      <c r="Y31"/>
      <c r="Z31"/>
      <c r="AA31"/>
      <c r="AB31"/>
      <c r="AC31" t="s">
        <v>778</v>
      </c>
      <c r="AD31" s="126">
        <f t="shared" si="0"/>
        <v>4</v>
      </c>
      <c r="AE31" s="123" t="str">
        <f t="shared" si="1"/>
        <v>Nimi hosts [Hidden Gem] First Thursdays Gallery Stroll in East London</v>
      </c>
      <c r="AF31" s="124">
        <v>45386</v>
      </c>
      <c r="AG31" s="123">
        <f t="shared" ref="AG31:AG62" si="2">MONTH(AF31)</f>
        <v>4</v>
      </c>
      <c r="AJ31" s="123"/>
    </row>
    <row r="32" spans="1:36" ht="15.95" customHeight="1">
      <c r="A32" t="s">
        <v>779</v>
      </c>
      <c r="B32" t="s">
        <v>729</v>
      </c>
      <c r="C32" t="s">
        <v>375</v>
      </c>
      <c r="D32" t="s">
        <v>376</v>
      </c>
      <c r="E32" s="88" t="s">
        <v>122</v>
      </c>
      <c r="F32" s="66" t="s">
        <v>377</v>
      </c>
      <c r="G32" s="66"/>
      <c r="H32" s="66"/>
      <c r="I32" s="66"/>
      <c r="J32" t="s">
        <v>776</v>
      </c>
      <c r="K32" s="88">
        <v>4</v>
      </c>
      <c r="L32" t="s">
        <v>777</v>
      </c>
      <c r="M32"/>
      <c r="N32"/>
      <c r="O32"/>
      <c r="P32">
        <v>1</v>
      </c>
      <c r="Q32"/>
      <c r="R32" t="s">
        <v>759</v>
      </c>
      <c r="S32" t="s">
        <v>733</v>
      </c>
      <c r="T32">
        <v>10</v>
      </c>
      <c r="U32" t="s">
        <v>375</v>
      </c>
      <c r="V32" t="s">
        <v>376</v>
      </c>
      <c r="W32" t="s">
        <v>122</v>
      </c>
      <c r="X32"/>
      <c r="Y32"/>
      <c r="Z32"/>
      <c r="AA32"/>
      <c r="AB32"/>
      <c r="AC32" t="s">
        <v>780</v>
      </c>
      <c r="AD32" s="126">
        <f t="shared" si="0"/>
        <v>4</v>
      </c>
      <c r="AE32" s="123" t="str">
        <f t="shared" si="1"/>
        <v>Nimi hosts [Hidden Gem] First Thursdays Gallery Stroll in East London</v>
      </c>
      <c r="AF32" s="124">
        <v>45386</v>
      </c>
      <c r="AG32" s="123">
        <f t="shared" si="2"/>
        <v>4</v>
      </c>
      <c r="AJ32" s="123"/>
    </row>
    <row r="33" spans="1:36" ht="15.95" customHeight="1">
      <c r="A33" t="s">
        <v>781</v>
      </c>
      <c r="B33" t="s">
        <v>729</v>
      </c>
      <c r="C33" t="s">
        <v>381</v>
      </c>
      <c r="D33" t="s">
        <v>782</v>
      </c>
      <c r="E33" s="88" t="s">
        <v>147</v>
      </c>
      <c r="F33" s="66" t="s">
        <v>383</v>
      </c>
      <c r="G33" s="66"/>
      <c r="H33" s="66"/>
      <c r="I33" s="66"/>
      <c r="J33" t="s">
        <v>776</v>
      </c>
      <c r="K33" s="88">
        <v>4</v>
      </c>
      <c r="L33" t="s">
        <v>777</v>
      </c>
      <c r="M33"/>
      <c r="N33"/>
      <c r="O33"/>
      <c r="P33">
        <v>1</v>
      </c>
      <c r="Q33"/>
      <c r="R33" t="s">
        <v>759</v>
      </c>
      <c r="S33" t="s">
        <v>733</v>
      </c>
      <c r="T33">
        <v>15</v>
      </c>
      <c r="U33" t="s">
        <v>381</v>
      </c>
      <c r="V33" t="s">
        <v>782</v>
      </c>
      <c r="W33" t="s">
        <v>147</v>
      </c>
      <c r="X33"/>
      <c r="Y33"/>
      <c r="Z33"/>
      <c r="AA33"/>
      <c r="AB33"/>
      <c r="AC33"/>
      <c r="AD33" s="126">
        <f t="shared" si="0"/>
        <v>4</v>
      </c>
      <c r="AE33" s="123" t="str">
        <f t="shared" si="1"/>
        <v>Nimi hosts [Hidden Gem] First Thursdays Gallery Stroll in East London</v>
      </c>
      <c r="AF33" s="124">
        <v>45386</v>
      </c>
      <c r="AG33" s="123">
        <f t="shared" si="2"/>
        <v>4</v>
      </c>
      <c r="AJ33" s="123"/>
    </row>
    <row r="34" spans="1:36" ht="15.95" customHeight="1">
      <c r="A34" t="s">
        <v>783</v>
      </c>
      <c r="B34" t="s">
        <v>749</v>
      </c>
      <c r="C34" t="s">
        <v>784</v>
      </c>
      <c r="D34" t="s">
        <v>785</v>
      </c>
      <c r="E34" s="88" t="s">
        <v>148</v>
      </c>
      <c r="F34" s="66" t="s">
        <v>419</v>
      </c>
      <c r="G34" s="66"/>
      <c r="H34" s="66"/>
      <c r="I34" s="66"/>
      <c r="J34" t="s">
        <v>776</v>
      </c>
      <c r="K34" s="88">
        <v>4</v>
      </c>
      <c r="L34" t="s">
        <v>777</v>
      </c>
      <c r="M34"/>
      <c r="N34"/>
      <c r="O34"/>
      <c r="P34">
        <v>1</v>
      </c>
      <c r="Q34"/>
      <c r="R34" t="s">
        <v>759</v>
      </c>
      <c r="S34" t="s">
        <v>733</v>
      </c>
      <c r="T34">
        <v>15</v>
      </c>
      <c r="U34" t="s">
        <v>784</v>
      </c>
      <c r="V34" t="s">
        <v>785</v>
      </c>
      <c r="W34" t="s">
        <v>148</v>
      </c>
      <c r="X34"/>
      <c r="Y34"/>
      <c r="Z34"/>
      <c r="AA34"/>
      <c r="AB34"/>
      <c r="AC34"/>
      <c r="AD34" s="126">
        <f t="shared" ref="AD34:AD65" si="3">K34</f>
        <v>4</v>
      </c>
      <c r="AE34" s="123" t="str">
        <f t="shared" si="1"/>
        <v>Nimi hosts [Hidden Gem] First Thursdays Gallery Stroll in East London</v>
      </c>
      <c r="AF34" s="124">
        <v>45386</v>
      </c>
      <c r="AG34" s="123">
        <f t="shared" si="2"/>
        <v>4</v>
      </c>
      <c r="AJ34" s="123"/>
    </row>
    <row r="35" spans="1:36" ht="15.95" customHeight="1">
      <c r="A35" t="s">
        <v>783</v>
      </c>
      <c r="B35" t="s">
        <v>749</v>
      </c>
      <c r="C35" t="s">
        <v>784</v>
      </c>
      <c r="D35" t="s">
        <v>785</v>
      </c>
      <c r="E35" s="88" t="s">
        <v>148</v>
      </c>
      <c r="F35" s="66" t="s">
        <v>419</v>
      </c>
      <c r="G35" s="66"/>
      <c r="H35" s="66"/>
      <c r="I35" s="66"/>
      <c r="J35" t="s">
        <v>776</v>
      </c>
      <c r="K35" s="88">
        <v>4</v>
      </c>
      <c r="L35" t="s">
        <v>777</v>
      </c>
      <c r="M35"/>
      <c r="N35"/>
      <c r="O35"/>
      <c r="P35">
        <v>1</v>
      </c>
      <c r="Q35"/>
      <c r="R35" t="s">
        <v>759</v>
      </c>
      <c r="S35" t="s">
        <v>733</v>
      </c>
      <c r="T35">
        <v>15</v>
      </c>
      <c r="U35" t="s">
        <v>784</v>
      </c>
      <c r="V35" t="s">
        <v>785</v>
      </c>
      <c r="W35" t="s">
        <v>148</v>
      </c>
      <c r="X35"/>
      <c r="Y35"/>
      <c r="Z35"/>
      <c r="AA35"/>
      <c r="AB35"/>
      <c r="AC35"/>
      <c r="AD35" s="126">
        <f t="shared" si="3"/>
        <v>4</v>
      </c>
      <c r="AE35" s="123" t="str">
        <f t="shared" si="1"/>
        <v>Nimi hosts [Hidden Gem] First Thursdays Gallery Stroll in East London</v>
      </c>
      <c r="AF35" s="124">
        <v>45386</v>
      </c>
      <c r="AG35" s="123">
        <f t="shared" si="2"/>
        <v>4</v>
      </c>
      <c r="AJ35" s="123"/>
    </row>
    <row r="36" spans="1:36" ht="15.95" customHeight="1">
      <c r="A36" t="s">
        <v>786</v>
      </c>
      <c r="B36" t="s">
        <v>729</v>
      </c>
      <c r="C36" t="s">
        <v>521</v>
      </c>
      <c r="D36" t="s">
        <v>787</v>
      </c>
      <c r="E36" s="88" t="s">
        <v>140</v>
      </c>
      <c r="F36" s="66" t="s">
        <v>523</v>
      </c>
      <c r="G36" s="66"/>
      <c r="H36" s="66"/>
      <c r="I36" s="66"/>
      <c r="J36" t="s">
        <v>776</v>
      </c>
      <c r="K36" s="88">
        <v>4</v>
      </c>
      <c r="L36" t="s">
        <v>777</v>
      </c>
      <c r="M36"/>
      <c r="N36"/>
      <c r="O36"/>
      <c r="P36">
        <v>1</v>
      </c>
      <c r="Q36"/>
      <c r="R36" t="s">
        <v>759</v>
      </c>
      <c r="S36" t="s">
        <v>733</v>
      </c>
      <c r="T36">
        <v>15</v>
      </c>
      <c r="U36" t="s">
        <v>521</v>
      </c>
      <c r="V36" t="s">
        <v>787</v>
      </c>
      <c r="W36" t="s">
        <v>140</v>
      </c>
      <c r="X36"/>
      <c r="Y36"/>
      <c r="Z36"/>
      <c r="AA36"/>
      <c r="AB36"/>
      <c r="AC36"/>
      <c r="AD36" s="126">
        <f t="shared" si="3"/>
        <v>4</v>
      </c>
      <c r="AE36" s="123" t="str">
        <f t="shared" si="1"/>
        <v>Nimi hosts [Hidden Gem] First Thursdays Gallery Stroll in East London</v>
      </c>
      <c r="AF36" s="124">
        <v>45386</v>
      </c>
      <c r="AG36" s="123">
        <f t="shared" si="2"/>
        <v>4</v>
      </c>
      <c r="AJ36" s="123"/>
    </row>
    <row r="37" spans="1:36" ht="15.95" customHeight="1">
      <c r="A37" t="s">
        <v>788</v>
      </c>
      <c r="B37" t="s">
        <v>729</v>
      </c>
      <c r="C37" t="s">
        <v>538</v>
      </c>
      <c r="D37" t="s">
        <v>539</v>
      </c>
      <c r="E37" s="121" t="s">
        <v>128</v>
      </c>
      <c r="F37" s="66" t="s">
        <v>540</v>
      </c>
      <c r="G37" s="66"/>
      <c r="H37" s="66"/>
      <c r="I37" s="66"/>
      <c r="J37" t="s">
        <v>776</v>
      </c>
      <c r="K37" s="88">
        <v>4</v>
      </c>
      <c r="L37" t="s">
        <v>777</v>
      </c>
      <c r="M37"/>
      <c r="N37"/>
      <c r="O37"/>
      <c r="P37">
        <v>1</v>
      </c>
      <c r="Q37"/>
      <c r="R37" t="s">
        <v>759</v>
      </c>
      <c r="S37" t="s">
        <v>733</v>
      </c>
      <c r="T37">
        <v>7.5</v>
      </c>
      <c r="U37" t="s">
        <v>538</v>
      </c>
      <c r="V37" t="s">
        <v>539</v>
      </c>
      <c r="W37" t="s">
        <v>152</v>
      </c>
      <c r="X37"/>
      <c r="Y37"/>
      <c r="Z37"/>
      <c r="AA37"/>
      <c r="AB37"/>
      <c r="AC37" t="s">
        <v>778</v>
      </c>
      <c r="AD37" s="126">
        <f t="shared" si="3"/>
        <v>4</v>
      </c>
      <c r="AE37" s="123" t="str">
        <f t="shared" si="1"/>
        <v>Nimi hosts [Hidden Gem] First Thursdays Gallery Stroll in East London</v>
      </c>
      <c r="AF37" s="124">
        <v>45386</v>
      </c>
      <c r="AG37" s="123">
        <f t="shared" si="2"/>
        <v>4</v>
      </c>
      <c r="AJ37" s="123"/>
    </row>
    <row r="38" spans="1:36" ht="15.95" customHeight="1">
      <c r="A38" t="s">
        <v>789</v>
      </c>
      <c r="B38" t="s">
        <v>749</v>
      </c>
      <c r="C38" t="s">
        <v>554</v>
      </c>
      <c r="D38" t="s">
        <v>555</v>
      </c>
      <c r="E38" s="88" t="s">
        <v>124</v>
      </c>
      <c r="F38" s="66" t="s">
        <v>556</v>
      </c>
      <c r="G38" s="66"/>
      <c r="H38" s="66"/>
      <c r="I38" s="66"/>
      <c r="J38" t="s">
        <v>776</v>
      </c>
      <c r="K38" s="88">
        <v>4</v>
      </c>
      <c r="L38" t="s">
        <v>777</v>
      </c>
      <c r="M38"/>
      <c r="N38"/>
      <c r="O38"/>
      <c r="P38">
        <v>1</v>
      </c>
      <c r="Q38"/>
      <c r="R38" t="s">
        <v>759</v>
      </c>
      <c r="S38" t="s">
        <v>733</v>
      </c>
      <c r="T38">
        <v>10</v>
      </c>
      <c r="U38" t="s">
        <v>554</v>
      </c>
      <c r="V38" t="s">
        <v>555</v>
      </c>
      <c r="W38" t="s">
        <v>124</v>
      </c>
      <c r="X38"/>
      <c r="Y38"/>
      <c r="Z38"/>
      <c r="AA38"/>
      <c r="AB38"/>
      <c r="AC38" t="s">
        <v>780</v>
      </c>
      <c r="AD38" s="126">
        <f t="shared" si="3"/>
        <v>4</v>
      </c>
      <c r="AE38" s="123" t="str">
        <f t="shared" si="1"/>
        <v>Nimi hosts [Hidden Gem] First Thursdays Gallery Stroll in East London</v>
      </c>
      <c r="AF38" s="124">
        <v>45386</v>
      </c>
      <c r="AG38" s="123">
        <f t="shared" si="2"/>
        <v>4</v>
      </c>
      <c r="AJ38" s="123"/>
    </row>
    <row r="39" spans="1:36" ht="15.95" customHeight="1">
      <c r="A39" t="s">
        <v>790</v>
      </c>
      <c r="B39" t="s">
        <v>729</v>
      </c>
      <c r="C39" t="s">
        <v>577</v>
      </c>
      <c r="D39" t="s">
        <v>791</v>
      </c>
      <c r="E39" s="88" t="s">
        <v>150</v>
      </c>
      <c r="F39" s="66" t="s">
        <v>579</v>
      </c>
      <c r="G39" s="66"/>
      <c r="H39" s="66"/>
      <c r="I39" s="66"/>
      <c r="J39" t="s">
        <v>776</v>
      </c>
      <c r="K39" s="88">
        <v>4</v>
      </c>
      <c r="L39" t="s">
        <v>777</v>
      </c>
      <c r="M39"/>
      <c r="N39"/>
      <c r="O39"/>
      <c r="P39">
        <v>1</v>
      </c>
      <c r="Q39"/>
      <c r="R39" t="s">
        <v>759</v>
      </c>
      <c r="S39" t="s">
        <v>733</v>
      </c>
      <c r="T39">
        <v>15</v>
      </c>
      <c r="U39" t="s">
        <v>577</v>
      </c>
      <c r="V39" t="s">
        <v>791</v>
      </c>
      <c r="W39" t="s">
        <v>150</v>
      </c>
      <c r="X39"/>
      <c r="Y39"/>
      <c r="Z39"/>
      <c r="AA39"/>
      <c r="AB39"/>
      <c r="AC39"/>
      <c r="AD39" s="126">
        <f t="shared" si="3"/>
        <v>4</v>
      </c>
      <c r="AE39" s="123" t="str">
        <f t="shared" si="1"/>
        <v>Nimi hosts [Hidden Gem] First Thursdays Gallery Stroll in East London</v>
      </c>
      <c r="AF39" s="124">
        <v>45386</v>
      </c>
      <c r="AG39" s="123">
        <f t="shared" si="2"/>
        <v>4</v>
      </c>
      <c r="AJ39" s="123"/>
    </row>
    <row r="40" spans="1:36" ht="15.95" customHeight="1">
      <c r="A40" t="s">
        <v>792</v>
      </c>
      <c r="B40" t="s">
        <v>729</v>
      </c>
      <c r="C40" t="s">
        <v>328</v>
      </c>
      <c r="D40" t="s">
        <v>329</v>
      </c>
      <c r="E40" s="88" t="s">
        <v>165</v>
      </c>
      <c r="F40" s="66" t="s">
        <v>330</v>
      </c>
      <c r="G40" s="66"/>
      <c r="H40" s="66"/>
      <c r="I40" s="66"/>
      <c r="J40" t="s">
        <v>793</v>
      </c>
      <c r="K40" s="88">
        <v>5</v>
      </c>
      <c r="L40" t="s">
        <v>794</v>
      </c>
      <c r="M40"/>
      <c r="N40"/>
      <c r="O40"/>
      <c r="P40">
        <v>1</v>
      </c>
      <c r="Q40"/>
      <c r="R40" t="s">
        <v>759</v>
      </c>
      <c r="S40" t="s">
        <v>733</v>
      </c>
      <c r="T40">
        <v>15</v>
      </c>
      <c r="U40" t="s">
        <v>328</v>
      </c>
      <c r="V40" t="s">
        <v>329</v>
      </c>
      <c r="W40" t="s">
        <v>165</v>
      </c>
      <c r="X40"/>
      <c r="Y40"/>
      <c r="Z40"/>
      <c r="AA40"/>
      <c r="AB40" t="s">
        <v>795</v>
      </c>
      <c r="AC40"/>
      <c r="AD40" s="126">
        <f t="shared" si="3"/>
        <v>5</v>
      </c>
      <c r="AE40" s="123" t="str">
        <f t="shared" si="1"/>
        <v>Nimi hosts [Hidden Gem] Galleries Stroll in Mayfair</v>
      </c>
      <c r="AF40" s="124">
        <v>45388</v>
      </c>
      <c r="AG40" s="123">
        <f t="shared" si="2"/>
        <v>4</v>
      </c>
      <c r="AH40" s="123" t="str">
        <f t="shared" ref="AH40:AH103" si="4">AB40</f>
        <v>ebdsshios</v>
      </c>
      <c r="AJ40" s="123"/>
    </row>
    <row r="41" spans="1:36" ht="15.95" customHeight="1">
      <c r="A41" t="s">
        <v>796</v>
      </c>
      <c r="B41" t="s">
        <v>729</v>
      </c>
      <c r="C41" t="s">
        <v>333</v>
      </c>
      <c r="D41" t="s">
        <v>334</v>
      </c>
      <c r="E41" s="88" t="s">
        <v>162</v>
      </c>
      <c r="F41" s="66" t="s">
        <v>335</v>
      </c>
      <c r="G41" s="66"/>
      <c r="H41" s="66"/>
      <c r="I41" s="66"/>
      <c r="J41" t="s">
        <v>793</v>
      </c>
      <c r="K41" s="88">
        <v>5</v>
      </c>
      <c r="L41" t="s">
        <v>794</v>
      </c>
      <c r="M41"/>
      <c r="N41"/>
      <c r="O41"/>
      <c r="P41">
        <v>1</v>
      </c>
      <c r="Q41"/>
      <c r="R41" t="s">
        <v>759</v>
      </c>
      <c r="S41" t="s">
        <v>733</v>
      </c>
      <c r="T41">
        <v>15</v>
      </c>
      <c r="U41" t="s">
        <v>333</v>
      </c>
      <c r="V41" t="s">
        <v>334</v>
      </c>
      <c r="W41" t="s">
        <v>162</v>
      </c>
      <c r="X41"/>
      <c r="Y41"/>
      <c r="Z41"/>
      <c r="AA41"/>
      <c r="AB41" t="s">
        <v>797</v>
      </c>
      <c r="AC41"/>
      <c r="AD41" s="126">
        <f t="shared" si="3"/>
        <v>5</v>
      </c>
      <c r="AE41" s="123" t="str">
        <f t="shared" si="1"/>
        <v>Nimi hosts [Hidden Gem] Galleries Stroll in Mayfair</v>
      </c>
      <c r="AF41" s="124">
        <v>45388</v>
      </c>
      <c r="AG41" s="123">
        <f t="shared" si="2"/>
        <v>4</v>
      </c>
      <c r="AH41" s="123" t="str">
        <f t="shared" si="4"/>
        <v>oddtdtdirect</v>
      </c>
      <c r="AJ41" s="123"/>
    </row>
    <row r="42" spans="1:36" ht="15.95" customHeight="1">
      <c r="A42" t="s">
        <v>798</v>
      </c>
      <c r="B42" t="s">
        <v>729</v>
      </c>
      <c r="C42" t="s">
        <v>349</v>
      </c>
      <c r="D42" t="s">
        <v>350</v>
      </c>
      <c r="E42" s="88" t="s">
        <v>158</v>
      </c>
      <c r="F42" s="66" t="s">
        <v>351</v>
      </c>
      <c r="G42" s="66"/>
      <c r="H42" s="66"/>
      <c r="I42" s="66"/>
      <c r="J42" t="s">
        <v>793</v>
      </c>
      <c r="K42" s="88">
        <v>5</v>
      </c>
      <c r="L42" t="s">
        <v>794</v>
      </c>
      <c r="M42"/>
      <c r="N42"/>
      <c r="O42"/>
      <c r="P42">
        <v>1</v>
      </c>
      <c r="Q42"/>
      <c r="R42" t="s">
        <v>759</v>
      </c>
      <c r="S42" t="s">
        <v>733</v>
      </c>
      <c r="T42">
        <v>15</v>
      </c>
      <c r="U42" t="s">
        <v>349</v>
      </c>
      <c r="V42" t="s">
        <v>350</v>
      </c>
      <c r="W42" t="s">
        <v>159</v>
      </c>
      <c r="X42"/>
      <c r="Y42"/>
      <c r="Z42"/>
      <c r="AA42"/>
      <c r="AB42" t="s">
        <v>797</v>
      </c>
      <c r="AC42"/>
      <c r="AD42" s="126">
        <f t="shared" si="3"/>
        <v>5</v>
      </c>
      <c r="AE42" s="123" t="str">
        <f t="shared" si="1"/>
        <v>Nimi hosts [Hidden Gem] Galleries Stroll in Mayfair</v>
      </c>
      <c r="AF42" s="124">
        <v>45388</v>
      </c>
      <c r="AG42" s="123">
        <f t="shared" si="2"/>
        <v>4</v>
      </c>
      <c r="AH42" s="123" t="str">
        <f t="shared" si="4"/>
        <v>oddtdtdirect</v>
      </c>
      <c r="AJ42" s="123"/>
    </row>
    <row r="43" spans="1:36" ht="15.95" customHeight="1">
      <c r="A43" t="s">
        <v>799</v>
      </c>
      <c r="B43" t="s">
        <v>729</v>
      </c>
      <c r="C43" t="s">
        <v>360</v>
      </c>
      <c r="D43" t="s">
        <v>361</v>
      </c>
      <c r="E43" s="88" t="s">
        <v>151</v>
      </c>
      <c r="F43" s="66" t="s">
        <v>362</v>
      </c>
      <c r="G43" s="66"/>
      <c r="H43" s="66"/>
      <c r="I43" s="66"/>
      <c r="J43" t="s">
        <v>793</v>
      </c>
      <c r="K43" s="88">
        <v>5</v>
      </c>
      <c r="L43" t="s">
        <v>794</v>
      </c>
      <c r="M43"/>
      <c r="N43"/>
      <c r="O43"/>
      <c r="P43">
        <v>1</v>
      </c>
      <c r="Q43"/>
      <c r="R43" t="s">
        <v>759</v>
      </c>
      <c r="S43" t="s">
        <v>733</v>
      </c>
      <c r="T43">
        <v>10</v>
      </c>
      <c r="U43" t="s">
        <v>360</v>
      </c>
      <c r="V43" t="s">
        <v>361</v>
      </c>
      <c r="W43" t="s">
        <v>151</v>
      </c>
      <c r="X43"/>
      <c r="Y43"/>
      <c r="Z43"/>
      <c r="AA43"/>
      <c r="AB43" t="s">
        <v>797</v>
      </c>
      <c r="AC43" t="s">
        <v>780</v>
      </c>
      <c r="AD43" s="126">
        <f t="shared" si="3"/>
        <v>5</v>
      </c>
      <c r="AE43" s="123" t="str">
        <f t="shared" si="1"/>
        <v>Nimi hosts [Hidden Gem] Galleries Stroll in Mayfair</v>
      </c>
      <c r="AF43" s="124">
        <v>45388</v>
      </c>
      <c r="AG43" s="123">
        <f t="shared" si="2"/>
        <v>4</v>
      </c>
      <c r="AH43" s="123" t="str">
        <f t="shared" si="4"/>
        <v>oddtdtdirect</v>
      </c>
      <c r="AJ43" s="123"/>
    </row>
    <row r="44" spans="1:36" ht="15.95" customHeight="1">
      <c r="A44" t="s">
        <v>800</v>
      </c>
      <c r="B44" t="s">
        <v>729</v>
      </c>
      <c r="C44" t="s">
        <v>370</v>
      </c>
      <c r="D44" t="s">
        <v>370</v>
      </c>
      <c r="E44" s="88" t="s">
        <v>141</v>
      </c>
      <c r="F44" s="66" t="s">
        <v>371</v>
      </c>
      <c r="G44" s="66"/>
      <c r="H44" s="66"/>
      <c r="I44" s="66"/>
      <c r="J44" t="s">
        <v>793</v>
      </c>
      <c r="K44" s="88">
        <v>5</v>
      </c>
      <c r="L44" t="s">
        <v>794</v>
      </c>
      <c r="M44"/>
      <c r="N44"/>
      <c r="O44"/>
      <c r="P44">
        <v>1</v>
      </c>
      <c r="Q44"/>
      <c r="R44" t="s">
        <v>759</v>
      </c>
      <c r="S44" t="s">
        <v>733</v>
      </c>
      <c r="T44">
        <v>15</v>
      </c>
      <c r="U44" t="s">
        <v>370</v>
      </c>
      <c r="V44" t="s">
        <v>370</v>
      </c>
      <c r="W44" t="s">
        <v>141</v>
      </c>
      <c r="X44"/>
      <c r="Y44"/>
      <c r="Z44"/>
      <c r="AA44"/>
      <c r="AB44" t="s">
        <v>795</v>
      </c>
      <c r="AC44"/>
      <c r="AD44" s="126">
        <f t="shared" si="3"/>
        <v>5</v>
      </c>
      <c r="AE44" s="123" t="str">
        <f t="shared" si="1"/>
        <v>Nimi hosts [Hidden Gem] Galleries Stroll in Mayfair</v>
      </c>
      <c r="AF44" s="124">
        <v>45388</v>
      </c>
      <c r="AG44" s="123">
        <f t="shared" si="2"/>
        <v>4</v>
      </c>
      <c r="AH44" s="123" t="str">
        <f t="shared" si="4"/>
        <v>ebdsshios</v>
      </c>
      <c r="AJ44" s="123"/>
    </row>
    <row r="45" spans="1:36" ht="15.95" customHeight="1">
      <c r="A45" t="s">
        <v>801</v>
      </c>
      <c r="B45" t="s">
        <v>729</v>
      </c>
      <c r="C45" t="s">
        <v>375</v>
      </c>
      <c r="D45" t="s">
        <v>376</v>
      </c>
      <c r="E45" s="88" t="s">
        <v>122</v>
      </c>
      <c r="F45" s="66" t="s">
        <v>377</v>
      </c>
      <c r="G45" s="66"/>
      <c r="H45" s="66"/>
      <c r="I45" s="66"/>
      <c r="J45" t="s">
        <v>793</v>
      </c>
      <c r="K45" s="88">
        <v>5</v>
      </c>
      <c r="L45" t="s">
        <v>794</v>
      </c>
      <c r="M45"/>
      <c r="N45"/>
      <c r="O45"/>
      <c r="P45">
        <v>1</v>
      </c>
      <c r="Q45"/>
      <c r="R45" t="s">
        <v>759</v>
      </c>
      <c r="S45" t="s">
        <v>733</v>
      </c>
      <c r="T45">
        <v>10</v>
      </c>
      <c r="U45" t="s">
        <v>375</v>
      </c>
      <c r="V45" t="s">
        <v>376</v>
      </c>
      <c r="W45" t="s">
        <v>122</v>
      </c>
      <c r="X45"/>
      <c r="Y45"/>
      <c r="Z45"/>
      <c r="AA45"/>
      <c r="AB45" t="s">
        <v>797</v>
      </c>
      <c r="AC45" t="s">
        <v>780</v>
      </c>
      <c r="AD45" s="126">
        <f t="shared" si="3"/>
        <v>5</v>
      </c>
      <c r="AE45" s="123" t="str">
        <f t="shared" si="1"/>
        <v>Nimi hosts [Hidden Gem] Galleries Stroll in Mayfair</v>
      </c>
      <c r="AF45" s="124">
        <v>45388</v>
      </c>
      <c r="AG45" s="123">
        <f t="shared" si="2"/>
        <v>4</v>
      </c>
      <c r="AH45" s="123" t="str">
        <f t="shared" si="4"/>
        <v>oddtdtdirect</v>
      </c>
      <c r="AJ45" s="123"/>
    </row>
    <row r="46" spans="1:36" ht="15.95" customHeight="1">
      <c r="A46" t="s">
        <v>802</v>
      </c>
      <c r="B46" t="s">
        <v>729</v>
      </c>
      <c r="C46" t="s">
        <v>381</v>
      </c>
      <c r="D46" t="s">
        <v>803</v>
      </c>
      <c r="E46" s="88" t="s">
        <v>147</v>
      </c>
      <c r="F46" s="66" t="s">
        <v>383</v>
      </c>
      <c r="G46" s="66"/>
      <c r="H46" s="66"/>
      <c r="I46" s="66"/>
      <c r="J46" t="s">
        <v>793</v>
      </c>
      <c r="K46" s="88">
        <v>5</v>
      </c>
      <c r="L46" t="s">
        <v>794</v>
      </c>
      <c r="M46"/>
      <c r="N46"/>
      <c r="O46"/>
      <c r="P46">
        <v>1</v>
      </c>
      <c r="Q46"/>
      <c r="R46" t="s">
        <v>759</v>
      </c>
      <c r="S46" t="s">
        <v>733</v>
      </c>
      <c r="T46">
        <v>15</v>
      </c>
      <c r="U46" t="s">
        <v>381</v>
      </c>
      <c r="V46" t="s">
        <v>803</v>
      </c>
      <c r="W46" t="s">
        <v>147</v>
      </c>
      <c r="X46"/>
      <c r="Y46"/>
      <c r="Z46"/>
      <c r="AA46"/>
      <c r="AB46" t="s">
        <v>804</v>
      </c>
      <c r="AC46"/>
      <c r="AD46" s="126">
        <f t="shared" si="3"/>
        <v>5</v>
      </c>
      <c r="AE46" s="123" t="str">
        <f t="shared" si="1"/>
        <v>Nimi hosts [Hidden Gem] Galleries Stroll in Mayfair</v>
      </c>
      <c r="AF46" s="124">
        <v>45388</v>
      </c>
      <c r="AG46" s="123">
        <f t="shared" si="2"/>
        <v>4</v>
      </c>
      <c r="AH46" s="123" t="str">
        <f t="shared" si="4"/>
        <v>eand</v>
      </c>
      <c r="AJ46" s="123"/>
    </row>
    <row r="47" spans="1:36" ht="15.95" customHeight="1">
      <c r="A47" t="s">
        <v>805</v>
      </c>
      <c r="B47" t="s">
        <v>729</v>
      </c>
      <c r="C47" t="s">
        <v>389</v>
      </c>
      <c r="D47" t="s">
        <v>390</v>
      </c>
      <c r="E47" s="88" t="s">
        <v>166</v>
      </c>
      <c r="F47" s="66" t="s">
        <v>391</v>
      </c>
      <c r="G47" s="66"/>
      <c r="H47" s="66"/>
      <c r="I47" s="66"/>
      <c r="J47" t="s">
        <v>793</v>
      </c>
      <c r="K47" s="88">
        <v>5</v>
      </c>
      <c r="L47" t="s">
        <v>794</v>
      </c>
      <c r="M47"/>
      <c r="N47"/>
      <c r="O47"/>
      <c r="P47">
        <v>1</v>
      </c>
      <c r="Q47"/>
      <c r="R47" t="s">
        <v>759</v>
      </c>
      <c r="S47" t="s">
        <v>733</v>
      </c>
      <c r="T47">
        <v>15</v>
      </c>
      <c r="U47" t="s">
        <v>389</v>
      </c>
      <c r="V47" t="s">
        <v>390</v>
      </c>
      <c r="W47" t="s">
        <v>166</v>
      </c>
      <c r="X47"/>
      <c r="Y47"/>
      <c r="Z47"/>
      <c r="AA47"/>
      <c r="AB47" t="s">
        <v>806</v>
      </c>
      <c r="AC47"/>
      <c r="AD47" s="126">
        <f t="shared" si="3"/>
        <v>5</v>
      </c>
      <c r="AE47" s="123" t="str">
        <f t="shared" si="1"/>
        <v>Nimi hosts [Hidden Gem] Galleries Stroll in Mayfair</v>
      </c>
      <c r="AF47" s="124">
        <v>45388</v>
      </c>
      <c r="AG47" s="123">
        <f t="shared" si="2"/>
        <v>4</v>
      </c>
      <c r="AH47" s="123" t="str">
        <f t="shared" si="4"/>
        <v>Locals</v>
      </c>
      <c r="AJ47" s="123"/>
    </row>
    <row r="48" spans="1:36" ht="15.95" customHeight="1">
      <c r="A48" t="s">
        <v>807</v>
      </c>
      <c r="B48" t="s">
        <v>729</v>
      </c>
      <c r="C48" t="s">
        <v>443</v>
      </c>
      <c r="D48" t="s">
        <v>808</v>
      </c>
      <c r="E48" s="88" t="s">
        <v>161</v>
      </c>
      <c r="F48" s="66" t="s">
        <v>809</v>
      </c>
      <c r="G48" s="66"/>
      <c r="H48" s="66"/>
      <c r="I48" s="66"/>
      <c r="J48" t="s">
        <v>793</v>
      </c>
      <c r="K48" s="88">
        <v>5</v>
      </c>
      <c r="L48" t="s">
        <v>794</v>
      </c>
      <c r="M48"/>
      <c r="N48"/>
      <c r="O48"/>
      <c r="P48">
        <v>1</v>
      </c>
      <c r="Q48"/>
      <c r="R48" t="s">
        <v>759</v>
      </c>
      <c r="S48" t="s">
        <v>733</v>
      </c>
      <c r="T48">
        <v>15</v>
      </c>
      <c r="U48" t="s">
        <v>443</v>
      </c>
      <c r="V48" t="s">
        <v>808</v>
      </c>
      <c r="W48" t="s">
        <v>161</v>
      </c>
      <c r="X48"/>
      <c r="Y48"/>
      <c r="Z48"/>
      <c r="AA48"/>
      <c r="AB48" t="s">
        <v>806</v>
      </c>
      <c r="AC48"/>
      <c r="AD48" s="126">
        <f t="shared" si="3"/>
        <v>5</v>
      </c>
      <c r="AE48" s="123" t="str">
        <f t="shared" si="1"/>
        <v>Nimi hosts [Hidden Gem] Galleries Stroll in Mayfair</v>
      </c>
      <c r="AF48" s="124">
        <v>45388</v>
      </c>
      <c r="AG48" s="123">
        <f t="shared" si="2"/>
        <v>4</v>
      </c>
      <c r="AH48" s="123" t="str">
        <f t="shared" si="4"/>
        <v>Locals</v>
      </c>
      <c r="AJ48" s="123"/>
    </row>
    <row r="49" spans="1:36" ht="15.95" customHeight="1">
      <c r="A49" t="s">
        <v>810</v>
      </c>
      <c r="B49" t="s">
        <v>729</v>
      </c>
      <c r="C49" t="s">
        <v>450</v>
      </c>
      <c r="D49" t="s">
        <v>451</v>
      </c>
      <c r="E49" s="88" t="s">
        <v>167</v>
      </c>
      <c r="F49" s="66" t="s">
        <v>811</v>
      </c>
      <c r="G49" s="66"/>
      <c r="H49" s="66"/>
      <c r="I49" s="66"/>
      <c r="J49" t="s">
        <v>793</v>
      </c>
      <c r="K49" s="88">
        <v>5</v>
      </c>
      <c r="L49" t="s">
        <v>794</v>
      </c>
      <c r="M49"/>
      <c r="N49"/>
      <c r="O49"/>
      <c r="P49">
        <v>1</v>
      </c>
      <c r="Q49"/>
      <c r="R49" t="s">
        <v>759</v>
      </c>
      <c r="S49" t="s">
        <v>733</v>
      </c>
      <c r="T49">
        <v>15</v>
      </c>
      <c r="U49" t="s">
        <v>450</v>
      </c>
      <c r="V49" t="s">
        <v>451</v>
      </c>
      <c r="W49" t="s">
        <v>167</v>
      </c>
      <c r="X49"/>
      <c r="Y49"/>
      <c r="Z49"/>
      <c r="AA49"/>
      <c r="AB49" t="s">
        <v>806</v>
      </c>
      <c r="AC49"/>
      <c r="AD49" s="126">
        <f t="shared" si="3"/>
        <v>5</v>
      </c>
      <c r="AE49" s="123" t="str">
        <f t="shared" si="1"/>
        <v>Nimi hosts [Hidden Gem] Galleries Stroll in Mayfair</v>
      </c>
      <c r="AF49" s="124">
        <v>45388</v>
      </c>
      <c r="AG49" s="123">
        <f t="shared" si="2"/>
        <v>4</v>
      </c>
      <c r="AH49" s="123" t="str">
        <f t="shared" si="4"/>
        <v>Locals</v>
      </c>
      <c r="AJ49" s="123"/>
    </row>
    <row r="50" spans="1:36" ht="15.95" customHeight="1">
      <c r="A50" t="s">
        <v>812</v>
      </c>
      <c r="B50" t="s">
        <v>729</v>
      </c>
      <c r="C50" t="s">
        <v>459</v>
      </c>
      <c r="D50" t="s">
        <v>460</v>
      </c>
      <c r="E50" s="88" t="s">
        <v>163</v>
      </c>
      <c r="F50" s="66" t="s">
        <v>461</v>
      </c>
      <c r="G50" s="66"/>
      <c r="H50" s="66"/>
      <c r="I50" s="66"/>
      <c r="J50" t="s">
        <v>793</v>
      </c>
      <c r="K50" s="88">
        <v>5</v>
      </c>
      <c r="L50" t="s">
        <v>794</v>
      </c>
      <c r="M50"/>
      <c r="N50"/>
      <c r="O50"/>
      <c r="P50">
        <v>1</v>
      </c>
      <c r="Q50"/>
      <c r="R50" t="s">
        <v>759</v>
      </c>
      <c r="S50" t="s">
        <v>733</v>
      </c>
      <c r="T50">
        <v>15</v>
      </c>
      <c r="U50" t="s">
        <v>459</v>
      </c>
      <c r="V50" t="s">
        <v>460</v>
      </c>
      <c r="W50" t="s">
        <v>163</v>
      </c>
      <c r="X50"/>
      <c r="Y50"/>
      <c r="Z50"/>
      <c r="AA50"/>
      <c r="AB50" t="s">
        <v>806</v>
      </c>
      <c r="AC50"/>
      <c r="AD50" s="126">
        <f t="shared" si="3"/>
        <v>5</v>
      </c>
      <c r="AE50" s="123" t="str">
        <f t="shared" si="1"/>
        <v>Nimi hosts [Hidden Gem] Galleries Stroll in Mayfair</v>
      </c>
      <c r="AF50" s="124">
        <v>45388</v>
      </c>
      <c r="AG50" s="123">
        <f t="shared" si="2"/>
        <v>4</v>
      </c>
      <c r="AH50" s="123" t="str">
        <f t="shared" si="4"/>
        <v>Locals</v>
      </c>
      <c r="AJ50" s="123"/>
    </row>
    <row r="51" spans="1:36" ht="15.95" customHeight="1">
      <c r="A51" t="s">
        <v>813</v>
      </c>
      <c r="B51" t="s">
        <v>729</v>
      </c>
      <c r="C51" t="s">
        <v>489</v>
      </c>
      <c r="D51" t="s">
        <v>490</v>
      </c>
      <c r="E51" s="88" t="s">
        <v>142</v>
      </c>
      <c r="F51" s="66" t="s">
        <v>491</v>
      </c>
      <c r="G51" s="66"/>
      <c r="H51" s="66"/>
      <c r="I51" s="66"/>
      <c r="J51" t="s">
        <v>793</v>
      </c>
      <c r="K51" s="88">
        <v>5</v>
      </c>
      <c r="L51" t="s">
        <v>794</v>
      </c>
      <c r="M51"/>
      <c r="N51"/>
      <c r="O51"/>
      <c r="P51">
        <v>1</v>
      </c>
      <c r="Q51"/>
      <c r="R51" t="s">
        <v>759</v>
      </c>
      <c r="S51" t="s">
        <v>733</v>
      </c>
      <c r="T51">
        <v>10</v>
      </c>
      <c r="U51" t="s">
        <v>489</v>
      </c>
      <c r="V51" t="s">
        <v>490</v>
      </c>
      <c r="W51" t="s">
        <v>142</v>
      </c>
      <c r="X51"/>
      <c r="Y51"/>
      <c r="Z51"/>
      <c r="AA51"/>
      <c r="AB51" t="s">
        <v>814</v>
      </c>
      <c r="AC51" t="s">
        <v>780</v>
      </c>
      <c r="AD51" s="126">
        <f t="shared" si="3"/>
        <v>5</v>
      </c>
      <c r="AE51" s="123" t="str">
        <f t="shared" si="1"/>
        <v>Nimi hosts [Hidden Gem] Galleries Stroll in Mayfair</v>
      </c>
      <c r="AF51" s="124">
        <v>45388</v>
      </c>
      <c r="AG51" s="123">
        <f t="shared" si="2"/>
        <v>4</v>
      </c>
      <c r="AH51" s="123" t="str">
        <f t="shared" si="4"/>
        <v>odcleoeventsincollection</v>
      </c>
      <c r="AJ51" s="123"/>
    </row>
    <row r="52" spans="1:36" ht="15.95" customHeight="1">
      <c r="B52" s="31" t="s">
        <v>729</v>
      </c>
      <c r="C52" s="31" t="s">
        <v>527</v>
      </c>
      <c r="E52" s="128" t="s">
        <v>526</v>
      </c>
      <c r="J52" t="s">
        <v>793</v>
      </c>
      <c r="K52" s="88">
        <v>5</v>
      </c>
      <c r="L52" t="s">
        <v>794</v>
      </c>
      <c r="M52"/>
      <c r="N52"/>
      <c r="O52"/>
      <c r="P52">
        <v>1</v>
      </c>
      <c r="Q52"/>
      <c r="R52" s="31" t="s">
        <v>815</v>
      </c>
      <c r="W52" s="129" t="s">
        <v>526</v>
      </c>
      <c r="X52" s="129"/>
      <c r="Y52" s="129"/>
      <c r="Z52" s="129"/>
      <c r="AA52" s="129"/>
      <c r="AB52" s="31" t="s">
        <v>815</v>
      </c>
      <c r="AD52" s="126">
        <f t="shared" si="3"/>
        <v>5</v>
      </c>
      <c r="AE52" s="123" t="str">
        <f t="shared" si="1"/>
        <v>Nimi hosts [Hidden Gem] Galleries Stroll in Mayfair</v>
      </c>
      <c r="AF52" s="124">
        <f>DATE(20&amp;_xlfn.TEXTBEFORE(_xlfn.TEXTAFTER(L52,"/",2)," "), _xlfn.TEXTBEFORE(L52,"/",1), _xlfn.TEXTBEFORE(_xlfn.TEXTAFTER(L52,"/"),"/"))</f>
        <v>45388</v>
      </c>
      <c r="AG52" s="123">
        <f t="shared" si="2"/>
        <v>4</v>
      </c>
      <c r="AH52" s="123" t="str">
        <f t="shared" si="4"/>
        <v>Meetup</v>
      </c>
      <c r="AJ52" s="123"/>
    </row>
    <row r="53" spans="1:36" ht="15.95" customHeight="1">
      <c r="A53" t="s">
        <v>816</v>
      </c>
      <c r="B53" t="s">
        <v>729</v>
      </c>
      <c r="C53" t="s">
        <v>538</v>
      </c>
      <c r="D53" t="s">
        <v>539</v>
      </c>
      <c r="E53" s="88" t="s">
        <v>128</v>
      </c>
      <c r="F53" s="66" t="s">
        <v>540</v>
      </c>
      <c r="G53" s="66"/>
      <c r="H53" s="66"/>
      <c r="I53" s="66"/>
      <c r="J53" t="s">
        <v>793</v>
      </c>
      <c r="K53" s="88">
        <v>5</v>
      </c>
      <c r="L53" t="s">
        <v>794</v>
      </c>
      <c r="M53"/>
      <c r="N53"/>
      <c r="O53"/>
      <c r="P53">
        <v>1</v>
      </c>
      <c r="Q53"/>
      <c r="R53" t="s">
        <v>759</v>
      </c>
      <c r="S53" t="s">
        <v>733</v>
      </c>
      <c r="T53">
        <v>7.5</v>
      </c>
      <c r="U53" t="s">
        <v>538</v>
      </c>
      <c r="V53" t="s">
        <v>539</v>
      </c>
      <c r="W53" t="s">
        <v>128</v>
      </c>
      <c r="X53"/>
      <c r="Y53"/>
      <c r="Z53"/>
      <c r="AA53"/>
      <c r="AB53" t="s">
        <v>817</v>
      </c>
      <c r="AC53" t="s">
        <v>778</v>
      </c>
      <c r="AD53" s="126">
        <f t="shared" si="3"/>
        <v>5</v>
      </c>
      <c r="AE53" s="123" t="str">
        <f t="shared" si="1"/>
        <v>Nimi hosts [Hidden Gem] Galleries Stroll in Mayfair</v>
      </c>
      <c r="AF53" s="124">
        <v>45388</v>
      </c>
      <c r="AG53" s="123">
        <f t="shared" si="2"/>
        <v>4</v>
      </c>
      <c r="AH53" s="123" t="str">
        <f t="shared" si="4"/>
        <v>WhatsApp</v>
      </c>
      <c r="AJ53" s="123"/>
    </row>
    <row r="54" spans="1:36" ht="15.95" customHeight="1">
      <c r="A54" t="s">
        <v>818</v>
      </c>
      <c r="B54" t="s">
        <v>729</v>
      </c>
      <c r="C54" t="s">
        <v>541</v>
      </c>
      <c r="D54" t="s">
        <v>542</v>
      </c>
      <c r="E54" s="88" t="s">
        <v>123</v>
      </c>
      <c r="F54" s="66" t="s">
        <v>543</v>
      </c>
      <c r="G54" s="66"/>
      <c r="H54" s="66"/>
      <c r="I54" s="66"/>
      <c r="J54" t="s">
        <v>793</v>
      </c>
      <c r="K54" s="88">
        <v>5</v>
      </c>
      <c r="L54" t="s">
        <v>794</v>
      </c>
      <c r="M54"/>
      <c r="N54"/>
      <c r="O54"/>
      <c r="P54">
        <v>1</v>
      </c>
      <c r="Q54"/>
      <c r="R54" t="s">
        <v>759</v>
      </c>
      <c r="S54" t="s">
        <v>733</v>
      </c>
      <c r="T54">
        <v>15</v>
      </c>
      <c r="U54" t="s">
        <v>541</v>
      </c>
      <c r="V54" t="s">
        <v>542</v>
      </c>
      <c r="W54" t="s">
        <v>123</v>
      </c>
      <c r="X54"/>
      <c r="Y54"/>
      <c r="Z54"/>
      <c r="AA54"/>
      <c r="AB54" t="s">
        <v>819</v>
      </c>
      <c r="AC54"/>
      <c r="AD54" s="126">
        <f t="shared" si="3"/>
        <v>5</v>
      </c>
      <c r="AE54" s="123" t="str">
        <f t="shared" si="1"/>
        <v>Nimi hosts [Hidden Gem] Galleries Stroll in Mayfair</v>
      </c>
      <c r="AF54" s="124">
        <v>45388</v>
      </c>
      <c r="AG54" s="123">
        <f t="shared" si="2"/>
        <v>4</v>
      </c>
      <c r="AH54" s="123" t="str">
        <f t="shared" si="4"/>
        <v>ebesesdeeplink</v>
      </c>
      <c r="AJ54" s="123"/>
    </row>
    <row r="55" spans="1:36" ht="15.95" customHeight="1">
      <c r="A55" t="s">
        <v>820</v>
      </c>
      <c r="B55" t="s">
        <v>729</v>
      </c>
      <c r="C55" t="s">
        <v>544</v>
      </c>
      <c r="D55" t="s">
        <v>545</v>
      </c>
      <c r="E55" s="88" t="s">
        <v>164</v>
      </c>
      <c r="F55" s="66" t="s">
        <v>546</v>
      </c>
      <c r="G55" s="66"/>
      <c r="H55" s="66"/>
      <c r="I55" s="66"/>
      <c r="J55" t="s">
        <v>793</v>
      </c>
      <c r="K55" s="88">
        <v>5</v>
      </c>
      <c r="L55" t="s">
        <v>794</v>
      </c>
      <c r="M55"/>
      <c r="N55"/>
      <c r="O55"/>
      <c r="P55">
        <v>1</v>
      </c>
      <c r="Q55"/>
      <c r="R55" t="s">
        <v>759</v>
      </c>
      <c r="S55" t="s">
        <v>733</v>
      </c>
      <c r="T55">
        <v>15</v>
      </c>
      <c r="U55" t="s">
        <v>544</v>
      </c>
      <c r="V55" t="s">
        <v>545</v>
      </c>
      <c r="W55" t="s">
        <v>164</v>
      </c>
      <c r="X55"/>
      <c r="Y55"/>
      <c r="Z55"/>
      <c r="AA55"/>
      <c r="AB55" t="s">
        <v>806</v>
      </c>
      <c r="AC55"/>
      <c r="AD55" s="126">
        <f t="shared" si="3"/>
        <v>5</v>
      </c>
      <c r="AE55" s="123" t="str">
        <f t="shared" si="1"/>
        <v>Nimi hosts [Hidden Gem] Galleries Stroll in Mayfair</v>
      </c>
      <c r="AF55" s="124">
        <v>45388</v>
      </c>
      <c r="AG55" s="123">
        <f t="shared" si="2"/>
        <v>4</v>
      </c>
      <c r="AH55" s="123" t="str">
        <f t="shared" si="4"/>
        <v>Locals</v>
      </c>
      <c r="AJ55" s="123"/>
    </row>
    <row r="56" spans="1:36" ht="15.95" customHeight="1">
      <c r="A56" t="s">
        <v>821</v>
      </c>
      <c r="B56" t="s">
        <v>729</v>
      </c>
      <c r="C56" t="s">
        <v>551</v>
      </c>
      <c r="D56" t="s">
        <v>552</v>
      </c>
      <c r="E56" s="88" t="s">
        <v>134</v>
      </c>
      <c r="F56" s="66" t="s">
        <v>553</v>
      </c>
      <c r="G56" s="66"/>
      <c r="H56" s="66"/>
      <c r="I56" s="66"/>
      <c r="J56" t="s">
        <v>793</v>
      </c>
      <c r="K56" s="88">
        <v>5</v>
      </c>
      <c r="L56" t="s">
        <v>794</v>
      </c>
      <c r="M56"/>
      <c r="N56"/>
      <c r="O56"/>
      <c r="P56">
        <v>1</v>
      </c>
      <c r="Q56"/>
      <c r="R56" t="s">
        <v>759</v>
      </c>
      <c r="S56" t="s">
        <v>733</v>
      </c>
      <c r="T56">
        <v>7.5</v>
      </c>
      <c r="U56" t="s">
        <v>551</v>
      </c>
      <c r="V56" t="s">
        <v>552</v>
      </c>
      <c r="W56" t="s">
        <v>134</v>
      </c>
      <c r="X56"/>
      <c r="Y56"/>
      <c r="Z56"/>
      <c r="AA56"/>
      <c r="AB56" t="s">
        <v>817</v>
      </c>
      <c r="AC56" t="s">
        <v>778</v>
      </c>
      <c r="AD56" s="126">
        <f t="shared" si="3"/>
        <v>5</v>
      </c>
      <c r="AE56" s="123" t="str">
        <f t="shared" si="1"/>
        <v>Nimi hosts [Hidden Gem] Galleries Stroll in Mayfair</v>
      </c>
      <c r="AF56" s="124">
        <v>45388</v>
      </c>
      <c r="AG56" s="123">
        <f t="shared" si="2"/>
        <v>4</v>
      </c>
      <c r="AH56" s="123" t="str">
        <f t="shared" si="4"/>
        <v>WhatsApp</v>
      </c>
      <c r="AJ56" s="123"/>
    </row>
    <row r="57" spans="1:36" ht="15.95" customHeight="1">
      <c r="A57" t="s">
        <v>822</v>
      </c>
      <c r="B57" t="s">
        <v>729</v>
      </c>
      <c r="C57" t="s">
        <v>551</v>
      </c>
      <c r="D57" t="s">
        <v>552</v>
      </c>
      <c r="E57" s="88" t="s">
        <v>134</v>
      </c>
      <c r="F57" s="66" t="s">
        <v>553</v>
      </c>
      <c r="G57" s="66"/>
      <c r="H57" s="66"/>
      <c r="I57" s="66"/>
      <c r="J57" t="s">
        <v>793</v>
      </c>
      <c r="K57" s="88">
        <v>5</v>
      </c>
      <c r="L57" t="s">
        <v>794</v>
      </c>
      <c r="M57"/>
      <c r="N57"/>
      <c r="O57"/>
      <c r="P57">
        <v>1</v>
      </c>
      <c r="Q57"/>
      <c r="R57" t="s">
        <v>759</v>
      </c>
      <c r="S57" t="s">
        <v>733</v>
      </c>
      <c r="T57">
        <v>7.5</v>
      </c>
      <c r="U57" t="s">
        <v>551</v>
      </c>
      <c r="V57" t="s">
        <v>552</v>
      </c>
      <c r="W57" t="s">
        <v>134</v>
      </c>
      <c r="X57"/>
      <c r="Y57"/>
      <c r="Z57"/>
      <c r="AA57"/>
      <c r="AB57" t="s">
        <v>817</v>
      </c>
      <c r="AC57" t="s">
        <v>778</v>
      </c>
      <c r="AD57" s="126">
        <f t="shared" si="3"/>
        <v>5</v>
      </c>
      <c r="AE57" s="123" t="str">
        <f t="shared" si="1"/>
        <v>Nimi hosts [Hidden Gem] Galleries Stroll in Mayfair</v>
      </c>
      <c r="AF57" s="124">
        <v>45388</v>
      </c>
      <c r="AG57" s="123">
        <f t="shared" si="2"/>
        <v>4</v>
      </c>
      <c r="AH57" s="123" t="str">
        <f t="shared" si="4"/>
        <v>WhatsApp</v>
      </c>
      <c r="AJ57" s="123"/>
    </row>
    <row r="58" spans="1:36" ht="15.95" customHeight="1">
      <c r="A58" t="s">
        <v>823</v>
      </c>
      <c r="B58" t="s">
        <v>729</v>
      </c>
      <c r="C58" t="s">
        <v>554</v>
      </c>
      <c r="D58" t="s">
        <v>555</v>
      </c>
      <c r="E58" s="88" t="s">
        <v>124</v>
      </c>
      <c r="F58" s="66" t="s">
        <v>556</v>
      </c>
      <c r="G58" s="66"/>
      <c r="H58" s="66"/>
      <c r="I58" s="66"/>
      <c r="J58" t="s">
        <v>793</v>
      </c>
      <c r="K58" s="88">
        <v>5</v>
      </c>
      <c r="L58" t="s">
        <v>794</v>
      </c>
      <c r="M58"/>
      <c r="N58"/>
      <c r="O58"/>
      <c r="P58">
        <v>1</v>
      </c>
      <c r="Q58"/>
      <c r="R58" t="s">
        <v>759</v>
      </c>
      <c r="S58" t="s">
        <v>733</v>
      </c>
      <c r="T58">
        <v>15</v>
      </c>
      <c r="U58" t="s">
        <v>554</v>
      </c>
      <c r="V58" t="s">
        <v>555</v>
      </c>
      <c r="W58" t="s">
        <v>124</v>
      </c>
      <c r="X58"/>
      <c r="Y58"/>
      <c r="Z58"/>
      <c r="AA58"/>
      <c r="AB58" t="s">
        <v>817</v>
      </c>
      <c r="AC58"/>
      <c r="AD58" s="126">
        <f t="shared" si="3"/>
        <v>5</v>
      </c>
      <c r="AE58" s="123" t="str">
        <f t="shared" si="1"/>
        <v>Nimi hosts [Hidden Gem] Galleries Stroll in Mayfair</v>
      </c>
      <c r="AF58" s="124">
        <v>45388</v>
      </c>
      <c r="AG58" s="123">
        <f t="shared" si="2"/>
        <v>4</v>
      </c>
      <c r="AH58" s="123" t="str">
        <f t="shared" si="4"/>
        <v>WhatsApp</v>
      </c>
      <c r="AJ58" s="123"/>
    </row>
    <row r="59" spans="1:36" ht="15.95" customHeight="1">
      <c r="A59" t="s">
        <v>824</v>
      </c>
      <c r="B59" t="s">
        <v>729</v>
      </c>
      <c r="C59" t="s">
        <v>580</v>
      </c>
      <c r="D59" t="s">
        <v>581</v>
      </c>
      <c r="E59" s="88" t="s">
        <v>138</v>
      </c>
      <c r="F59" s="66" t="s">
        <v>582</v>
      </c>
      <c r="G59" s="66"/>
      <c r="H59" s="66"/>
      <c r="I59" s="66"/>
      <c r="J59" t="s">
        <v>793</v>
      </c>
      <c r="K59" s="88">
        <v>5</v>
      </c>
      <c r="L59" t="s">
        <v>794</v>
      </c>
      <c r="M59"/>
      <c r="N59"/>
      <c r="O59"/>
      <c r="P59">
        <v>1</v>
      </c>
      <c r="Q59"/>
      <c r="R59" t="s">
        <v>759</v>
      </c>
      <c r="S59" t="s">
        <v>733</v>
      </c>
      <c r="T59">
        <v>10</v>
      </c>
      <c r="U59" t="s">
        <v>580</v>
      </c>
      <c r="V59" t="s">
        <v>581</v>
      </c>
      <c r="W59" t="s">
        <v>138</v>
      </c>
      <c r="X59"/>
      <c r="Y59"/>
      <c r="Z59"/>
      <c r="AA59"/>
      <c r="AB59" t="s">
        <v>817</v>
      </c>
      <c r="AC59" t="s">
        <v>780</v>
      </c>
      <c r="AD59" s="126">
        <f t="shared" si="3"/>
        <v>5</v>
      </c>
      <c r="AE59" s="123" t="str">
        <f t="shared" si="1"/>
        <v>Nimi hosts [Hidden Gem] Galleries Stroll in Mayfair</v>
      </c>
      <c r="AF59" s="124">
        <v>45388</v>
      </c>
      <c r="AG59" s="123">
        <f t="shared" si="2"/>
        <v>4</v>
      </c>
      <c r="AH59" s="123" t="str">
        <f t="shared" si="4"/>
        <v>WhatsApp</v>
      </c>
      <c r="AJ59" s="123"/>
    </row>
    <row r="60" spans="1:36" ht="15.95" customHeight="1">
      <c r="A60" t="s">
        <v>825</v>
      </c>
      <c r="B60" t="s">
        <v>729</v>
      </c>
      <c r="C60" t="s">
        <v>592</v>
      </c>
      <c r="D60" t="s">
        <v>593</v>
      </c>
      <c r="E60" s="88" t="s">
        <v>168</v>
      </c>
      <c r="F60" s="66" t="s">
        <v>594</v>
      </c>
      <c r="G60" s="66"/>
      <c r="H60" s="66"/>
      <c r="I60" s="66"/>
      <c r="J60" t="s">
        <v>793</v>
      </c>
      <c r="K60" s="88">
        <v>5</v>
      </c>
      <c r="L60" t="s">
        <v>794</v>
      </c>
      <c r="M60"/>
      <c r="N60"/>
      <c r="O60"/>
      <c r="P60">
        <v>1</v>
      </c>
      <c r="Q60"/>
      <c r="R60" t="s">
        <v>759</v>
      </c>
      <c r="S60" t="s">
        <v>733</v>
      </c>
      <c r="T60">
        <v>15</v>
      </c>
      <c r="U60" t="s">
        <v>592</v>
      </c>
      <c r="V60" t="s">
        <v>593</v>
      </c>
      <c r="W60" t="s">
        <v>168</v>
      </c>
      <c r="X60"/>
      <c r="Y60"/>
      <c r="Z60"/>
      <c r="AA60"/>
      <c r="AB60" t="s">
        <v>817</v>
      </c>
      <c r="AC60"/>
      <c r="AD60" s="126">
        <f t="shared" si="3"/>
        <v>5</v>
      </c>
      <c r="AE60" s="123" t="str">
        <f t="shared" si="1"/>
        <v>Nimi hosts [Hidden Gem] Galleries Stroll in Mayfair</v>
      </c>
      <c r="AF60" s="124">
        <v>45388</v>
      </c>
      <c r="AG60" s="123">
        <f t="shared" si="2"/>
        <v>4</v>
      </c>
      <c r="AH60" s="123" t="str">
        <f t="shared" si="4"/>
        <v>WhatsApp</v>
      </c>
      <c r="AJ60" s="123"/>
    </row>
    <row r="61" spans="1:36" ht="15.95" customHeight="1">
      <c r="B61" s="31" t="s">
        <v>729</v>
      </c>
      <c r="C61" s="31" t="s">
        <v>596</v>
      </c>
      <c r="D61" s="31" t="s">
        <v>597</v>
      </c>
      <c r="E61" s="128" t="s">
        <v>595</v>
      </c>
      <c r="J61" t="s">
        <v>793</v>
      </c>
      <c r="K61" s="88">
        <v>5</v>
      </c>
      <c r="L61" t="s">
        <v>794</v>
      </c>
      <c r="M61"/>
      <c r="N61"/>
      <c r="O61"/>
      <c r="P61">
        <v>1</v>
      </c>
      <c r="Q61"/>
      <c r="R61" s="31" t="s">
        <v>815</v>
      </c>
      <c r="W61" s="31" t="s">
        <v>595</v>
      </c>
      <c r="AB61" s="31" t="s">
        <v>815</v>
      </c>
      <c r="AD61" s="126">
        <f t="shared" si="3"/>
        <v>5</v>
      </c>
      <c r="AE61" s="123" t="str">
        <f t="shared" si="1"/>
        <v>Nimi hosts [Hidden Gem] Galleries Stroll in Mayfair</v>
      </c>
      <c r="AF61" s="124">
        <f>DATE(20&amp;_xlfn.TEXTBEFORE(_xlfn.TEXTAFTER(L61,"/",2)," "), _xlfn.TEXTBEFORE(L61,"/",1), _xlfn.TEXTBEFORE(_xlfn.TEXTAFTER(L61,"/"),"/"))</f>
        <v>45388</v>
      </c>
      <c r="AG61" s="123">
        <f t="shared" si="2"/>
        <v>4</v>
      </c>
      <c r="AH61" s="123" t="str">
        <f t="shared" si="4"/>
        <v>Meetup</v>
      </c>
      <c r="AJ61" s="123"/>
    </row>
    <row r="62" spans="1:36" ht="15.95" customHeight="1">
      <c r="B62" s="31" t="s">
        <v>729</v>
      </c>
      <c r="C62" s="31" t="s">
        <v>602</v>
      </c>
      <c r="D62" s="31" t="s">
        <v>603</v>
      </c>
      <c r="E62" s="88" t="s">
        <v>176</v>
      </c>
      <c r="F62" s="66" t="s">
        <v>604</v>
      </c>
      <c r="G62" s="66"/>
      <c r="H62" s="66"/>
      <c r="I62" s="66"/>
      <c r="J62" t="s">
        <v>793</v>
      </c>
      <c r="K62" s="88">
        <v>5</v>
      </c>
      <c r="L62" t="s">
        <v>794</v>
      </c>
      <c r="M62"/>
      <c r="N62"/>
      <c r="O62"/>
      <c r="P62">
        <v>1</v>
      </c>
      <c r="Q62"/>
      <c r="R62" s="31" t="s">
        <v>815</v>
      </c>
      <c r="W62" t="s">
        <v>176</v>
      </c>
      <c r="X62"/>
      <c r="Y62"/>
      <c r="Z62"/>
      <c r="AA62"/>
      <c r="AB62" s="31" t="s">
        <v>815</v>
      </c>
      <c r="AD62" s="126">
        <f t="shared" si="3"/>
        <v>5</v>
      </c>
      <c r="AE62" s="123" t="str">
        <f t="shared" si="1"/>
        <v>Nimi hosts [Hidden Gem] Galleries Stroll in Mayfair</v>
      </c>
      <c r="AF62" s="124">
        <f>DATE(20&amp;_xlfn.TEXTBEFORE(_xlfn.TEXTAFTER(L62,"/",2)," "), _xlfn.TEXTBEFORE(L62,"/",1), _xlfn.TEXTBEFORE(_xlfn.TEXTAFTER(L62,"/"),"/"))</f>
        <v>45388</v>
      </c>
      <c r="AG62" s="123">
        <f t="shared" si="2"/>
        <v>4</v>
      </c>
      <c r="AH62" s="123" t="str">
        <f t="shared" si="4"/>
        <v>Meetup</v>
      </c>
      <c r="AJ62" s="123"/>
    </row>
    <row r="63" spans="1:36" ht="15.95" customHeight="1">
      <c r="A63" t="s">
        <v>826</v>
      </c>
      <c r="B63" t="s">
        <v>729</v>
      </c>
      <c r="C63" t="s">
        <v>367</v>
      </c>
      <c r="D63" t="s">
        <v>368</v>
      </c>
      <c r="E63" s="88" t="s">
        <v>130</v>
      </c>
      <c r="F63" s="66" t="s">
        <v>369</v>
      </c>
      <c r="G63" s="66"/>
      <c r="H63" s="66"/>
      <c r="I63" s="66"/>
      <c r="J63" t="s">
        <v>827</v>
      </c>
      <c r="K63" s="88">
        <v>6</v>
      </c>
      <c r="L63" t="s">
        <v>828</v>
      </c>
      <c r="M63"/>
      <c r="N63"/>
      <c r="O63"/>
      <c r="P63">
        <v>1</v>
      </c>
      <c r="Q63"/>
      <c r="R63" t="s">
        <v>759</v>
      </c>
      <c r="S63" t="s">
        <v>733</v>
      </c>
      <c r="T63">
        <v>7.5</v>
      </c>
      <c r="U63" t="s">
        <v>367</v>
      </c>
      <c r="V63" t="s">
        <v>368</v>
      </c>
      <c r="W63" t="s">
        <v>130</v>
      </c>
      <c r="X63"/>
      <c r="Y63"/>
      <c r="Z63"/>
      <c r="AA63"/>
      <c r="AB63" t="s">
        <v>797</v>
      </c>
      <c r="AC63" t="s">
        <v>778</v>
      </c>
      <c r="AD63" s="126">
        <f t="shared" si="3"/>
        <v>6</v>
      </c>
      <c r="AE63" s="123" t="str">
        <f t="shared" si="1"/>
        <v>Nimi hosts [Hidden Gem] Private View at Art Galleries in Central London</v>
      </c>
      <c r="AF63" s="124">
        <v>45389</v>
      </c>
      <c r="AG63" s="123">
        <f t="shared" ref="AG63:AG94" si="5">MONTH(AF63)</f>
        <v>4</v>
      </c>
      <c r="AH63" s="123" t="str">
        <f t="shared" si="4"/>
        <v>oddtdtdirect</v>
      </c>
      <c r="AJ63" s="123"/>
    </row>
    <row r="64" spans="1:36" ht="15.95" customHeight="1">
      <c r="A64" t="s">
        <v>829</v>
      </c>
      <c r="B64" t="s">
        <v>729</v>
      </c>
      <c r="C64" t="s">
        <v>541</v>
      </c>
      <c r="D64" t="s">
        <v>542</v>
      </c>
      <c r="E64" s="88" t="s">
        <v>123</v>
      </c>
      <c r="F64" s="66" t="s">
        <v>543</v>
      </c>
      <c r="G64" s="66"/>
      <c r="H64" s="66"/>
      <c r="I64" s="66"/>
      <c r="J64" t="s">
        <v>827</v>
      </c>
      <c r="K64" s="88">
        <v>6</v>
      </c>
      <c r="L64" t="s">
        <v>828</v>
      </c>
      <c r="M64"/>
      <c r="N64"/>
      <c r="O64"/>
      <c r="P64">
        <v>1</v>
      </c>
      <c r="Q64"/>
      <c r="R64" t="s">
        <v>759</v>
      </c>
      <c r="S64" t="s">
        <v>733</v>
      </c>
      <c r="T64">
        <v>15</v>
      </c>
      <c r="U64" t="s">
        <v>541</v>
      </c>
      <c r="V64" t="s">
        <v>542</v>
      </c>
      <c r="W64" t="s">
        <v>123</v>
      </c>
      <c r="X64"/>
      <c r="Y64"/>
      <c r="Z64"/>
      <c r="AA64"/>
      <c r="AB64" t="s">
        <v>819</v>
      </c>
      <c r="AC64"/>
      <c r="AD64" s="126">
        <f t="shared" si="3"/>
        <v>6</v>
      </c>
      <c r="AE64" s="123" t="str">
        <f t="shared" si="1"/>
        <v>Nimi hosts [Hidden Gem] Private View at Art Galleries in Central London</v>
      </c>
      <c r="AF64" s="124">
        <v>45390</v>
      </c>
      <c r="AG64" s="123">
        <f t="shared" si="5"/>
        <v>4</v>
      </c>
      <c r="AH64" s="123" t="str">
        <f t="shared" si="4"/>
        <v>ebesesdeeplink</v>
      </c>
      <c r="AJ64" s="123"/>
    </row>
    <row r="65" spans="1:38" ht="15.95" customHeight="1">
      <c r="A65" t="s">
        <v>830</v>
      </c>
      <c r="B65" t="s">
        <v>729</v>
      </c>
      <c r="C65" t="s">
        <v>318</v>
      </c>
      <c r="D65" t="s">
        <v>319</v>
      </c>
      <c r="E65" s="88" t="s">
        <v>173</v>
      </c>
      <c r="F65" s="66" t="s">
        <v>320</v>
      </c>
      <c r="G65" s="66"/>
      <c r="H65" s="66"/>
      <c r="I65" s="66"/>
      <c r="J65" t="s">
        <v>827</v>
      </c>
      <c r="K65" s="88">
        <v>6</v>
      </c>
      <c r="L65" t="s">
        <v>828</v>
      </c>
      <c r="M65"/>
      <c r="N65"/>
      <c r="O65"/>
      <c r="P65">
        <v>1</v>
      </c>
      <c r="Q65"/>
      <c r="R65" t="s">
        <v>759</v>
      </c>
      <c r="S65" t="s">
        <v>733</v>
      </c>
      <c r="T65">
        <v>10</v>
      </c>
      <c r="U65" t="s">
        <v>318</v>
      </c>
      <c r="V65" t="s">
        <v>319</v>
      </c>
      <c r="W65" t="s">
        <v>173</v>
      </c>
      <c r="X65"/>
      <c r="Y65"/>
      <c r="Z65"/>
      <c r="AA65"/>
      <c r="AB65" t="s">
        <v>817</v>
      </c>
      <c r="AC65" t="s">
        <v>780</v>
      </c>
      <c r="AD65" s="126">
        <f t="shared" si="3"/>
        <v>6</v>
      </c>
      <c r="AE65" s="123" t="str">
        <f t="shared" si="1"/>
        <v>Nimi hosts [Hidden Gem] Private View at Art Galleries in Central London</v>
      </c>
      <c r="AF65" s="124">
        <f t="shared" ref="AF65:AF111" si="6">DATE(20&amp;_xlfn.TEXTBEFORE(_xlfn.TEXTAFTER(L65,"/",2)," "), _xlfn.TEXTBEFORE(L65,"/",1), _xlfn.TEXTBEFORE(_xlfn.TEXTAFTER(L65,"/"),"/"))</f>
        <v>45393</v>
      </c>
      <c r="AG65" s="123">
        <f t="shared" si="5"/>
        <v>4</v>
      </c>
      <c r="AH65" s="123" t="str">
        <f t="shared" si="4"/>
        <v>WhatsApp</v>
      </c>
      <c r="AJ65" s="123"/>
    </row>
    <row r="66" spans="1:38" ht="15.95" customHeight="1">
      <c r="B66" s="31" t="s">
        <v>729</v>
      </c>
      <c r="C66" s="31" t="s">
        <v>467</v>
      </c>
      <c r="D66" s="31" t="s">
        <v>831</v>
      </c>
      <c r="E66" s="128" t="s">
        <v>466</v>
      </c>
      <c r="J66" t="s">
        <v>827</v>
      </c>
      <c r="K66" s="88">
        <v>6</v>
      </c>
      <c r="L66" t="s">
        <v>828</v>
      </c>
      <c r="M66"/>
      <c r="N66"/>
      <c r="O66"/>
      <c r="P66" s="31">
        <v>1</v>
      </c>
      <c r="R66" s="31" t="s">
        <v>815</v>
      </c>
      <c r="W66" s="129" t="s">
        <v>466</v>
      </c>
      <c r="X66" s="129"/>
      <c r="Y66" s="129"/>
      <c r="Z66" s="129"/>
      <c r="AA66" s="129"/>
      <c r="AB66" s="31" t="s">
        <v>815</v>
      </c>
      <c r="AD66" s="126">
        <f t="shared" ref="AD66:AD97" si="7">K66</f>
        <v>6</v>
      </c>
      <c r="AE66" s="123" t="str">
        <f t="shared" ref="AE66:AE129" si="8">J66</f>
        <v>Nimi hosts [Hidden Gem] Private View at Art Galleries in Central London</v>
      </c>
      <c r="AF66" s="124">
        <f t="shared" si="6"/>
        <v>45393</v>
      </c>
      <c r="AG66" s="123">
        <f t="shared" si="5"/>
        <v>4</v>
      </c>
      <c r="AH66" s="123" t="str">
        <f t="shared" si="4"/>
        <v>Meetup</v>
      </c>
      <c r="AJ66" s="123"/>
    </row>
    <row r="67" spans="1:38" ht="15.95" customHeight="1">
      <c r="A67" t="s">
        <v>832</v>
      </c>
      <c r="B67" t="s">
        <v>729</v>
      </c>
      <c r="C67" t="s">
        <v>554</v>
      </c>
      <c r="D67" t="s">
        <v>555</v>
      </c>
      <c r="E67" s="88" t="s">
        <v>124</v>
      </c>
      <c r="F67" s="66" t="s">
        <v>556</v>
      </c>
      <c r="G67" s="66"/>
      <c r="H67" s="66"/>
      <c r="I67" s="66"/>
      <c r="J67" t="s">
        <v>827</v>
      </c>
      <c r="K67" s="88">
        <v>6</v>
      </c>
      <c r="L67" t="s">
        <v>828</v>
      </c>
      <c r="M67"/>
      <c r="N67"/>
      <c r="O67"/>
      <c r="P67">
        <v>1</v>
      </c>
      <c r="Q67"/>
      <c r="R67" t="s">
        <v>759</v>
      </c>
      <c r="S67" t="s">
        <v>733</v>
      </c>
      <c r="T67">
        <v>10</v>
      </c>
      <c r="U67" t="s">
        <v>554</v>
      </c>
      <c r="V67" t="s">
        <v>555</v>
      </c>
      <c r="W67" t="s">
        <v>124</v>
      </c>
      <c r="X67"/>
      <c r="Y67"/>
      <c r="Z67"/>
      <c r="AA67"/>
      <c r="AB67" t="s">
        <v>817</v>
      </c>
      <c r="AC67" t="s">
        <v>780</v>
      </c>
      <c r="AD67" s="126">
        <f t="shared" si="7"/>
        <v>6</v>
      </c>
      <c r="AE67" s="123" t="str">
        <f t="shared" si="8"/>
        <v>Nimi hosts [Hidden Gem] Private View at Art Galleries in Central London</v>
      </c>
      <c r="AF67" s="124">
        <f t="shared" si="6"/>
        <v>45393</v>
      </c>
      <c r="AG67" s="123">
        <f t="shared" si="5"/>
        <v>4</v>
      </c>
      <c r="AH67" s="123" t="str">
        <f t="shared" si="4"/>
        <v>WhatsApp</v>
      </c>
      <c r="AJ67" s="123"/>
    </row>
    <row r="68" spans="1:38" ht="15.95" customHeight="1">
      <c r="A68" t="s">
        <v>833</v>
      </c>
      <c r="B68" t="s">
        <v>729</v>
      </c>
      <c r="C68" t="s">
        <v>609</v>
      </c>
      <c r="D68" t="s">
        <v>610</v>
      </c>
      <c r="E68" s="88" t="s">
        <v>170</v>
      </c>
      <c r="F68" s="66" t="s">
        <v>611</v>
      </c>
      <c r="G68" s="66"/>
      <c r="H68" s="66"/>
      <c r="I68" s="66"/>
      <c r="J68" t="s">
        <v>827</v>
      </c>
      <c r="K68" s="88">
        <v>6</v>
      </c>
      <c r="L68" t="s">
        <v>828</v>
      </c>
      <c r="M68"/>
      <c r="N68"/>
      <c r="O68"/>
      <c r="P68">
        <v>1</v>
      </c>
      <c r="Q68"/>
      <c r="R68" t="s">
        <v>759</v>
      </c>
      <c r="S68" t="s">
        <v>733</v>
      </c>
      <c r="T68">
        <v>15</v>
      </c>
      <c r="U68" t="s">
        <v>609</v>
      </c>
      <c r="V68" t="s">
        <v>610</v>
      </c>
      <c r="W68" t="s">
        <v>170</v>
      </c>
      <c r="X68"/>
      <c r="Y68"/>
      <c r="Z68"/>
      <c r="AA68"/>
      <c r="AB68" t="s">
        <v>834</v>
      </c>
      <c r="AC68"/>
      <c r="AD68" s="126">
        <f t="shared" si="7"/>
        <v>6</v>
      </c>
      <c r="AE68" s="123" t="str">
        <f t="shared" si="8"/>
        <v>Nimi hosts [Hidden Gem] Private View at Art Galleries in Central London</v>
      </c>
      <c r="AF68" s="124">
        <f t="shared" si="6"/>
        <v>45393</v>
      </c>
      <c r="AG68" s="123">
        <f t="shared" si="5"/>
        <v>4</v>
      </c>
      <c r="AH68" s="123" t="str">
        <f t="shared" si="4"/>
        <v>oddtdtcreator</v>
      </c>
      <c r="AJ68" s="123"/>
    </row>
    <row r="69" spans="1:38" ht="15.95" customHeight="1">
      <c r="A69" t="s">
        <v>835</v>
      </c>
      <c r="B69" t="s">
        <v>749</v>
      </c>
      <c r="C69" t="s">
        <v>836</v>
      </c>
      <c r="D69" t="s">
        <v>837</v>
      </c>
      <c r="E69" s="88" t="s">
        <v>169</v>
      </c>
      <c r="F69" s="66" t="s">
        <v>621</v>
      </c>
      <c r="G69" s="66"/>
      <c r="H69" s="66"/>
      <c r="I69" s="66"/>
      <c r="J69" t="s">
        <v>827</v>
      </c>
      <c r="K69" s="88">
        <v>6</v>
      </c>
      <c r="L69" t="s">
        <v>828</v>
      </c>
      <c r="M69"/>
      <c r="N69"/>
      <c r="O69"/>
      <c r="P69">
        <v>1</v>
      </c>
      <c r="Q69"/>
      <c r="R69" t="s">
        <v>759</v>
      </c>
      <c r="S69" t="s">
        <v>733</v>
      </c>
      <c r="T69">
        <v>15</v>
      </c>
      <c r="U69" t="s">
        <v>836</v>
      </c>
      <c r="V69" t="s">
        <v>837</v>
      </c>
      <c r="W69" t="s">
        <v>169</v>
      </c>
      <c r="X69"/>
      <c r="Y69"/>
      <c r="Z69"/>
      <c r="AA69"/>
      <c r="AB69" t="s">
        <v>814</v>
      </c>
      <c r="AC69"/>
      <c r="AD69" s="126">
        <f t="shared" si="7"/>
        <v>6</v>
      </c>
      <c r="AE69" s="123" t="str">
        <f t="shared" si="8"/>
        <v>Nimi hosts [Hidden Gem] Private View at Art Galleries in Central London</v>
      </c>
      <c r="AF69" s="124">
        <f t="shared" si="6"/>
        <v>45393</v>
      </c>
      <c r="AG69" s="123">
        <f t="shared" si="5"/>
        <v>4</v>
      </c>
      <c r="AH69" s="123" t="str">
        <f t="shared" si="4"/>
        <v>odcleoeventsincollection</v>
      </c>
      <c r="AJ69" s="123"/>
      <c r="AL69" s="1"/>
    </row>
    <row r="70" spans="1:38" ht="15.95" customHeight="1">
      <c r="A70" t="s">
        <v>838</v>
      </c>
      <c r="B70" t="s">
        <v>729</v>
      </c>
      <c r="C70" t="s">
        <v>310</v>
      </c>
      <c r="D70" t="s">
        <v>311</v>
      </c>
      <c r="E70" s="88" t="s">
        <v>125</v>
      </c>
      <c r="F70" s="66" t="s">
        <v>839</v>
      </c>
      <c r="G70" s="66"/>
      <c r="H70" s="66"/>
      <c r="I70" s="66"/>
      <c r="J70" t="s">
        <v>840</v>
      </c>
      <c r="K70" s="88">
        <v>7</v>
      </c>
      <c r="L70" t="s">
        <v>841</v>
      </c>
      <c r="M70"/>
      <c r="N70"/>
      <c r="O70"/>
      <c r="P70">
        <v>1</v>
      </c>
      <c r="Q70"/>
      <c r="R70" t="s">
        <v>759</v>
      </c>
      <c r="S70" t="s">
        <v>733</v>
      </c>
      <c r="T70">
        <v>7.5</v>
      </c>
      <c r="U70" t="s">
        <v>310</v>
      </c>
      <c r="V70" t="s">
        <v>311</v>
      </c>
      <c r="W70" t="s">
        <v>125</v>
      </c>
      <c r="X70"/>
      <c r="Y70"/>
      <c r="Z70"/>
      <c r="AA70"/>
      <c r="AB70" t="s">
        <v>819</v>
      </c>
      <c r="AC70" t="s">
        <v>778</v>
      </c>
      <c r="AD70" s="126">
        <f t="shared" si="7"/>
        <v>7</v>
      </c>
      <c r="AE70" s="123" t="str">
        <f t="shared" si="8"/>
        <v>Nimi hosts [Hidden Gem] Gallery Stroll in South Kensington</v>
      </c>
      <c r="AF70" s="124">
        <f t="shared" si="6"/>
        <v>45395</v>
      </c>
      <c r="AG70" s="123">
        <f t="shared" si="5"/>
        <v>4</v>
      </c>
      <c r="AH70" s="123" t="str">
        <f t="shared" si="4"/>
        <v>ebesesdeeplink</v>
      </c>
      <c r="AJ70" s="123"/>
    </row>
    <row r="71" spans="1:38" ht="15.95" customHeight="1">
      <c r="A71" t="s">
        <v>842</v>
      </c>
      <c r="B71" t="s">
        <v>729</v>
      </c>
      <c r="C71" t="s">
        <v>375</v>
      </c>
      <c r="D71" t="s">
        <v>376</v>
      </c>
      <c r="E71" s="88" t="s">
        <v>122</v>
      </c>
      <c r="F71" s="66" t="s">
        <v>377</v>
      </c>
      <c r="G71" s="66"/>
      <c r="H71" s="66"/>
      <c r="I71" s="66"/>
      <c r="J71" t="s">
        <v>840</v>
      </c>
      <c r="K71" s="88">
        <v>7</v>
      </c>
      <c r="L71" t="s">
        <v>841</v>
      </c>
      <c r="M71"/>
      <c r="N71"/>
      <c r="O71"/>
      <c r="P71">
        <v>1</v>
      </c>
      <c r="Q71"/>
      <c r="R71" t="s">
        <v>759</v>
      </c>
      <c r="S71" t="s">
        <v>733</v>
      </c>
      <c r="T71">
        <v>10</v>
      </c>
      <c r="U71" t="s">
        <v>375</v>
      </c>
      <c r="V71" t="s">
        <v>376</v>
      </c>
      <c r="W71" t="s">
        <v>122</v>
      </c>
      <c r="X71"/>
      <c r="Y71"/>
      <c r="Z71"/>
      <c r="AA71"/>
      <c r="AB71" t="s">
        <v>797</v>
      </c>
      <c r="AC71" t="s">
        <v>780</v>
      </c>
      <c r="AD71" s="126">
        <f t="shared" si="7"/>
        <v>7</v>
      </c>
      <c r="AE71" s="123" t="str">
        <f t="shared" si="8"/>
        <v>Nimi hosts [Hidden Gem] Gallery Stroll in South Kensington</v>
      </c>
      <c r="AF71" s="124">
        <f t="shared" si="6"/>
        <v>45395</v>
      </c>
      <c r="AG71" s="123">
        <f t="shared" si="5"/>
        <v>4</v>
      </c>
      <c r="AH71" s="123" t="str">
        <f t="shared" si="4"/>
        <v>oddtdtdirect</v>
      </c>
      <c r="AJ71" s="123"/>
    </row>
    <row r="72" spans="1:38" ht="15.95" customHeight="1">
      <c r="A72" t="s">
        <v>843</v>
      </c>
      <c r="B72" t="s">
        <v>729</v>
      </c>
      <c r="C72" t="s">
        <v>400</v>
      </c>
      <c r="D72" t="s">
        <v>401</v>
      </c>
      <c r="E72" s="88" t="s">
        <v>174</v>
      </c>
      <c r="F72" s="66" t="s">
        <v>402</v>
      </c>
      <c r="G72" s="66"/>
      <c r="H72" s="66"/>
      <c r="I72" s="66"/>
      <c r="J72" t="s">
        <v>840</v>
      </c>
      <c r="K72" s="88">
        <v>7</v>
      </c>
      <c r="L72" t="s">
        <v>841</v>
      </c>
      <c r="M72"/>
      <c r="N72"/>
      <c r="O72"/>
      <c r="P72">
        <v>1</v>
      </c>
      <c r="Q72"/>
      <c r="R72" t="s">
        <v>759</v>
      </c>
      <c r="S72" t="s">
        <v>733</v>
      </c>
      <c r="T72">
        <v>10</v>
      </c>
      <c r="U72" t="s">
        <v>400</v>
      </c>
      <c r="V72" t="s">
        <v>401</v>
      </c>
      <c r="W72" t="s">
        <v>174</v>
      </c>
      <c r="X72"/>
      <c r="Y72"/>
      <c r="Z72"/>
      <c r="AA72"/>
      <c r="AB72" t="s">
        <v>817</v>
      </c>
      <c r="AC72" t="s">
        <v>780</v>
      </c>
      <c r="AD72" s="126">
        <f t="shared" si="7"/>
        <v>7</v>
      </c>
      <c r="AE72" s="123" t="str">
        <f t="shared" si="8"/>
        <v>Nimi hosts [Hidden Gem] Gallery Stroll in South Kensington</v>
      </c>
      <c r="AF72" s="124">
        <f t="shared" si="6"/>
        <v>45395</v>
      </c>
      <c r="AG72" s="123">
        <f t="shared" si="5"/>
        <v>4</v>
      </c>
      <c r="AH72" s="123" t="str">
        <f t="shared" si="4"/>
        <v>WhatsApp</v>
      </c>
      <c r="AJ72" s="123"/>
    </row>
    <row r="73" spans="1:38" ht="15.95" customHeight="1">
      <c r="A73" t="s">
        <v>844</v>
      </c>
      <c r="B73" t="s">
        <v>729</v>
      </c>
      <c r="C73" t="s">
        <v>408</v>
      </c>
      <c r="D73" t="s">
        <v>411</v>
      </c>
      <c r="E73" s="88" t="s">
        <v>171</v>
      </c>
      <c r="F73" s="66" t="s">
        <v>845</v>
      </c>
      <c r="G73" s="66"/>
      <c r="H73" s="66"/>
      <c r="I73" s="66"/>
      <c r="J73" t="s">
        <v>840</v>
      </c>
      <c r="K73" s="88">
        <v>7</v>
      </c>
      <c r="L73" t="s">
        <v>841</v>
      </c>
      <c r="M73"/>
      <c r="N73"/>
      <c r="O73"/>
      <c r="P73">
        <v>1</v>
      </c>
      <c r="Q73"/>
      <c r="R73" t="s">
        <v>759</v>
      </c>
      <c r="S73" t="s">
        <v>733</v>
      </c>
      <c r="T73">
        <v>15</v>
      </c>
      <c r="U73" t="s">
        <v>408</v>
      </c>
      <c r="V73" t="s">
        <v>411</v>
      </c>
      <c r="W73" t="s">
        <v>171</v>
      </c>
      <c r="X73"/>
      <c r="Y73"/>
      <c r="Z73"/>
      <c r="AA73"/>
      <c r="AB73" t="s">
        <v>806</v>
      </c>
      <c r="AC73"/>
      <c r="AD73" s="126">
        <f t="shared" si="7"/>
        <v>7</v>
      </c>
      <c r="AE73" s="123" t="str">
        <f t="shared" si="8"/>
        <v>Nimi hosts [Hidden Gem] Gallery Stroll in South Kensington</v>
      </c>
      <c r="AF73" s="124">
        <f t="shared" si="6"/>
        <v>45395</v>
      </c>
      <c r="AG73" s="123">
        <f t="shared" si="5"/>
        <v>4</v>
      </c>
      <c r="AH73" s="123" t="str">
        <f t="shared" si="4"/>
        <v>Locals</v>
      </c>
      <c r="AJ73" s="123"/>
    </row>
    <row r="74" spans="1:38" ht="15.95" customHeight="1">
      <c r="A74" t="s">
        <v>846</v>
      </c>
      <c r="B74" t="s">
        <v>729</v>
      </c>
      <c r="C74" t="s">
        <v>492</v>
      </c>
      <c r="D74" t="s">
        <v>493</v>
      </c>
      <c r="E74" s="88" t="s">
        <v>118</v>
      </c>
      <c r="F74" s="66" t="s">
        <v>494</v>
      </c>
      <c r="G74" s="66"/>
      <c r="H74" s="66"/>
      <c r="I74" s="66"/>
      <c r="J74" t="s">
        <v>840</v>
      </c>
      <c r="K74" s="88">
        <v>7</v>
      </c>
      <c r="L74" t="s">
        <v>841</v>
      </c>
      <c r="M74"/>
      <c r="N74"/>
      <c r="O74"/>
      <c r="P74">
        <v>1</v>
      </c>
      <c r="Q74"/>
      <c r="R74" t="s">
        <v>759</v>
      </c>
      <c r="S74" t="s">
        <v>733</v>
      </c>
      <c r="T74">
        <v>10</v>
      </c>
      <c r="U74" t="s">
        <v>492</v>
      </c>
      <c r="V74" t="s">
        <v>493</v>
      </c>
      <c r="W74" t="s">
        <v>119</v>
      </c>
      <c r="X74"/>
      <c r="Y74"/>
      <c r="Z74"/>
      <c r="AA74"/>
      <c r="AB74" t="s">
        <v>847</v>
      </c>
      <c r="AC74" t="s">
        <v>780</v>
      </c>
      <c r="AD74" s="126">
        <f t="shared" si="7"/>
        <v>7</v>
      </c>
      <c r="AE74" s="123" t="str">
        <f t="shared" si="8"/>
        <v>Nimi hosts [Hidden Gem] Gallery Stroll in South Kensington</v>
      </c>
      <c r="AF74" s="124">
        <f t="shared" si="6"/>
        <v>45395</v>
      </c>
      <c r="AG74" s="123">
        <f t="shared" si="5"/>
        <v>4</v>
      </c>
      <c r="AH74" s="123" t="str">
        <f t="shared" si="4"/>
        <v>ebesesorganizerprofile</v>
      </c>
      <c r="AJ74" s="123"/>
    </row>
    <row r="75" spans="1:38" ht="15.95" customHeight="1">
      <c r="A75" t="s">
        <v>848</v>
      </c>
      <c r="B75" t="s">
        <v>729</v>
      </c>
      <c r="C75" t="s">
        <v>743</v>
      </c>
      <c r="D75" t="s">
        <v>744</v>
      </c>
      <c r="E75" s="88" t="s">
        <v>139</v>
      </c>
      <c r="F75" s="66" t="s">
        <v>530</v>
      </c>
      <c r="G75" s="66"/>
      <c r="H75" s="66"/>
      <c r="I75" s="66"/>
      <c r="J75" t="s">
        <v>840</v>
      </c>
      <c r="K75" s="88">
        <v>7</v>
      </c>
      <c r="L75" t="s">
        <v>841</v>
      </c>
      <c r="M75"/>
      <c r="N75"/>
      <c r="O75"/>
      <c r="P75">
        <v>1</v>
      </c>
      <c r="Q75"/>
      <c r="R75" t="s">
        <v>759</v>
      </c>
      <c r="S75" t="s">
        <v>733</v>
      </c>
      <c r="T75">
        <v>10</v>
      </c>
      <c r="U75" t="s">
        <v>743</v>
      </c>
      <c r="V75" t="s">
        <v>744</v>
      </c>
      <c r="W75" t="s">
        <v>139</v>
      </c>
      <c r="X75"/>
      <c r="Y75"/>
      <c r="Z75"/>
      <c r="AA75"/>
      <c r="AB75" t="s">
        <v>817</v>
      </c>
      <c r="AC75" t="s">
        <v>780</v>
      </c>
      <c r="AD75" s="126">
        <f t="shared" si="7"/>
        <v>7</v>
      </c>
      <c r="AE75" s="123" t="str">
        <f t="shared" si="8"/>
        <v>Nimi hosts [Hidden Gem] Gallery Stroll in South Kensington</v>
      </c>
      <c r="AF75" s="124">
        <f t="shared" si="6"/>
        <v>45395</v>
      </c>
      <c r="AG75" s="123">
        <f t="shared" si="5"/>
        <v>4</v>
      </c>
      <c r="AH75" s="123" t="str">
        <f t="shared" si="4"/>
        <v>WhatsApp</v>
      </c>
      <c r="AJ75" s="123"/>
    </row>
    <row r="76" spans="1:38" ht="15.95" customHeight="1">
      <c r="A76" t="s">
        <v>849</v>
      </c>
      <c r="B76" t="s">
        <v>729</v>
      </c>
      <c r="C76" t="s">
        <v>538</v>
      </c>
      <c r="D76" t="s">
        <v>539</v>
      </c>
      <c r="E76" s="88" t="s">
        <v>128</v>
      </c>
      <c r="F76" s="66" t="s">
        <v>540</v>
      </c>
      <c r="G76" s="66"/>
      <c r="H76" s="66"/>
      <c r="I76" s="66"/>
      <c r="J76" t="s">
        <v>840</v>
      </c>
      <c r="K76" s="88">
        <v>7</v>
      </c>
      <c r="L76" t="s">
        <v>841</v>
      </c>
      <c r="M76"/>
      <c r="N76"/>
      <c r="O76"/>
      <c r="P76">
        <v>1</v>
      </c>
      <c r="Q76"/>
      <c r="R76" t="s">
        <v>759</v>
      </c>
      <c r="S76" t="s">
        <v>733</v>
      </c>
      <c r="T76">
        <v>7.5</v>
      </c>
      <c r="U76" t="s">
        <v>538</v>
      </c>
      <c r="V76" t="s">
        <v>539</v>
      </c>
      <c r="W76" t="s">
        <v>128</v>
      </c>
      <c r="X76"/>
      <c r="Y76"/>
      <c r="Z76"/>
      <c r="AA76"/>
      <c r="AB76" t="s">
        <v>817</v>
      </c>
      <c r="AC76" t="s">
        <v>778</v>
      </c>
      <c r="AD76" s="126">
        <f t="shared" si="7"/>
        <v>7</v>
      </c>
      <c r="AE76" s="123" t="str">
        <f t="shared" si="8"/>
        <v>Nimi hosts [Hidden Gem] Gallery Stroll in South Kensington</v>
      </c>
      <c r="AF76" s="124">
        <f t="shared" si="6"/>
        <v>45395</v>
      </c>
      <c r="AG76" s="123">
        <f t="shared" si="5"/>
        <v>4</v>
      </c>
      <c r="AH76" s="123" t="str">
        <f t="shared" si="4"/>
        <v>WhatsApp</v>
      </c>
      <c r="AJ76" s="123"/>
    </row>
    <row r="77" spans="1:38" ht="15.95" customHeight="1">
      <c r="A77" t="s">
        <v>850</v>
      </c>
      <c r="B77" t="s">
        <v>729</v>
      </c>
      <c r="C77" t="s">
        <v>564</v>
      </c>
      <c r="D77" t="s">
        <v>565</v>
      </c>
      <c r="E77" s="88" t="s">
        <v>135</v>
      </c>
      <c r="F77" s="66" t="s">
        <v>851</v>
      </c>
      <c r="G77" s="66"/>
      <c r="H77" s="66"/>
      <c r="I77" s="66"/>
      <c r="J77" t="s">
        <v>840</v>
      </c>
      <c r="K77" s="88">
        <v>7</v>
      </c>
      <c r="L77" t="s">
        <v>841</v>
      </c>
      <c r="M77"/>
      <c r="N77"/>
      <c r="O77"/>
      <c r="P77">
        <v>1</v>
      </c>
      <c r="Q77"/>
      <c r="R77" t="s">
        <v>759</v>
      </c>
      <c r="S77" t="s">
        <v>733</v>
      </c>
      <c r="T77">
        <v>7.5</v>
      </c>
      <c r="U77" t="s">
        <v>564</v>
      </c>
      <c r="V77" t="s">
        <v>565</v>
      </c>
      <c r="W77" t="s">
        <v>135</v>
      </c>
      <c r="X77"/>
      <c r="Y77"/>
      <c r="Z77"/>
      <c r="AA77"/>
      <c r="AB77" t="s">
        <v>797</v>
      </c>
      <c r="AC77" t="s">
        <v>778</v>
      </c>
      <c r="AD77" s="126">
        <f t="shared" si="7"/>
        <v>7</v>
      </c>
      <c r="AE77" s="123" t="str">
        <f t="shared" si="8"/>
        <v>Nimi hosts [Hidden Gem] Gallery Stroll in South Kensington</v>
      </c>
      <c r="AF77" s="124">
        <f t="shared" si="6"/>
        <v>45395</v>
      </c>
      <c r="AG77" s="123">
        <f t="shared" si="5"/>
        <v>4</v>
      </c>
      <c r="AH77" s="123" t="str">
        <f t="shared" si="4"/>
        <v>oddtdtdirect</v>
      </c>
      <c r="AJ77" s="123"/>
    </row>
    <row r="78" spans="1:38" ht="15.95" customHeight="1">
      <c r="A78" t="s">
        <v>852</v>
      </c>
      <c r="B78" t="s">
        <v>729</v>
      </c>
      <c r="C78" t="s">
        <v>612</v>
      </c>
      <c r="D78" t="s">
        <v>613</v>
      </c>
      <c r="E78" s="88" t="s">
        <v>172</v>
      </c>
      <c r="F78" s="66" t="s">
        <v>853</v>
      </c>
      <c r="G78" s="66"/>
      <c r="H78" s="66"/>
      <c r="I78" s="66"/>
      <c r="J78" t="s">
        <v>840</v>
      </c>
      <c r="K78" s="88">
        <v>7</v>
      </c>
      <c r="L78" t="s">
        <v>841</v>
      </c>
      <c r="M78"/>
      <c r="N78"/>
      <c r="O78"/>
      <c r="P78">
        <v>1</v>
      </c>
      <c r="Q78"/>
      <c r="R78" t="s">
        <v>759</v>
      </c>
      <c r="S78" t="s">
        <v>733</v>
      </c>
      <c r="T78">
        <v>15</v>
      </c>
      <c r="U78" t="s">
        <v>612</v>
      </c>
      <c r="V78" t="s">
        <v>613</v>
      </c>
      <c r="W78" t="s">
        <v>172</v>
      </c>
      <c r="X78"/>
      <c r="Y78"/>
      <c r="Z78"/>
      <c r="AA78"/>
      <c r="AB78" t="s">
        <v>817</v>
      </c>
      <c r="AC78"/>
      <c r="AD78" s="126">
        <f t="shared" si="7"/>
        <v>7</v>
      </c>
      <c r="AE78" s="123" t="str">
        <f t="shared" si="8"/>
        <v>Nimi hosts [Hidden Gem] Gallery Stroll in South Kensington</v>
      </c>
      <c r="AF78" s="124">
        <f t="shared" si="6"/>
        <v>45395</v>
      </c>
      <c r="AG78" s="123">
        <f t="shared" si="5"/>
        <v>4</v>
      </c>
      <c r="AH78" s="123" t="str">
        <f t="shared" si="4"/>
        <v>WhatsApp</v>
      </c>
      <c r="AJ78" s="123"/>
    </row>
    <row r="79" spans="1:38" ht="15.95" customHeight="1">
      <c r="A79" t="s">
        <v>854</v>
      </c>
      <c r="B79" t="s">
        <v>729</v>
      </c>
      <c r="C79" t="s">
        <v>370</v>
      </c>
      <c r="D79" t="s">
        <v>370</v>
      </c>
      <c r="E79" s="88" t="s">
        <v>141</v>
      </c>
      <c r="F79" s="66" t="s">
        <v>371</v>
      </c>
      <c r="G79" s="66"/>
      <c r="H79" s="66"/>
      <c r="I79" s="66"/>
      <c r="J79" t="s">
        <v>840</v>
      </c>
      <c r="K79" s="88">
        <v>9</v>
      </c>
      <c r="L79" t="s">
        <v>855</v>
      </c>
      <c r="M79"/>
      <c r="N79"/>
      <c r="O79"/>
      <c r="P79">
        <v>1</v>
      </c>
      <c r="Q79"/>
      <c r="R79" t="s">
        <v>759</v>
      </c>
      <c r="S79" t="s">
        <v>733</v>
      </c>
      <c r="T79">
        <v>0</v>
      </c>
      <c r="U79" t="s">
        <v>370</v>
      </c>
      <c r="V79" t="s">
        <v>370</v>
      </c>
      <c r="W79" t="s">
        <v>141</v>
      </c>
      <c r="X79"/>
      <c r="Y79"/>
      <c r="Z79"/>
      <c r="AA79"/>
      <c r="AB79"/>
      <c r="AC79"/>
      <c r="AD79" s="126">
        <f t="shared" si="7"/>
        <v>9</v>
      </c>
      <c r="AE79" s="123" t="str">
        <f t="shared" si="8"/>
        <v>Nimi hosts [Hidden Gem] Gallery Stroll in South Kensington</v>
      </c>
      <c r="AF79" s="124">
        <f t="shared" si="6"/>
        <v>45402</v>
      </c>
      <c r="AG79" s="123">
        <f t="shared" si="5"/>
        <v>4</v>
      </c>
      <c r="AH79" s="123">
        <f t="shared" si="4"/>
        <v>0</v>
      </c>
      <c r="AJ79" s="123"/>
    </row>
    <row r="80" spans="1:38" ht="15.95" customHeight="1">
      <c r="A80" t="s">
        <v>856</v>
      </c>
      <c r="B80" t="s">
        <v>729</v>
      </c>
      <c r="C80" t="s">
        <v>375</v>
      </c>
      <c r="D80" t="s">
        <v>376</v>
      </c>
      <c r="E80" s="88" t="s">
        <v>122</v>
      </c>
      <c r="F80" s="66" t="s">
        <v>377</v>
      </c>
      <c r="G80" s="66"/>
      <c r="H80" s="66"/>
      <c r="I80" s="66"/>
      <c r="J80" t="s">
        <v>840</v>
      </c>
      <c r="K80" s="88">
        <v>9</v>
      </c>
      <c r="L80" t="s">
        <v>855</v>
      </c>
      <c r="M80"/>
      <c r="N80"/>
      <c r="O80"/>
      <c r="P80">
        <v>1</v>
      </c>
      <c r="Q80"/>
      <c r="R80" t="s">
        <v>759</v>
      </c>
      <c r="S80" t="s">
        <v>733</v>
      </c>
      <c r="T80">
        <v>0</v>
      </c>
      <c r="U80" t="s">
        <v>375</v>
      </c>
      <c r="V80" t="s">
        <v>376</v>
      </c>
      <c r="W80" t="s">
        <v>122</v>
      </c>
      <c r="X80"/>
      <c r="Y80"/>
      <c r="Z80"/>
      <c r="AA80"/>
      <c r="AB80"/>
      <c r="AC80"/>
      <c r="AD80" s="126">
        <f t="shared" si="7"/>
        <v>9</v>
      </c>
      <c r="AE80" s="123" t="str">
        <f t="shared" si="8"/>
        <v>Nimi hosts [Hidden Gem] Gallery Stroll in South Kensington</v>
      </c>
      <c r="AF80" s="124">
        <f t="shared" si="6"/>
        <v>45402</v>
      </c>
      <c r="AG80" s="123">
        <f t="shared" si="5"/>
        <v>4</v>
      </c>
      <c r="AH80" s="123">
        <f t="shared" si="4"/>
        <v>0</v>
      </c>
      <c r="AJ80" s="123"/>
    </row>
    <row r="81" spans="1:36" ht="15.95" customHeight="1">
      <c r="A81" t="s">
        <v>857</v>
      </c>
      <c r="B81" t="s">
        <v>729</v>
      </c>
      <c r="C81" t="s">
        <v>417</v>
      </c>
      <c r="D81" t="s">
        <v>418</v>
      </c>
      <c r="E81" s="88" t="s">
        <v>148</v>
      </c>
      <c r="F81" s="66" t="s">
        <v>419</v>
      </c>
      <c r="G81" s="66"/>
      <c r="H81" s="66"/>
      <c r="I81" s="66"/>
      <c r="J81" t="s">
        <v>840</v>
      </c>
      <c r="K81" s="88">
        <v>9</v>
      </c>
      <c r="L81" t="s">
        <v>855</v>
      </c>
      <c r="M81"/>
      <c r="N81"/>
      <c r="O81"/>
      <c r="P81">
        <v>1</v>
      </c>
      <c r="Q81"/>
      <c r="R81" t="s">
        <v>759</v>
      </c>
      <c r="S81" t="s">
        <v>733</v>
      </c>
      <c r="T81">
        <v>0</v>
      </c>
      <c r="U81" t="s">
        <v>417</v>
      </c>
      <c r="V81" t="s">
        <v>418</v>
      </c>
      <c r="W81" t="s">
        <v>148</v>
      </c>
      <c r="X81"/>
      <c r="Y81"/>
      <c r="Z81"/>
      <c r="AA81"/>
      <c r="AB81"/>
      <c r="AC81"/>
      <c r="AD81" s="126">
        <f t="shared" si="7"/>
        <v>9</v>
      </c>
      <c r="AE81" s="123" t="str">
        <f t="shared" si="8"/>
        <v>Nimi hosts [Hidden Gem] Gallery Stroll in South Kensington</v>
      </c>
      <c r="AF81" s="124">
        <f t="shared" si="6"/>
        <v>45402</v>
      </c>
      <c r="AG81" s="123">
        <f t="shared" si="5"/>
        <v>4</v>
      </c>
      <c r="AH81" s="123">
        <f t="shared" si="4"/>
        <v>0</v>
      </c>
      <c r="AJ81" s="123"/>
    </row>
    <row r="82" spans="1:36" ht="15.95" customHeight="1">
      <c r="A82" t="s">
        <v>858</v>
      </c>
      <c r="B82" t="s">
        <v>729</v>
      </c>
      <c r="C82" t="s">
        <v>443</v>
      </c>
      <c r="D82" t="s">
        <v>808</v>
      </c>
      <c r="E82" s="88" t="s">
        <v>161</v>
      </c>
      <c r="F82" s="66" t="s">
        <v>859</v>
      </c>
      <c r="G82" s="66"/>
      <c r="H82" s="66"/>
      <c r="I82" s="66"/>
      <c r="J82" t="s">
        <v>840</v>
      </c>
      <c r="K82" s="88">
        <v>9</v>
      </c>
      <c r="L82" t="s">
        <v>855</v>
      </c>
      <c r="M82"/>
      <c r="N82"/>
      <c r="O82"/>
      <c r="P82">
        <v>1</v>
      </c>
      <c r="Q82"/>
      <c r="R82" t="s">
        <v>759</v>
      </c>
      <c r="S82" t="s">
        <v>733</v>
      </c>
      <c r="T82">
        <v>15</v>
      </c>
      <c r="U82" t="s">
        <v>443</v>
      </c>
      <c r="V82" t="s">
        <v>808</v>
      </c>
      <c r="W82" t="s">
        <v>161</v>
      </c>
      <c r="X82"/>
      <c r="Y82"/>
      <c r="Z82"/>
      <c r="AA82"/>
      <c r="AB82" t="s">
        <v>817</v>
      </c>
      <c r="AC82"/>
      <c r="AD82" s="126">
        <f t="shared" si="7"/>
        <v>9</v>
      </c>
      <c r="AE82" s="123" t="str">
        <f t="shared" si="8"/>
        <v>Nimi hosts [Hidden Gem] Gallery Stroll in South Kensington</v>
      </c>
      <c r="AF82" s="124">
        <f t="shared" si="6"/>
        <v>45402</v>
      </c>
      <c r="AG82" s="123">
        <f t="shared" si="5"/>
        <v>4</v>
      </c>
      <c r="AH82" s="123" t="str">
        <f t="shared" si="4"/>
        <v>WhatsApp</v>
      </c>
      <c r="AJ82" s="123"/>
    </row>
    <row r="83" spans="1:36" ht="15.95" customHeight="1">
      <c r="A83" t="s">
        <v>860</v>
      </c>
      <c r="B83" t="s">
        <v>729</v>
      </c>
      <c r="C83" t="s">
        <v>453</v>
      </c>
      <c r="D83" t="s">
        <v>454</v>
      </c>
      <c r="E83" s="88" t="s">
        <v>180</v>
      </c>
      <c r="F83" s="66" t="s">
        <v>455</v>
      </c>
      <c r="G83" s="66"/>
      <c r="H83" s="66"/>
      <c r="I83" s="66"/>
      <c r="J83" t="s">
        <v>840</v>
      </c>
      <c r="K83" s="88">
        <v>9</v>
      </c>
      <c r="L83" t="s">
        <v>855</v>
      </c>
      <c r="M83"/>
      <c r="N83"/>
      <c r="O83"/>
      <c r="P83">
        <v>1</v>
      </c>
      <c r="Q83"/>
      <c r="R83" t="s">
        <v>759</v>
      </c>
      <c r="S83" t="s">
        <v>733</v>
      </c>
      <c r="T83">
        <v>10</v>
      </c>
      <c r="U83" t="s">
        <v>453</v>
      </c>
      <c r="V83" t="s">
        <v>454</v>
      </c>
      <c r="W83" t="s">
        <v>180</v>
      </c>
      <c r="X83"/>
      <c r="Y83"/>
      <c r="Z83"/>
      <c r="AA83"/>
      <c r="AB83" t="s">
        <v>817</v>
      </c>
      <c r="AC83" t="s">
        <v>780</v>
      </c>
      <c r="AD83" s="126">
        <f t="shared" si="7"/>
        <v>9</v>
      </c>
      <c r="AE83" s="123" t="str">
        <f t="shared" si="8"/>
        <v>Nimi hosts [Hidden Gem] Gallery Stroll in South Kensington</v>
      </c>
      <c r="AF83" s="124">
        <f t="shared" si="6"/>
        <v>45402</v>
      </c>
      <c r="AG83" s="123">
        <f t="shared" si="5"/>
        <v>4</v>
      </c>
      <c r="AH83" s="123" t="str">
        <f t="shared" si="4"/>
        <v>WhatsApp</v>
      </c>
      <c r="AJ83" s="123"/>
    </row>
    <row r="84" spans="1:36" ht="15.95" customHeight="1">
      <c r="A84" s="127"/>
      <c r="B84" s="31" t="s">
        <v>729</v>
      </c>
      <c r="C84" s="31" t="s">
        <v>453</v>
      </c>
      <c r="J84" t="s">
        <v>840</v>
      </c>
      <c r="K84" s="88">
        <v>9</v>
      </c>
      <c r="L84" t="s">
        <v>855</v>
      </c>
      <c r="M84"/>
      <c r="N84"/>
      <c r="O84"/>
      <c r="P84">
        <v>1</v>
      </c>
      <c r="Q84"/>
      <c r="R84" s="31" t="s">
        <v>815</v>
      </c>
      <c r="AB84" s="31" t="s">
        <v>815</v>
      </c>
      <c r="AD84" s="126">
        <f t="shared" si="7"/>
        <v>9</v>
      </c>
      <c r="AE84" s="123" t="str">
        <f t="shared" si="8"/>
        <v>Nimi hosts [Hidden Gem] Gallery Stroll in South Kensington</v>
      </c>
      <c r="AF84" s="124">
        <f t="shared" si="6"/>
        <v>45402</v>
      </c>
      <c r="AG84" s="123">
        <f t="shared" si="5"/>
        <v>4</v>
      </c>
      <c r="AH84" s="123" t="str">
        <f t="shared" si="4"/>
        <v>Meetup</v>
      </c>
      <c r="AJ84" s="123"/>
    </row>
    <row r="85" spans="1:36" ht="15.95" customHeight="1">
      <c r="A85" t="s">
        <v>861</v>
      </c>
      <c r="B85" t="s">
        <v>729</v>
      </c>
      <c r="C85" t="s">
        <v>456</v>
      </c>
      <c r="D85" t="s">
        <v>457</v>
      </c>
      <c r="E85" s="88" t="s">
        <v>179</v>
      </c>
      <c r="F85" s="66" t="s">
        <v>458</v>
      </c>
      <c r="G85" s="66"/>
      <c r="H85" s="66"/>
      <c r="I85" s="66"/>
      <c r="J85" t="s">
        <v>840</v>
      </c>
      <c r="K85" s="88">
        <v>9</v>
      </c>
      <c r="L85" t="s">
        <v>855</v>
      </c>
      <c r="M85"/>
      <c r="N85"/>
      <c r="O85"/>
      <c r="P85">
        <v>1</v>
      </c>
      <c r="Q85"/>
      <c r="R85" t="s">
        <v>759</v>
      </c>
      <c r="S85" t="s">
        <v>733</v>
      </c>
      <c r="T85">
        <v>15</v>
      </c>
      <c r="U85" t="s">
        <v>456</v>
      </c>
      <c r="V85" t="s">
        <v>457</v>
      </c>
      <c r="W85" t="s">
        <v>179</v>
      </c>
      <c r="X85"/>
      <c r="Y85"/>
      <c r="Z85"/>
      <c r="AA85"/>
      <c r="AB85" t="s">
        <v>862</v>
      </c>
      <c r="AC85"/>
      <c r="AD85" s="126">
        <f t="shared" si="7"/>
        <v>9</v>
      </c>
      <c r="AE85" s="123" t="str">
        <f t="shared" si="8"/>
        <v>Nimi hosts [Hidden Gem] Gallery Stroll in South Kensington</v>
      </c>
      <c r="AF85" s="124">
        <f t="shared" si="6"/>
        <v>45402</v>
      </c>
      <c r="AG85" s="123">
        <f t="shared" si="5"/>
        <v>4</v>
      </c>
      <c r="AH85" s="123" t="str">
        <f t="shared" si="4"/>
        <v>ebeseaorganizationprofile</v>
      </c>
      <c r="AJ85" s="123"/>
    </row>
    <row r="86" spans="1:36" ht="15.95" customHeight="1">
      <c r="A86" t="s">
        <v>863</v>
      </c>
      <c r="B86" t="s">
        <v>729</v>
      </c>
      <c r="C86" t="s">
        <v>473</v>
      </c>
      <c r="D86" t="s">
        <v>474</v>
      </c>
      <c r="E86" s="88" t="s">
        <v>131</v>
      </c>
      <c r="F86" s="66" t="s">
        <v>475</v>
      </c>
      <c r="G86" s="66"/>
      <c r="H86" s="66"/>
      <c r="I86" s="66"/>
      <c r="J86" t="s">
        <v>840</v>
      </c>
      <c r="K86" s="88">
        <v>9</v>
      </c>
      <c r="L86" t="s">
        <v>855</v>
      </c>
      <c r="M86"/>
      <c r="N86"/>
      <c r="O86"/>
      <c r="P86">
        <v>1</v>
      </c>
      <c r="Q86"/>
      <c r="R86" t="s">
        <v>759</v>
      </c>
      <c r="S86" t="s">
        <v>733</v>
      </c>
      <c r="T86">
        <v>7.5</v>
      </c>
      <c r="U86" t="s">
        <v>473</v>
      </c>
      <c r="V86" t="s">
        <v>474</v>
      </c>
      <c r="W86" t="s">
        <v>131</v>
      </c>
      <c r="X86"/>
      <c r="Y86"/>
      <c r="Z86"/>
      <c r="AA86"/>
      <c r="AB86" t="s">
        <v>817</v>
      </c>
      <c r="AC86" t="s">
        <v>778</v>
      </c>
      <c r="AD86" s="126">
        <f t="shared" si="7"/>
        <v>9</v>
      </c>
      <c r="AE86" s="123" t="str">
        <f t="shared" si="8"/>
        <v>Nimi hosts [Hidden Gem] Gallery Stroll in South Kensington</v>
      </c>
      <c r="AF86" s="124">
        <f t="shared" si="6"/>
        <v>45402</v>
      </c>
      <c r="AG86" s="123">
        <f t="shared" si="5"/>
        <v>4</v>
      </c>
      <c r="AH86" s="123" t="str">
        <f t="shared" si="4"/>
        <v>WhatsApp</v>
      </c>
      <c r="AJ86" s="123"/>
    </row>
    <row r="87" spans="1:36" ht="15.95" customHeight="1">
      <c r="A87" t="s">
        <v>864</v>
      </c>
      <c r="B87" t="s">
        <v>729</v>
      </c>
      <c r="C87" t="s">
        <v>482</v>
      </c>
      <c r="D87" t="s">
        <v>483</v>
      </c>
      <c r="E87" s="88" t="s">
        <v>136</v>
      </c>
      <c r="F87" s="66" t="s">
        <v>484</v>
      </c>
      <c r="G87" s="66"/>
      <c r="H87" s="66"/>
      <c r="I87" s="66"/>
      <c r="J87" t="s">
        <v>840</v>
      </c>
      <c r="K87" s="88">
        <v>9</v>
      </c>
      <c r="L87" t="s">
        <v>855</v>
      </c>
      <c r="M87"/>
      <c r="N87"/>
      <c r="O87"/>
      <c r="P87">
        <v>1</v>
      </c>
      <c r="Q87"/>
      <c r="R87" t="s">
        <v>759</v>
      </c>
      <c r="S87" t="s">
        <v>733</v>
      </c>
      <c r="T87">
        <v>15</v>
      </c>
      <c r="U87" t="s">
        <v>482</v>
      </c>
      <c r="V87" t="s">
        <v>483</v>
      </c>
      <c r="W87" t="s">
        <v>136</v>
      </c>
      <c r="X87"/>
      <c r="Y87"/>
      <c r="Z87"/>
      <c r="AA87"/>
      <c r="AB87" t="s">
        <v>817</v>
      </c>
      <c r="AC87"/>
      <c r="AD87" s="126">
        <f t="shared" si="7"/>
        <v>9</v>
      </c>
      <c r="AE87" s="123" t="str">
        <f t="shared" si="8"/>
        <v>Nimi hosts [Hidden Gem] Gallery Stroll in South Kensington</v>
      </c>
      <c r="AF87" s="124">
        <f t="shared" si="6"/>
        <v>45402</v>
      </c>
      <c r="AG87" s="123">
        <f t="shared" si="5"/>
        <v>4</v>
      </c>
      <c r="AH87" s="123" t="str">
        <f t="shared" si="4"/>
        <v>WhatsApp</v>
      </c>
      <c r="AJ87" s="123"/>
    </row>
    <row r="88" spans="1:36" ht="15.95" customHeight="1">
      <c r="A88" t="s">
        <v>865</v>
      </c>
      <c r="B88" t="s">
        <v>729</v>
      </c>
      <c r="C88" t="s">
        <v>506</v>
      </c>
      <c r="D88" t="s">
        <v>507</v>
      </c>
      <c r="E88" s="88" t="s">
        <v>178</v>
      </c>
      <c r="F88" s="66" t="s">
        <v>508</v>
      </c>
      <c r="G88" s="66"/>
      <c r="H88" s="66"/>
      <c r="I88" s="66"/>
      <c r="J88" t="s">
        <v>840</v>
      </c>
      <c r="K88" s="88">
        <v>9</v>
      </c>
      <c r="L88" t="s">
        <v>855</v>
      </c>
      <c r="M88"/>
      <c r="N88"/>
      <c r="O88"/>
      <c r="P88">
        <v>1</v>
      </c>
      <c r="Q88"/>
      <c r="R88" t="s">
        <v>759</v>
      </c>
      <c r="S88" t="s">
        <v>733</v>
      </c>
      <c r="T88">
        <v>15</v>
      </c>
      <c r="U88" t="s">
        <v>506</v>
      </c>
      <c r="V88" t="s">
        <v>507</v>
      </c>
      <c r="W88" t="s">
        <v>178</v>
      </c>
      <c r="X88"/>
      <c r="Y88"/>
      <c r="Z88"/>
      <c r="AA88"/>
      <c r="AB88" t="s">
        <v>817</v>
      </c>
      <c r="AC88"/>
      <c r="AD88" s="126">
        <f t="shared" si="7"/>
        <v>9</v>
      </c>
      <c r="AE88" s="123" t="str">
        <f t="shared" si="8"/>
        <v>Nimi hosts [Hidden Gem] Gallery Stroll in South Kensington</v>
      </c>
      <c r="AF88" s="124">
        <f t="shared" si="6"/>
        <v>45402</v>
      </c>
      <c r="AG88" s="123">
        <f t="shared" si="5"/>
        <v>4</v>
      </c>
      <c r="AH88" s="123" t="str">
        <f t="shared" si="4"/>
        <v>WhatsApp</v>
      </c>
      <c r="AJ88" s="123"/>
    </row>
    <row r="89" spans="1:36" ht="15.95" customHeight="1">
      <c r="A89" t="s">
        <v>866</v>
      </c>
      <c r="B89" t="s">
        <v>729</v>
      </c>
      <c r="C89" t="s">
        <v>564</v>
      </c>
      <c r="D89" t="s">
        <v>565</v>
      </c>
      <c r="E89" s="88" t="s">
        <v>135</v>
      </c>
      <c r="F89" s="66" t="s">
        <v>566</v>
      </c>
      <c r="G89" s="66"/>
      <c r="H89" s="66"/>
      <c r="I89" s="66"/>
      <c r="J89" t="s">
        <v>840</v>
      </c>
      <c r="K89" s="88">
        <v>9</v>
      </c>
      <c r="L89" t="s">
        <v>855</v>
      </c>
      <c r="M89"/>
      <c r="N89"/>
      <c r="O89"/>
      <c r="P89">
        <v>1</v>
      </c>
      <c r="Q89"/>
      <c r="R89" t="s">
        <v>759</v>
      </c>
      <c r="S89" t="s">
        <v>733</v>
      </c>
      <c r="T89">
        <v>0</v>
      </c>
      <c r="U89" t="s">
        <v>564</v>
      </c>
      <c r="V89" t="s">
        <v>565</v>
      </c>
      <c r="W89" t="s">
        <v>135</v>
      </c>
      <c r="X89"/>
      <c r="Y89"/>
      <c r="Z89"/>
      <c r="AA89"/>
      <c r="AB89"/>
      <c r="AC89"/>
      <c r="AD89" s="126">
        <f t="shared" si="7"/>
        <v>9</v>
      </c>
      <c r="AE89" s="123" t="str">
        <f t="shared" si="8"/>
        <v>Nimi hosts [Hidden Gem] Gallery Stroll in South Kensington</v>
      </c>
      <c r="AF89" s="124">
        <f t="shared" si="6"/>
        <v>45402</v>
      </c>
      <c r="AG89" s="123">
        <f t="shared" si="5"/>
        <v>4</v>
      </c>
      <c r="AH89" s="123">
        <f t="shared" si="4"/>
        <v>0</v>
      </c>
      <c r="AJ89" s="123"/>
    </row>
    <row r="90" spans="1:36" ht="15.95" customHeight="1">
      <c r="A90" t="s">
        <v>867</v>
      </c>
      <c r="B90" t="s">
        <v>729</v>
      </c>
      <c r="C90" t="s">
        <v>619</v>
      </c>
      <c r="D90" t="s">
        <v>620</v>
      </c>
      <c r="E90" s="88" t="s">
        <v>169</v>
      </c>
      <c r="F90" s="66" t="s">
        <v>621</v>
      </c>
      <c r="G90" s="66"/>
      <c r="H90" s="66"/>
      <c r="I90" s="66"/>
      <c r="J90" t="s">
        <v>840</v>
      </c>
      <c r="K90" s="88">
        <v>9</v>
      </c>
      <c r="L90" t="s">
        <v>855</v>
      </c>
      <c r="M90"/>
      <c r="N90"/>
      <c r="O90"/>
      <c r="P90">
        <v>1</v>
      </c>
      <c r="Q90"/>
      <c r="R90" t="s">
        <v>759</v>
      </c>
      <c r="S90" t="s">
        <v>733</v>
      </c>
      <c r="T90">
        <v>0</v>
      </c>
      <c r="U90" t="s">
        <v>619</v>
      </c>
      <c r="V90" t="s">
        <v>620</v>
      </c>
      <c r="W90" t="s">
        <v>169</v>
      </c>
      <c r="X90"/>
      <c r="Y90"/>
      <c r="Z90"/>
      <c r="AA90"/>
      <c r="AB90"/>
      <c r="AC90"/>
      <c r="AD90" s="126">
        <f t="shared" si="7"/>
        <v>9</v>
      </c>
      <c r="AE90" s="123" t="str">
        <f t="shared" si="8"/>
        <v>Nimi hosts [Hidden Gem] Gallery Stroll in South Kensington</v>
      </c>
      <c r="AF90" s="124">
        <f t="shared" si="6"/>
        <v>45402</v>
      </c>
      <c r="AG90" s="123">
        <f t="shared" si="5"/>
        <v>4</v>
      </c>
      <c r="AH90" s="123">
        <f t="shared" si="4"/>
        <v>0</v>
      </c>
      <c r="AJ90" s="123"/>
    </row>
    <row r="91" spans="1:36" ht="15.95" customHeight="1">
      <c r="A91" t="s">
        <v>868</v>
      </c>
      <c r="B91" t="s">
        <v>729</v>
      </c>
      <c r="C91" t="s">
        <v>336</v>
      </c>
      <c r="D91" t="s">
        <v>337</v>
      </c>
      <c r="E91" s="88" t="s">
        <v>175</v>
      </c>
      <c r="F91" s="66" t="s">
        <v>338</v>
      </c>
      <c r="G91" s="66"/>
      <c r="H91" s="66"/>
      <c r="I91" s="66"/>
      <c r="J91" t="s">
        <v>869</v>
      </c>
      <c r="K91" s="88">
        <v>8</v>
      </c>
      <c r="L91" t="s">
        <v>870</v>
      </c>
      <c r="M91"/>
      <c r="N91"/>
      <c r="O91"/>
      <c r="P91">
        <v>1</v>
      </c>
      <c r="Q91"/>
      <c r="R91" t="s">
        <v>871</v>
      </c>
      <c r="S91" t="s">
        <v>733</v>
      </c>
      <c r="T91">
        <v>27</v>
      </c>
      <c r="U91" t="s">
        <v>336</v>
      </c>
      <c r="V91" t="s">
        <v>337</v>
      </c>
      <c r="W91" t="s">
        <v>175</v>
      </c>
      <c r="X91"/>
      <c r="Y91"/>
      <c r="Z91"/>
      <c r="AA91"/>
      <c r="AB91" t="s">
        <v>797</v>
      </c>
      <c r="AC91"/>
      <c r="AD91" s="126">
        <f t="shared" si="7"/>
        <v>8</v>
      </c>
      <c r="AE91" s="123" t="str">
        <f t="shared" si="8"/>
        <v>Nimi hosts [Blockbuster] Visit Yoko Ono at Tate Modern</v>
      </c>
      <c r="AF91" s="124">
        <f t="shared" si="6"/>
        <v>45403</v>
      </c>
      <c r="AG91" s="123">
        <f t="shared" si="5"/>
        <v>4</v>
      </c>
      <c r="AH91" s="123" t="str">
        <f t="shared" si="4"/>
        <v>oddtdtdirect</v>
      </c>
      <c r="AJ91" s="123"/>
    </row>
    <row r="92" spans="1:36" ht="15.95" customHeight="1">
      <c r="A92" t="s">
        <v>872</v>
      </c>
      <c r="B92" t="s">
        <v>729</v>
      </c>
      <c r="C92" t="s">
        <v>531</v>
      </c>
      <c r="D92" t="s">
        <v>532</v>
      </c>
      <c r="E92" s="88" t="s">
        <v>177</v>
      </c>
      <c r="F92" s="66" t="s">
        <v>533</v>
      </c>
      <c r="G92" s="66"/>
      <c r="H92" s="66"/>
      <c r="I92" s="66"/>
      <c r="J92" t="s">
        <v>869</v>
      </c>
      <c r="K92" s="88">
        <v>8</v>
      </c>
      <c r="L92" t="s">
        <v>870</v>
      </c>
      <c r="M92"/>
      <c r="N92"/>
      <c r="O92"/>
      <c r="P92">
        <v>1</v>
      </c>
      <c r="Q92"/>
      <c r="R92" t="s">
        <v>871</v>
      </c>
      <c r="S92" t="s">
        <v>733</v>
      </c>
      <c r="T92">
        <v>27</v>
      </c>
      <c r="U92" t="s">
        <v>531</v>
      </c>
      <c r="V92" t="s">
        <v>532</v>
      </c>
      <c r="W92" t="s">
        <v>177</v>
      </c>
      <c r="X92"/>
      <c r="Y92"/>
      <c r="Z92"/>
      <c r="AA92"/>
      <c r="AB92" t="s">
        <v>819</v>
      </c>
      <c r="AC92"/>
      <c r="AD92" s="126">
        <f t="shared" si="7"/>
        <v>8</v>
      </c>
      <c r="AE92" s="123" t="str">
        <f t="shared" si="8"/>
        <v>Nimi hosts [Blockbuster] Visit Yoko Ono at Tate Modern</v>
      </c>
      <c r="AF92" s="124">
        <f t="shared" si="6"/>
        <v>45403</v>
      </c>
      <c r="AG92" s="123">
        <f t="shared" si="5"/>
        <v>4</v>
      </c>
      <c r="AH92" s="123" t="str">
        <f t="shared" si="4"/>
        <v>ebesesdeeplink</v>
      </c>
      <c r="AJ92" s="123"/>
    </row>
    <row r="93" spans="1:36" ht="15.95" customHeight="1">
      <c r="A93" t="s">
        <v>873</v>
      </c>
      <c r="B93" t="s">
        <v>729</v>
      </c>
      <c r="C93" t="s">
        <v>541</v>
      </c>
      <c r="D93" t="s">
        <v>542</v>
      </c>
      <c r="E93" s="88" t="s">
        <v>123</v>
      </c>
      <c r="F93" s="66" t="s">
        <v>543</v>
      </c>
      <c r="G93" s="66"/>
      <c r="H93" s="66"/>
      <c r="I93" s="66"/>
      <c r="J93" t="s">
        <v>869</v>
      </c>
      <c r="K93" s="88">
        <v>8</v>
      </c>
      <c r="L93" t="s">
        <v>870</v>
      </c>
      <c r="M93"/>
      <c r="N93"/>
      <c r="O93"/>
      <c r="P93">
        <v>1</v>
      </c>
      <c r="Q93"/>
      <c r="R93" t="s">
        <v>871</v>
      </c>
      <c r="S93" t="s">
        <v>733</v>
      </c>
      <c r="T93">
        <v>0</v>
      </c>
      <c r="U93" t="s">
        <v>541</v>
      </c>
      <c r="V93" t="s">
        <v>542</v>
      </c>
      <c r="W93" t="s">
        <v>123</v>
      </c>
      <c r="X93"/>
      <c r="Y93"/>
      <c r="Z93"/>
      <c r="AA93"/>
      <c r="AB93" t="s">
        <v>874</v>
      </c>
      <c r="AC93" t="s">
        <v>875</v>
      </c>
      <c r="AD93" s="126">
        <f t="shared" si="7"/>
        <v>8</v>
      </c>
      <c r="AE93" s="123" t="str">
        <f t="shared" si="8"/>
        <v>Nimi hosts [Blockbuster] Visit Yoko Ono at Tate Modern</v>
      </c>
      <c r="AF93" s="124">
        <f t="shared" si="6"/>
        <v>45403</v>
      </c>
      <c r="AG93" s="123">
        <f t="shared" si="5"/>
        <v>4</v>
      </c>
      <c r="AH93" s="123" t="str">
        <f t="shared" si="4"/>
        <v>ebesessearch</v>
      </c>
      <c r="AJ93" s="123"/>
    </row>
    <row r="94" spans="1:36" ht="15.95" customHeight="1">
      <c r="A94" t="s">
        <v>876</v>
      </c>
      <c r="B94" t="s">
        <v>729</v>
      </c>
      <c r="C94" t="s">
        <v>561</v>
      </c>
      <c r="D94" t="s">
        <v>562</v>
      </c>
      <c r="E94" s="88" t="s">
        <v>181</v>
      </c>
      <c r="F94" s="66" t="s">
        <v>563</v>
      </c>
      <c r="G94" s="66"/>
      <c r="H94" s="66"/>
      <c r="I94" s="66"/>
      <c r="J94" t="s">
        <v>869</v>
      </c>
      <c r="K94" s="88">
        <v>8</v>
      </c>
      <c r="L94" t="s">
        <v>870</v>
      </c>
      <c r="M94"/>
      <c r="N94"/>
      <c r="O94"/>
      <c r="P94">
        <v>1</v>
      </c>
      <c r="Q94"/>
      <c r="R94" t="s">
        <v>877</v>
      </c>
      <c r="S94" t="s">
        <v>733</v>
      </c>
      <c r="T94">
        <v>5</v>
      </c>
      <c r="U94" t="s">
        <v>561</v>
      </c>
      <c r="V94" t="s">
        <v>562</v>
      </c>
      <c r="W94" t="s">
        <v>181</v>
      </c>
      <c r="X94"/>
      <c r="Y94"/>
      <c r="Z94"/>
      <c r="AA94"/>
      <c r="AB94" t="s">
        <v>817</v>
      </c>
      <c r="AC94"/>
      <c r="AD94" s="126">
        <f t="shared" si="7"/>
        <v>8</v>
      </c>
      <c r="AE94" s="123" t="str">
        <f t="shared" si="8"/>
        <v>Nimi hosts [Blockbuster] Visit Yoko Ono at Tate Modern</v>
      </c>
      <c r="AF94" s="124">
        <f t="shared" si="6"/>
        <v>45403</v>
      </c>
      <c r="AG94" s="123">
        <f t="shared" si="5"/>
        <v>4</v>
      </c>
      <c r="AH94" s="123" t="str">
        <f t="shared" si="4"/>
        <v>WhatsApp</v>
      </c>
      <c r="AJ94" s="123"/>
    </row>
    <row r="95" spans="1:36" ht="15.95" customHeight="1">
      <c r="A95" t="s">
        <v>878</v>
      </c>
      <c r="B95" t="s">
        <v>729</v>
      </c>
      <c r="C95" t="s">
        <v>879</v>
      </c>
      <c r="D95" t="s">
        <v>603</v>
      </c>
      <c r="E95" s="88" t="s">
        <v>176</v>
      </c>
      <c r="F95" s="66" t="s">
        <v>604</v>
      </c>
      <c r="G95" s="66"/>
      <c r="H95" s="66"/>
      <c r="I95" s="66"/>
      <c r="J95" t="s">
        <v>869</v>
      </c>
      <c r="K95" s="88">
        <v>8</v>
      </c>
      <c r="L95" t="s">
        <v>870</v>
      </c>
      <c r="M95"/>
      <c r="N95"/>
      <c r="O95"/>
      <c r="P95">
        <v>1</v>
      </c>
      <c r="Q95"/>
      <c r="R95" t="s">
        <v>871</v>
      </c>
      <c r="S95" t="s">
        <v>733</v>
      </c>
      <c r="T95">
        <v>27</v>
      </c>
      <c r="U95" t="s">
        <v>879</v>
      </c>
      <c r="V95" t="s">
        <v>603</v>
      </c>
      <c r="W95" t="s">
        <v>176</v>
      </c>
      <c r="X95"/>
      <c r="Y95"/>
      <c r="Z95"/>
      <c r="AA95"/>
      <c r="AB95" t="s">
        <v>817</v>
      </c>
      <c r="AC95"/>
      <c r="AD95" s="126">
        <f t="shared" si="7"/>
        <v>8</v>
      </c>
      <c r="AE95" s="123" t="str">
        <f t="shared" si="8"/>
        <v>Nimi hosts [Blockbuster] Visit Yoko Ono at Tate Modern</v>
      </c>
      <c r="AF95" s="124">
        <f t="shared" si="6"/>
        <v>45403</v>
      </c>
      <c r="AG95" s="123">
        <f t="shared" ref="AG95:AG126" si="9">MONTH(AF95)</f>
        <v>4</v>
      </c>
      <c r="AH95" s="123" t="str">
        <f t="shared" si="4"/>
        <v>WhatsApp</v>
      </c>
      <c r="AJ95" s="123"/>
    </row>
    <row r="96" spans="1:36" ht="15.95" customHeight="1">
      <c r="A96" t="s">
        <v>880</v>
      </c>
      <c r="B96" t="s">
        <v>749</v>
      </c>
      <c r="C96" t="s">
        <v>430</v>
      </c>
      <c r="D96" t="s">
        <v>431</v>
      </c>
      <c r="E96" s="88" t="s">
        <v>429</v>
      </c>
      <c r="F96" s="66" t="s">
        <v>881</v>
      </c>
      <c r="G96" s="66"/>
      <c r="H96" s="66"/>
      <c r="I96" s="66"/>
      <c r="J96" t="s">
        <v>882</v>
      </c>
      <c r="K96" s="88">
        <v>12</v>
      </c>
      <c r="L96" t="s">
        <v>883</v>
      </c>
      <c r="M96"/>
      <c r="N96"/>
      <c r="O96"/>
      <c r="P96">
        <v>1</v>
      </c>
      <c r="Q96"/>
      <c r="R96" t="s">
        <v>759</v>
      </c>
      <c r="S96" t="s">
        <v>733</v>
      </c>
      <c r="T96">
        <v>0</v>
      </c>
      <c r="U96" t="s">
        <v>430</v>
      </c>
      <c r="V96" t="s">
        <v>431</v>
      </c>
      <c r="W96" t="s">
        <v>429</v>
      </c>
      <c r="X96"/>
      <c r="Y96"/>
      <c r="Z96"/>
      <c r="AA96"/>
      <c r="AB96" t="s">
        <v>819</v>
      </c>
      <c r="AC96"/>
      <c r="AD96" s="126">
        <f t="shared" si="7"/>
        <v>12</v>
      </c>
      <c r="AE96" s="123" t="str">
        <f t="shared" si="8"/>
        <v>Nimi hosts  [Artist Talk] Unexpected Views at the National Gallery Late</v>
      </c>
      <c r="AF96" s="124">
        <f t="shared" si="6"/>
        <v>45408</v>
      </c>
      <c r="AG96" s="123">
        <f t="shared" si="9"/>
        <v>4</v>
      </c>
      <c r="AH96" s="123" t="str">
        <f t="shared" si="4"/>
        <v>ebesesdeeplink</v>
      </c>
      <c r="AJ96" s="123"/>
    </row>
    <row r="97" spans="1:36" ht="15.95" customHeight="1">
      <c r="A97" t="s">
        <v>884</v>
      </c>
      <c r="B97" t="s">
        <v>729</v>
      </c>
      <c r="C97" t="s">
        <v>506</v>
      </c>
      <c r="D97" t="s">
        <v>507</v>
      </c>
      <c r="E97" s="88" t="s">
        <v>178</v>
      </c>
      <c r="F97" s="66" t="s">
        <v>508</v>
      </c>
      <c r="G97" s="66"/>
      <c r="H97" s="66"/>
      <c r="I97" s="66"/>
      <c r="J97" t="s">
        <v>885</v>
      </c>
      <c r="K97" s="88">
        <v>13</v>
      </c>
      <c r="L97" t="s">
        <v>886</v>
      </c>
      <c r="M97"/>
      <c r="N97"/>
      <c r="O97"/>
      <c r="P97">
        <v>1</v>
      </c>
      <c r="Q97"/>
      <c r="R97" t="s">
        <v>871</v>
      </c>
      <c r="S97" t="s">
        <v>733</v>
      </c>
      <c r="T97">
        <v>20</v>
      </c>
      <c r="U97" t="s">
        <v>506</v>
      </c>
      <c r="V97" t="s">
        <v>507</v>
      </c>
      <c r="W97" t="s">
        <v>178</v>
      </c>
      <c r="X97"/>
      <c r="Y97"/>
      <c r="Z97"/>
      <c r="AA97"/>
      <c r="AB97" t="s">
        <v>817</v>
      </c>
      <c r="AC97"/>
      <c r="AD97" s="126">
        <f t="shared" si="7"/>
        <v>13</v>
      </c>
      <c r="AE97" s="123" t="str">
        <f t="shared" si="8"/>
        <v>Nimi hosts [Hidden Gem] Dreams Have No Titles Exhibition and Tango</v>
      </c>
      <c r="AF97" s="124">
        <f t="shared" si="6"/>
        <v>45410</v>
      </c>
      <c r="AG97" s="123">
        <f t="shared" si="9"/>
        <v>4</v>
      </c>
      <c r="AH97" s="123" t="str">
        <f t="shared" si="4"/>
        <v>WhatsApp</v>
      </c>
      <c r="AJ97" s="123"/>
    </row>
    <row r="98" spans="1:36" ht="15.95" customHeight="1">
      <c r="A98" t="s">
        <v>887</v>
      </c>
      <c r="B98" t="s">
        <v>729</v>
      </c>
      <c r="C98" t="s">
        <v>538</v>
      </c>
      <c r="D98" t="s">
        <v>539</v>
      </c>
      <c r="E98" s="121" t="s">
        <v>128</v>
      </c>
      <c r="F98" s="66" t="s">
        <v>540</v>
      </c>
      <c r="G98" s="66"/>
      <c r="H98" s="66"/>
      <c r="I98" s="66"/>
      <c r="J98" t="s">
        <v>885</v>
      </c>
      <c r="K98" s="88">
        <v>13</v>
      </c>
      <c r="L98" t="s">
        <v>886</v>
      </c>
      <c r="M98"/>
      <c r="N98"/>
      <c r="O98"/>
      <c r="P98">
        <v>1</v>
      </c>
      <c r="Q98"/>
      <c r="R98" t="s">
        <v>871</v>
      </c>
      <c r="S98" t="s">
        <v>733</v>
      </c>
      <c r="T98">
        <v>20</v>
      </c>
      <c r="U98" t="s">
        <v>538</v>
      </c>
      <c r="V98" t="s">
        <v>539</v>
      </c>
      <c r="W98" t="s">
        <v>128</v>
      </c>
      <c r="X98"/>
      <c r="Y98"/>
      <c r="Z98"/>
      <c r="AA98"/>
      <c r="AB98" t="s">
        <v>817</v>
      </c>
      <c r="AC98"/>
      <c r="AD98" s="126">
        <f t="shared" ref="AD98:AD119" si="10">K98</f>
        <v>13</v>
      </c>
      <c r="AE98" s="123" t="str">
        <f t="shared" si="8"/>
        <v>Nimi hosts [Hidden Gem] Dreams Have No Titles Exhibition and Tango</v>
      </c>
      <c r="AF98" s="124">
        <f t="shared" si="6"/>
        <v>45410</v>
      </c>
      <c r="AG98" s="123">
        <f t="shared" si="9"/>
        <v>4</v>
      </c>
      <c r="AH98" s="123" t="str">
        <f t="shared" si="4"/>
        <v>WhatsApp</v>
      </c>
      <c r="AJ98" s="123"/>
    </row>
    <row r="99" spans="1:36" ht="15.95" customHeight="1">
      <c r="A99" t="s">
        <v>888</v>
      </c>
      <c r="B99" t="s">
        <v>729</v>
      </c>
      <c r="C99" t="s">
        <v>541</v>
      </c>
      <c r="D99" t="s">
        <v>542</v>
      </c>
      <c r="E99" s="88" t="s">
        <v>123</v>
      </c>
      <c r="F99" s="66" t="s">
        <v>543</v>
      </c>
      <c r="G99" s="66"/>
      <c r="H99" s="66"/>
      <c r="I99" s="66"/>
      <c r="J99" t="s">
        <v>885</v>
      </c>
      <c r="K99" s="88">
        <v>13</v>
      </c>
      <c r="L99" t="s">
        <v>886</v>
      </c>
      <c r="M99"/>
      <c r="N99"/>
      <c r="O99"/>
      <c r="P99">
        <v>1</v>
      </c>
      <c r="Q99"/>
      <c r="R99" t="s">
        <v>871</v>
      </c>
      <c r="S99" t="s">
        <v>733</v>
      </c>
      <c r="T99">
        <v>20</v>
      </c>
      <c r="U99" t="s">
        <v>541</v>
      </c>
      <c r="V99" t="s">
        <v>542</v>
      </c>
      <c r="W99" t="s">
        <v>123</v>
      </c>
      <c r="X99"/>
      <c r="Y99"/>
      <c r="Z99"/>
      <c r="AA99"/>
      <c r="AB99" t="s">
        <v>819</v>
      </c>
      <c r="AC99"/>
      <c r="AD99" s="126">
        <f t="shared" si="10"/>
        <v>13</v>
      </c>
      <c r="AE99" s="123" t="str">
        <f t="shared" si="8"/>
        <v>Nimi hosts [Hidden Gem] Dreams Have No Titles Exhibition and Tango</v>
      </c>
      <c r="AF99" s="124">
        <f t="shared" si="6"/>
        <v>45410</v>
      </c>
      <c r="AG99" s="123">
        <f t="shared" si="9"/>
        <v>4</v>
      </c>
      <c r="AH99" s="123" t="str">
        <f t="shared" si="4"/>
        <v>ebesesdeeplink</v>
      </c>
      <c r="AJ99" s="123"/>
    </row>
    <row r="100" spans="1:36" ht="15.95" customHeight="1">
      <c r="A100" t="s">
        <v>889</v>
      </c>
      <c r="B100" t="s">
        <v>729</v>
      </c>
      <c r="C100" t="s">
        <v>554</v>
      </c>
      <c r="D100" t="s">
        <v>555</v>
      </c>
      <c r="E100" s="88" t="s">
        <v>124</v>
      </c>
      <c r="F100" s="66" t="s">
        <v>556</v>
      </c>
      <c r="G100" s="66"/>
      <c r="H100" s="66"/>
      <c r="I100" s="66"/>
      <c r="J100" t="s">
        <v>885</v>
      </c>
      <c r="K100" s="88">
        <v>13</v>
      </c>
      <c r="L100" t="s">
        <v>886</v>
      </c>
      <c r="M100"/>
      <c r="N100"/>
      <c r="O100"/>
      <c r="P100">
        <v>1</v>
      </c>
      <c r="Q100"/>
      <c r="R100" t="s">
        <v>871</v>
      </c>
      <c r="S100" t="s">
        <v>733</v>
      </c>
      <c r="T100">
        <v>20</v>
      </c>
      <c r="U100" t="s">
        <v>554</v>
      </c>
      <c r="V100" t="s">
        <v>555</v>
      </c>
      <c r="W100" t="s">
        <v>124</v>
      </c>
      <c r="X100"/>
      <c r="Y100"/>
      <c r="Z100"/>
      <c r="AA100"/>
      <c r="AB100" t="s">
        <v>795</v>
      </c>
      <c r="AC100"/>
      <c r="AD100" s="126">
        <f t="shared" si="10"/>
        <v>13</v>
      </c>
      <c r="AE100" s="123" t="str">
        <f t="shared" si="8"/>
        <v>Nimi hosts [Hidden Gem] Dreams Have No Titles Exhibition and Tango</v>
      </c>
      <c r="AF100" s="124">
        <f t="shared" si="6"/>
        <v>45410</v>
      </c>
      <c r="AG100" s="123">
        <f t="shared" si="9"/>
        <v>4</v>
      </c>
      <c r="AH100" s="123" t="str">
        <f t="shared" si="4"/>
        <v>ebdsshios</v>
      </c>
      <c r="AJ100" s="123"/>
    </row>
    <row r="101" spans="1:36" ht="15.95" customHeight="1">
      <c r="A101" t="s">
        <v>890</v>
      </c>
      <c r="B101" t="s">
        <v>729</v>
      </c>
      <c r="C101" t="s">
        <v>564</v>
      </c>
      <c r="D101" t="s">
        <v>568</v>
      </c>
      <c r="E101" s="88" t="s">
        <v>567</v>
      </c>
      <c r="F101" s="66" t="s">
        <v>566</v>
      </c>
      <c r="G101" s="66"/>
      <c r="H101" s="66"/>
      <c r="I101" s="66"/>
      <c r="J101" t="s">
        <v>885</v>
      </c>
      <c r="K101" s="88">
        <v>13</v>
      </c>
      <c r="L101" t="s">
        <v>886</v>
      </c>
      <c r="M101"/>
      <c r="N101"/>
      <c r="O101"/>
      <c r="P101">
        <v>1</v>
      </c>
      <c r="Q101"/>
      <c r="R101" t="s">
        <v>871</v>
      </c>
      <c r="S101" t="s">
        <v>733</v>
      </c>
      <c r="T101">
        <v>13</v>
      </c>
      <c r="U101" t="s">
        <v>564</v>
      </c>
      <c r="V101" t="s">
        <v>568</v>
      </c>
      <c r="W101" t="s">
        <v>567</v>
      </c>
      <c r="X101"/>
      <c r="Y101"/>
      <c r="Z101"/>
      <c r="AA101"/>
      <c r="AB101" t="s">
        <v>817</v>
      </c>
      <c r="AC101" t="s">
        <v>891</v>
      </c>
      <c r="AD101" s="126">
        <f t="shared" si="10"/>
        <v>13</v>
      </c>
      <c r="AE101" s="123" t="str">
        <f t="shared" si="8"/>
        <v>Nimi hosts [Hidden Gem] Dreams Have No Titles Exhibition and Tango</v>
      </c>
      <c r="AF101" s="124">
        <f t="shared" si="6"/>
        <v>45410</v>
      </c>
      <c r="AG101" s="123">
        <f t="shared" si="9"/>
        <v>4</v>
      </c>
      <c r="AH101" s="123" t="str">
        <f t="shared" si="4"/>
        <v>WhatsApp</v>
      </c>
      <c r="AJ101" s="123"/>
    </row>
    <row r="102" spans="1:36" ht="15.95" customHeight="1">
      <c r="A102" t="s">
        <v>892</v>
      </c>
      <c r="B102" t="s">
        <v>729</v>
      </c>
      <c r="C102" t="s">
        <v>599</v>
      </c>
      <c r="D102" t="s">
        <v>600</v>
      </c>
      <c r="E102" s="88" t="s">
        <v>598</v>
      </c>
      <c r="F102" s="66" t="s">
        <v>601</v>
      </c>
      <c r="G102" s="66"/>
      <c r="H102" s="66"/>
      <c r="I102" s="66"/>
      <c r="J102" t="s">
        <v>885</v>
      </c>
      <c r="K102" s="88">
        <v>13</v>
      </c>
      <c r="L102" t="s">
        <v>886</v>
      </c>
      <c r="M102"/>
      <c r="N102"/>
      <c r="O102"/>
      <c r="P102">
        <v>1</v>
      </c>
      <c r="Q102"/>
      <c r="R102" t="s">
        <v>871</v>
      </c>
      <c r="S102" t="s">
        <v>733</v>
      </c>
      <c r="T102">
        <v>20</v>
      </c>
      <c r="U102" t="s">
        <v>599</v>
      </c>
      <c r="V102" t="s">
        <v>600</v>
      </c>
      <c r="W102" t="s">
        <v>598</v>
      </c>
      <c r="X102"/>
      <c r="Y102"/>
      <c r="Z102"/>
      <c r="AA102"/>
      <c r="AB102" t="s">
        <v>893</v>
      </c>
      <c r="AC102"/>
      <c r="AD102" s="126">
        <f t="shared" si="10"/>
        <v>13</v>
      </c>
      <c r="AE102" s="123" t="str">
        <f t="shared" si="8"/>
        <v>Nimi hosts [Hidden Gem] Dreams Have No Titles Exhibition and Tango</v>
      </c>
      <c r="AF102" s="124">
        <f t="shared" si="6"/>
        <v>45410</v>
      </c>
      <c r="AG102" s="123">
        <f t="shared" si="9"/>
        <v>4</v>
      </c>
      <c r="AH102" s="123" t="str">
        <f t="shared" si="4"/>
        <v>ebdssbdestsearch</v>
      </c>
      <c r="AJ102" s="123"/>
    </row>
    <row r="103" spans="1:36" ht="15.95" customHeight="1">
      <c r="A103" t="s">
        <v>894</v>
      </c>
      <c r="B103" t="s">
        <v>729</v>
      </c>
      <c r="C103" t="s">
        <v>367</v>
      </c>
      <c r="D103" t="s">
        <v>368</v>
      </c>
      <c r="E103" s="88" t="s">
        <v>130</v>
      </c>
      <c r="F103" s="66" t="s">
        <v>369</v>
      </c>
      <c r="G103" s="66"/>
      <c r="H103" s="66"/>
      <c r="I103" s="66"/>
      <c r="J103" t="s">
        <v>895</v>
      </c>
      <c r="K103" s="121">
        <v>10</v>
      </c>
      <c r="L103" t="s">
        <v>896</v>
      </c>
      <c r="M103"/>
      <c r="N103"/>
      <c r="O103"/>
      <c r="P103">
        <v>1</v>
      </c>
      <c r="Q103"/>
      <c r="R103" t="s">
        <v>752</v>
      </c>
      <c r="S103" t="s">
        <v>733</v>
      </c>
      <c r="T103">
        <v>7.5</v>
      </c>
      <c r="U103" t="s">
        <v>367</v>
      </c>
      <c r="V103" t="s">
        <v>368</v>
      </c>
      <c r="W103" t="s">
        <v>130</v>
      </c>
      <c r="X103"/>
      <c r="Y103"/>
      <c r="Z103"/>
      <c r="AA103"/>
      <c r="AB103" t="s">
        <v>817</v>
      </c>
      <c r="AC103" t="s">
        <v>778</v>
      </c>
      <c r="AD103" s="126">
        <f t="shared" si="10"/>
        <v>10</v>
      </c>
      <c r="AE103" s="123" t="str">
        <f t="shared" si="8"/>
        <v>[Hidden Gem] First Thursdays Gallery Stroll in East London</v>
      </c>
      <c r="AF103" s="124">
        <f t="shared" si="6"/>
        <v>45414</v>
      </c>
      <c r="AG103" s="123">
        <v>5</v>
      </c>
      <c r="AH103" s="123" t="str">
        <f t="shared" si="4"/>
        <v>WhatsApp</v>
      </c>
      <c r="AJ103" s="123"/>
    </row>
    <row r="104" spans="1:36" ht="15.95" customHeight="1">
      <c r="A104" t="s">
        <v>897</v>
      </c>
      <c r="B104" t="s">
        <v>729</v>
      </c>
      <c r="C104" t="s">
        <v>393</v>
      </c>
      <c r="D104" t="s">
        <v>394</v>
      </c>
      <c r="E104" s="88" t="s">
        <v>392</v>
      </c>
      <c r="F104" s="66" t="s">
        <v>395</v>
      </c>
      <c r="G104" s="66"/>
      <c r="H104" s="66"/>
      <c r="I104" s="66"/>
      <c r="J104" t="s">
        <v>895</v>
      </c>
      <c r="K104" s="121">
        <v>10</v>
      </c>
      <c r="L104" t="s">
        <v>896</v>
      </c>
      <c r="M104"/>
      <c r="N104"/>
      <c r="O104"/>
      <c r="P104">
        <v>1</v>
      </c>
      <c r="Q104"/>
      <c r="R104" t="s">
        <v>752</v>
      </c>
      <c r="S104" t="s">
        <v>733</v>
      </c>
      <c r="T104">
        <v>15</v>
      </c>
      <c r="U104" t="s">
        <v>393</v>
      </c>
      <c r="V104" t="s">
        <v>394</v>
      </c>
      <c r="W104" t="s">
        <v>392</v>
      </c>
      <c r="X104"/>
      <c r="Y104"/>
      <c r="Z104"/>
      <c r="AA104"/>
      <c r="AB104" t="s">
        <v>817</v>
      </c>
      <c r="AC104"/>
      <c r="AD104" s="126">
        <f t="shared" si="10"/>
        <v>10</v>
      </c>
      <c r="AE104" s="123" t="str">
        <f t="shared" si="8"/>
        <v>[Hidden Gem] First Thursdays Gallery Stroll in East London</v>
      </c>
      <c r="AF104" s="124">
        <f t="shared" si="6"/>
        <v>45414</v>
      </c>
      <c r="AG104" s="123">
        <f t="shared" ref="AG104:AG135" si="11">MONTH(AF104)</f>
        <v>5</v>
      </c>
      <c r="AH104" s="123" t="str">
        <f t="shared" ref="AH104:AH167" si="12">AB104</f>
        <v>WhatsApp</v>
      </c>
      <c r="AJ104" s="123"/>
    </row>
    <row r="105" spans="1:36" ht="15.95" customHeight="1">
      <c r="A105" t="s">
        <v>898</v>
      </c>
      <c r="B105" t="s">
        <v>729</v>
      </c>
      <c r="C105" t="s">
        <v>521</v>
      </c>
      <c r="D105" t="s">
        <v>522</v>
      </c>
      <c r="E105" s="88" t="s">
        <v>140</v>
      </c>
      <c r="F105" s="66"/>
      <c r="G105" s="66"/>
      <c r="H105" s="66"/>
      <c r="I105" s="66"/>
      <c r="J105" t="s">
        <v>895</v>
      </c>
      <c r="K105" s="121">
        <v>10</v>
      </c>
      <c r="L105" t="s">
        <v>899</v>
      </c>
      <c r="M105"/>
      <c r="N105"/>
      <c r="O105"/>
      <c r="P105">
        <v>1</v>
      </c>
      <c r="Q105"/>
      <c r="R105" t="s">
        <v>752</v>
      </c>
      <c r="S105" t="s">
        <v>733</v>
      </c>
      <c r="T105">
        <v>7.5</v>
      </c>
      <c r="U105" t="s">
        <v>521</v>
      </c>
      <c r="V105" t="s">
        <v>522</v>
      </c>
      <c r="W105" t="s">
        <v>140</v>
      </c>
      <c r="X105"/>
      <c r="Y105"/>
      <c r="Z105"/>
      <c r="AA105"/>
      <c r="AB105" t="s">
        <v>817</v>
      </c>
      <c r="AC105" t="s">
        <v>778</v>
      </c>
      <c r="AD105" s="126">
        <f t="shared" si="10"/>
        <v>10</v>
      </c>
      <c r="AE105" s="123" t="str">
        <f t="shared" si="8"/>
        <v>[Hidden Gem] First Thursdays Gallery Stroll in East London</v>
      </c>
      <c r="AF105" s="124">
        <f t="shared" si="6"/>
        <v>45414</v>
      </c>
      <c r="AG105" s="123">
        <f t="shared" si="11"/>
        <v>5</v>
      </c>
      <c r="AH105" s="123" t="str">
        <f t="shared" si="12"/>
        <v>WhatsApp</v>
      </c>
      <c r="AJ105" s="123"/>
    </row>
    <row r="106" spans="1:36" ht="15.95" customHeight="1">
      <c r="A106" t="s">
        <v>900</v>
      </c>
      <c r="B106" t="s">
        <v>729</v>
      </c>
      <c r="C106" t="s">
        <v>784</v>
      </c>
      <c r="D106" t="s">
        <v>785</v>
      </c>
      <c r="E106" s="88" t="s">
        <v>148</v>
      </c>
      <c r="F106" s="66" t="s">
        <v>901</v>
      </c>
      <c r="G106" s="66"/>
      <c r="H106" s="66"/>
      <c r="I106" s="66"/>
      <c r="J106" t="s">
        <v>902</v>
      </c>
      <c r="K106" s="121">
        <v>11</v>
      </c>
      <c r="L106" t="s">
        <v>903</v>
      </c>
      <c r="M106"/>
      <c r="N106"/>
      <c r="O106"/>
      <c r="P106">
        <v>1</v>
      </c>
      <c r="Q106"/>
      <c r="R106" t="s">
        <v>871</v>
      </c>
      <c r="S106" t="s">
        <v>733</v>
      </c>
      <c r="T106">
        <v>25</v>
      </c>
      <c r="U106" t="s">
        <v>784</v>
      </c>
      <c r="V106" t="s">
        <v>785</v>
      </c>
      <c r="W106" t="s">
        <v>148</v>
      </c>
      <c r="X106"/>
      <c r="Y106"/>
      <c r="Z106"/>
      <c r="AA106"/>
      <c r="AB106" t="s">
        <v>904</v>
      </c>
      <c r="AC106"/>
      <c r="AD106" s="126">
        <f t="shared" si="10"/>
        <v>11</v>
      </c>
      <c r="AE106" s="123" t="str">
        <f t="shared" si="8"/>
        <v>[Blockbuster] When Forms Come Alive @ Hayward Gallery</v>
      </c>
      <c r="AF106" s="124">
        <f t="shared" si="6"/>
        <v>45416</v>
      </c>
      <c r="AG106" s="123">
        <f t="shared" si="11"/>
        <v>5</v>
      </c>
      <c r="AH106" s="123" t="str">
        <f t="shared" si="12"/>
        <v>Whatsapp</v>
      </c>
      <c r="AJ106" s="123"/>
    </row>
    <row r="107" spans="1:36" ht="15.95" customHeight="1">
      <c r="A107" t="s">
        <v>905</v>
      </c>
      <c r="B107" t="s">
        <v>729</v>
      </c>
      <c r="C107" t="s">
        <v>424</v>
      </c>
      <c r="D107" t="s">
        <v>425</v>
      </c>
      <c r="E107" s="88" t="s">
        <v>423</v>
      </c>
      <c r="F107" s="66" t="s">
        <v>906</v>
      </c>
      <c r="G107" s="66"/>
      <c r="H107" s="66"/>
      <c r="I107" s="66"/>
      <c r="J107" t="s">
        <v>902</v>
      </c>
      <c r="K107" s="121">
        <v>11</v>
      </c>
      <c r="L107" t="s">
        <v>903</v>
      </c>
      <c r="M107"/>
      <c r="N107"/>
      <c r="O107"/>
      <c r="P107">
        <v>1</v>
      </c>
      <c r="Q107"/>
      <c r="R107" t="s">
        <v>871</v>
      </c>
      <c r="S107" t="s">
        <v>733</v>
      </c>
      <c r="T107">
        <v>25</v>
      </c>
      <c r="U107" t="s">
        <v>424</v>
      </c>
      <c r="V107" t="s">
        <v>425</v>
      </c>
      <c r="W107" t="s">
        <v>423</v>
      </c>
      <c r="X107"/>
      <c r="Y107"/>
      <c r="Z107"/>
      <c r="AA107"/>
      <c r="AB107" t="s">
        <v>904</v>
      </c>
      <c r="AC107"/>
      <c r="AD107" s="126">
        <f t="shared" si="10"/>
        <v>11</v>
      </c>
      <c r="AE107" s="123" t="str">
        <f t="shared" si="8"/>
        <v>[Blockbuster] When Forms Come Alive @ Hayward Gallery</v>
      </c>
      <c r="AF107" s="124">
        <f t="shared" si="6"/>
        <v>45416</v>
      </c>
      <c r="AG107" s="123">
        <f t="shared" si="11"/>
        <v>5</v>
      </c>
      <c r="AH107" s="123" t="str">
        <f t="shared" si="12"/>
        <v>Whatsapp</v>
      </c>
      <c r="AJ107" s="123"/>
    </row>
    <row r="108" spans="1:36" ht="15.95" customHeight="1">
      <c r="A108" t="s">
        <v>907</v>
      </c>
      <c r="B108" t="s">
        <v>729</v>
      </c>
      <c r="C108" t="s">
        <v>538</v>
      </c>
      <c r="D108" t="s">
        <v>539</v>
      </c>
      <c r="E108" s="121" t="s">
        <v>128</v>
      </c>
      <c r="F108" s="66" t="s">
        <v>540</v>
      </c>
      <c r="G108" s="66"/>
      <c r="H108" s="66"/>
      <c r="I108" s="66"/>
      <c r="J108" t="s">
        <v>902</v>
      </c>
      <c r="K108" s="121">
        <v>11</v>
      </c>
      <c r="L108" t="s">
        <v>903</v>
      </c>
      <c r="M108"/>
      <c r="N108"/>
      <c r="O108"/>
      <c r="P108">
        <v>1</v>
      </c>
      <c r="Q108"/>
      <c r="R108" t="s">
        <v>871</v>
      </c>
      <c r="S108" t="s">
        <v>733</v>
      </c>
      <c r="T108">
        <v>25</v>
      </c>
      <c r="U108" t="s">
        <v>538</v>
      </c>
      <c r="V108" t="s">
        <v>539</v>
      </c>
      <c r="W108" t="s">
        <v>128</v>
      </c>
      <c r="X108"/>
      <c r="Y108"/>
      <c r="Z108"/>
      <c r="AA108"/>
      <c r="AB108" t="s">
        <v>908</v>
      </c>
      <c r="AC108"/>
      <c r="AD108" s="126">
        <f t="shared" si="10"/>
        <v>11</v>
      </c>
      <c r="AE108" s="123" t="str">
        <f t="shared" si="8"/>
        <v>[Blockbuster] When Forms Come Alive @ Hayward Gallery</v>
      </c>
      <c r="AF108" s="124">
        <f t="shared" si="6"/>
        <v>45416</v>
      </c>
      <c r="AG108" s="123">
        <f t="shared" si="11"/>
        <v>5</v>
      </c>
      <c r="AH108" s="123" t="str">
        <f t="shared" si="12"/>
        <v>echckt</v>
      </c>
      <c r="AJ108" s="123"/>
    </row>
    <row r="109" spans="1:36" ht="15.95" customHeight="1">
      <c r="A109" t="s">
        <v>909</v>
      </c>
      <c r="B109" t="s">
        <v>729</v>
      </c>
      <c r="C109" t="s">
        <v>554</v>
      </c>
      <c r="D109" t="s">
        <v>555</v>
      </c>
      <c r="E109" s="88" t="s">
        <v>124</v>
      </c>
      <c r="F109" s="66" t="s">
        <v>556</v>
      </c>
      <c r="G109" s="66"/>
      <c r="H109" s="66"/>
      <c r="I109" s="66"/>
      <c r="J109" t="s">
        <v>902</v>
      </c>
      <c r="K109" s="121">
        <v>11</v>
      </c>
      <c r="L109" t="s">
        <v>903</v>
      </c>
      <c r="M109"/>
      <c r="N109"/>
      <c r="O109"/>
      <c r="P109">
        <v>1</v>
      </c>
      <c r="Q109"/>
      <c r="R109" t="s">
        <v>871</v>
      </c>
      <c r="S109" t="s">
        <v>733</v>
      </c>
      <c r="T109">
        <v>25</v>
      </c>
      <c r="U109" t="s">
        <v>554</v>
      </c>
      <c r="V109" t="s">
        <v>555</v>
      </c>
      <c r="W109" t="s">
        <v>124</v>
      </c>
      <c r="X109"/>
      <c r="Y109"/>
      <c r="Z109"/>
      <c r="AA109"/>
      <c r="AB109" t="s">
        <v>904</v>
      </c>
      <c r="AC109"/>
      <c r="AD109" s="126">
        <f t="shared" si="10"/>
        <v>11</v>
      </c>
      <c r="AE109" s="123" t="str">
        <f t="shared" si="8"/>
        <v>[Blockbuster] When Forms Come Alive @ Hayward Gallery</v>
      </c>
      <c r="AF109" s="124">
        <f t="shared" si="6"/>
        <v>45416</v>
      </c>
      <c r="AG109" s="123">
        <f t="shared" si="11"/>
        <v>5</v>
      </c>
      <c r="AH109" s="123" t="str">
        <f t="shared" si="12"/>
        <v>Whatsapp</v>
      </c>
      <c r="AJ109" s="123"/>
    </row>
    <row r="110" spans="1:36" ht="15.95" customHeight="1">
      <c r="A110" t="s">
        <v>910</v>
      </c>
      <c r="B110" t="s">
        <v>729</v>
      </c>
      <c r="C110" t="s">
        <v>580</v>
      </c>
      <c r="D110" t="s">
        <v>581</v>
      </c>
      <c r="E110" s="88" t="s">
        <v>138</v>
      </c>
      <c r="F110" s="66" t="s">
        <v>582</v>
      </c>
      <c r="G110" s="66"/>
      <c r="H110" s="66"/>
      <c r="I110" s="66"/>
      <c r="J110" t="s">
        <v>902</v>
      </c>
      <c r="K110" s="121">
        <v>11</v>
      </c>
      <c r="L110" t="s">
        <v>903</v>
      </c>
      <c r="M110"/>
      <c r="N110"/>
      <c r="O110"/>
      <c r="P110">
        <v>1</v>
      </c>
      <c r="Q110"/>
      <c r="R110" t="s">
        <v>871</v>
      </c>
      <c r="S110" t="s">
        <v>733</v>
      </c>
      <c r="T110">
        <v>25</v>
      </c>
      <c r="U110" t="s">
        <v>580</v>
      </c>
      <c r="V110" t="s">
        <v>581</v>
      </c>
      <c r="W110" t="s">
        <v>138</v>
      </c>
      <c r="X110"/>
      <c r="Y110"/>
      <c r="Z110"/>
      <c r="AA110"/>
      <c r="AB110" t="s">
        <v>904</v>
      </c>
      <c r="AC110"/>
      <c r="AD110" s="126">
        <f t="shared" si="10"/>
        <v>11</v>
      </c>
      <c r="AE110" s="123" t="str">
        <f t="shared" si="8"/>
        <v>[Blockbuster] When Forms Come Alive @ Hayward Gallery</v>
      </c>
      <c r="AF110" s="124">
        <f t="shared" si="6"/>
        <v>45416</v>
      </c>
      <c r="AG110" s="123">
        <f t="shared" si="11"/>
        <v>5</v>
      </c>
      <c r="AH110" s="123" t="str">
        <f t="shared" si="12"/>
        <v>Whatsapp</v>
      </c>
      <c r="AJ110" s="123"/>
    </row>
    <row r="111" spans="1:36" ht="15.95" customHeight="1">
      <c r="A111" t="s">
        <v>911</v>
      </c>
      <c r="B111" t="s">
        <v>729</v>
      </c>
      <c r="C111" t="s">
        <v>586</v>
      </c>
      <c r="D111" t="s">
        <v>912</v>
      </c>
      <c r="E111" s="88" t="s">
        <v>585</v>
      </c>
      <c r="F111" s="66" t="s">
        <v>913</v>
      </c>
      <c r="G111" s="66"/>
      <c r="H111" s="66"/>
      <c r="I111" s="66"/>
      <c r="J111" t="s">
        <v>902</v>
      </c>
      <c r="K111" s="121">
        <v>11</v>
      </c>
      <c r="L111" t="s">
        <v>903</v>
      </c>
      <c r="M111"/>
      <c r="N111"/>
      <c r="O111"/>
      <c r="P111">
        <v>1</v>
      </c>
      <c r="Q111"/>
      <c r="R111" t="s">
        <v>871</v>
      </c>
      <c r="S111" t="s">
        <v>733</v>
      </c>
      <c r="T111">
        <v>25</v>
      </c>
      <c r="U111" t="s">
        <v>586</v>
      </c>
      <c r="V111" t="s">
        <v>587</v>
      </c>
      <c r="W111" t="s">
        <v>585</v>
      </c>
      <c r="X111"/>
      <c r="Y111"/>
      <c r="Z111"/>
      <c r="AA111"/>
      <c r="AB111" t="s">
        <v>904</v>
      </c>
      <c r="AC111"/>
      <c r="AD111" s="126">
        <f t="shared" si="10"/>
        <v>11</v>
      </c>
      <c r="AE111" s="123" t="str">
        <f t="shared" si="8"/>
        <v>[Blockbuster] When Forms Come Alive @ Hayward Gallery</v>
      </c>
      <c r="AF111" s="124">
        <f t="shared" si="6"/>
        <v>45416</v>
      </c>
      <c r="AG111" s="123">
        <f t="shared" si="11"/>
        <v>5</v>
      </c>
      <c r="AH111" s="123" t="str">
        <f t="shared" si="12"/>
        <v>Whatsapp</v>
      </c>
      <c r="AJ111" s="123"/>
    </row>
    <row r="112" spans="1:36" ht="15.95" customHeight="1">
      <c r="A112" s="130">
        <v>45421.510416666664</v>
      </c>
      <c r="B112" s="131" t="s">
        <v>729</v>
      </c>
      <c r="C112" s="131" t="s">
        <v>447</v>
      </c>
      <c r="D112" s="131" t="s">
        <v>448</v>
      </c>
      <c r="E112" s="132" t="s">
        <v>446</v>
      </c>
      <c r="F112" s="135" t="s">
        <v>914</v>
      </c>
      <c r="G112" s="135"/>
      <c r="H112" s="135"/>
      <c r="I112" s="135"/>
      <c r="J112" s="131" t="s">
        <v>915</v>
      </c>
      <c r="K112" s="132">
        <v>14</v>
      </c>
      <c r="L112" s="134" t="s">
        <v>916</v>
      </c>
      <c r="M112" s="134"/>
      <c r="N112" s="134"/>
      <c r="O112" s="134"/>
      <c r="P112" s="131">
        <v>1</v>
      </c>
      <c r="Q112" s="131"/>
      <c r="R112" s="131" t="s">
        <v>759</v>
      </c>
      <c r="S112" s="131" t="s">
        <v>733</v>
      </c>
      <c r="T112" s="131">
        <v>15</v>
      </c>
      <c r="U112" s="131" t="s">
        <v>447</v>
      </c>
      <c r="V112" s="131" t="s">
        <v>448</v>
      </c>
      <c r="W112" s="131" t="s">
        <v>446</v>
      </c>
      <c r="X112" s="131"/>
      <c r="Y112" s="131"/>
      <c r="Z112" s="131"/>
      <c r="AA112" s="131"/>
      <c r="AB112" s="131"/>
      <c r="AC112" s="131"/>
      <c r="AD112" s="126">
        <f t="shared" si="10"/>
        <v>14</v>
      </c>
      <c r="AE112" s="123" t="str">
        <f t="shared" si="8"/>
        <v>Hidden Gem Saturday Art Strolls with Nimi</v>
      </c>
      <c r="AF112" s="124">
        <v>45423</v>
      </c>
      <c r="AG112" s="123">
        <f t="shared" si="11"/>
        <v>5</v>
      </c>
      <c r="AH112" s="123">
        <f t="shared" si="12"/>
        <v>0</v>
      </c>
      <c r="AI112" s="123" t="s">
        <v>917</v>
      </c>
      <c r="AJ112" s="123"/>
    </row>
    <row r="113" spans="1:36" ht="15.95" customHeight="1">
      <c r="A113" s="130">
        <v>45423.147222222222</v>
      </c>
      <c r="B113" s="31" t="s">
        <v>729</v>
      </c>
      <c r="C113" s="131" t="s">
        <v>510</v>
      </c>
      <c r="D113" s="131" t="s">
        <v>511</v>
      </c>
      <c r="E113" s="132" t="s">
        <v>509</v>
      </c>
      <c r="F113" s="135">
        <v>7503778383</v>
      </c>
      <c r="G113" s="135"/>
      <c r="H113" s="135"/>
      <c r="I113" s="135"/>
      <c r="J113" s="131" t="s">
        <v>915</v>
      </c>
      <c r="K113" s="132">
        <v>14</v>
      </c>
      <c r="L113" s="134" t="s">
        <v>916</v>
      </c>
      <c r="M113" s="134"/>
      <c r="N113" s="134"/>
      <c r="O113" s="134"/>
      <c r="P113" s="131">
        <v>1</v>
      </c>
      <c r="Q113" s="131"/>
      <c r="R113" s="131" t="s">
        <v>759</v>
      </c>
      <c r="S113" s="131" t="s">
        <v>733</v>
      </c>
      <c r="T113" s="131">
        <v>15</v>
      </c>
      <c r="U113" s="131" t="s">
        <v>510</v>
      </c>
      <c r="V113" s="131" t="s">
        <v>511</v>
      </c>
      <c r="W113" s="131" t="s">
        <v>509</v>
      </c>
      <c r="X113" s="131"/>
      <c r="Y113" s="131"/>
      <c r="Z113" s="131"/>
      <c r="AA113" s="131"/>
      <c r="AB113" s="131" t="s">
        <v>874</v>
      </c>
      <c r="AC113" s="131"/>
      <c r="AD113" s="126">
        <f t="shared" si="10"/>
        <v>14</v>
      </c>
      <c r="AE113" s="123" t="str">
        <f t="shared" si="8"/>
        <v>Hidden Gem Saturday Art Strolls with Nimi</v>
      </c>
      <c r="AF113" s="124">
        <v>45423</v>
      </c>
      <c r="AG113" s="123">
        <f t="shared" si="11"/>
        <v>5</v>
      </c>
      <c r="AH113" s="123" t="str">
        <f t="shared" si="12"/>
        <v>ebesessearch</v>
      </c>
      <c r="AI113" s="123" t="s">
        <v>918</v>
      </c>
      <c r="AJ113" s="123"/>
    </row>
    <row r="114" spans="1:36" ht="15.95" customHeight="1">
      <c r="A114" s="130">
        <v>45421.495833333334</v>
      </c>
      <c r="B114" s="131" t="s">
        <v>729</v>
      </c>
      <c r="C114" s="131" t="s">
        <v>541</v>
      </c>
      <c r="D114" s="131" t="s">
        <v>542</v>
      </c>
      <c r="E114" s="132" t="s">
        <v>123</v>
      </c>
      <c r="F114" s="133" t="s">
        <v>919</v>
      </c>
      <c r="G114" s="133"/>
      <c r="H114" s="133"/>
      <c r="I114" s="133"/>
      <c r="J114" s="131" t="s">
        <v>915</v>
      </c>
      <c r="K114" s="132">
        <v>14</v>
      </c>
      <c r="L114" s="134" t="s">
        <v>916</v>
      </c>
      <c r="M114" s="134"/>
      <c r="N114" s="134"/>
      <c r="O114" s="134"/>
      <c r="P114" s="131">
        <v>1</v>
      </c>
      <c r="Q114" s="131"/>
      <c r="R114" s="131" t="s">
        <v>759</v>
      </c>
      <c r="S114" s="131" t="s">
        <v>733</v>
      </c>
      <c r="T114" s="131">
        <v>15</v>
      </c>
      <c r="U114" s="131" t="s">
        <v>541</v>
      </c>
      <c r="V114" s="131" t="s">
        <v>542</v>
      </c>
      <c r="W114" s="131" t="s">
        <v>123</v>
      </c>
      <c r="X114" s="131"/>
      <c r="Y114" s="131"/>
      <c r="Z114" s="131"/>
      <c r="AA114" s="131"/>
      <c r="AB114" s="131"/>
      <c r="AC114" s="131"/>
      <c r="AD114" s="126">
        <f t="shared" si="10"/>
        <v>14</v>
      </c>
      <c r="AE114" s="123" t="str">
        <f t="shared" si="8"/>
        <v>Hidden Gem Saturday Art Strolls with Nimi</v>
      </c>
      <c r="AF114" s="124">
        <v>45423</v>
      </c>
      <c r="AG114" s="123">
        <f t="shared" si="11"/>
        <v>5</v>
      </c>
      <c r="AH114" s="123">
        <f t="shared" si="12"/>
        <v>0</v>
      </c>
      <c r="AI114" s="123" t="s">
        <v>917</v>
      </c>
      <c r="AJ114" s="123"/>
    </row>
    <row r="115" spans="1:36" ht="15.95" customHeight="1">
      <c r="A115" s="130">
        <v>45421.622916666667</v>
      </c>
      <c r="B115" s="131" t="s">
        <v>729</v>
      </c>
      <c r="C115" s="131" t="s">
        <v>554</v>
      </c>
      <c r="D115" s="131" t="s">
        <v>555</v>
      </c>
      <c r="E115" s="132" t="s">
        <v>124</v>
      </c>
      <c r="F115" s="135">
        <v>447871606482</v>
      </c>
      <c r="G115" s="135"/>
      <c r="H115" s="135"/>
      <c r="I115" s="135"/>
      <c r="J115" s="131" t="s">
        <v>915</v>
      </c>
      <c r="K115" s="132">
        <v>14</v>
      </c>
      <c r="L115" s="134" t="s">
        <v>916</v>
      </c>
      <c r="M115" s="134"/>
      <c r="N115" s="134"/>
      <c r="O115" s="134"/>
      <c r="P115" s="131">
        <v>1</v>
      </c>
      <c r="Q115" s="131"/>
      <c r="R115" s="131" t="s">
        <v>759</v>
      </c>
      <c r="S115" s="131" t="s">
        <v>733</v>
      </c>
      <c r="T115" s="131">
        <v>15</v>
      </c>
      <c r="U115" s="131" t="s">
        <v>554</v>
      </c>
      <c r="V115" s="131" t="s">
        <v>555</v>
      </c>
      <c r="W115" s="131" t="s">
        <v>124</v>
      </c>
      <c r="X115" s="131"/>
      <c r="Y115" s="131"/>
      <c r="Z115" s="131"/>
      <c r="AA115" s="131"/>
      <c r="AB115" s="131"/>
      <c r="AC115" s="131"/>
      <c r="AD115" s="126">
        <f t="shared" si="10"/>
        <v>14</v>
      </c>
      <c r="AE115" s="123" t="str">
        <f t="shared" si="8"/>
        <v>Hidden Gem Saturday Art Strolls with Nimi</v>
      </c>
      <c r="AF115" s="124">
        <v>45423</v>
      </c>
      <c r="AG115" s="123">
        <f t="shared" si="11"/>
        <v>5</v>
      </c>
      <c r="AH115" s="123">
        <f t="shared" si="12"/>
        <v>0</v>
      </c>
      <c r="AI115" s="123" t="s">
        <v>917</v>
      </c>
      <c r="AJ115" s="123"/>
    </row>
    <row r="116" spans="1:36" ht="15.95" customHeight="1">
      <c r="A116" s="130">
        <v>45421.515972222223</v>
      </c>
      <c r="B116" s="131" t="s">
        <v>729</v>
      </c>
      <c r="C116" s="131" t="s">
        <v>561</v>
      </c>
      <c r="D116" s="131" t="s">
        <v>562</v>
      </c>
      <c r="E116" s="132" t="s">
        <v>181</v>
      </c>
      <c r="F116" s="135" t="s">
        <v>920</v>
      </c>
      <c r="G116" s="135"/>
      <c r="H116" s="135"/>
      <c r="I116" s="135"/>
      <c r="J116" s="131" t="s">
        <v>915</v>
      </c>
      <c r="K116" s="132">
        <v>14</v>
      </c>
      <c r="L116" s="134" t="s">
        <v>916</v>
      </c>
      <c r="M116" s="134"/>
      <c r="N116" s="134"/>
      <c r="O116" s="134"/>
      <c r="P116" s="131">
        <v>1</v>
      </c>
      <c r="Q116" s="131"/>
      <c r="R116" s="131" t="s">
        <v>759</v>
      </c>
      <c r="S116" s="131" t="s">
        <v>733</v>
      </c>
      <c r="T116" s="131">
        <v>15</v>
      </c>
      <c r="U116" s="131" t="s">
        <v>561</v>
      </c>
      <c r="V116" s="131" t="s">
        <v>562</v>
      </c>
      <c r="W116" s="131" t="s">
        <v>181</v>
      </c>
      <c r="X116" s="131"/>
      <c r="Y116" s="131"/>
      <c r="Z116" s="131"/>
      <c r="AA116" s="131"/>
      <c r="AB116" s="131"/>
      <c r="AC116" s="131"/>
      <c r="AD116" s="126">
        <f t="shared" si="10"/>
        <v>14</v>
      </c>
      <c r="AE116" s="123" t="str">
        <f t="shared" si="8"/>
        <v>Hidden Gem Saturday Art Strolls with Nimi</v>
      </c>
      <c r="AF116" s="124">
        <v>45423</v>
      </c>
      <c r="AG116" s="123">
        <f t="shared" si="11"/>
        <v>5</v>
      </c>
      <c r="AH116" s="123">
        <f t="shared" si="12"/>
        <v>0</v>
      </c>
      <c r="AI116" s="123" t="s">
        <v>917</v>
      </c>
      <c r="AJ116" s="123"/>
    </row>
    <row r="117" spans="1:36" ht="15.95" customHeight="1">
      <c r="A117" s="130">
        <v>45421.506249999999</v>
      </c>
      <c r="B117" s="131" t="s">
        <v>729</v>
      </c>
      <c r="C117" s="131" t="s">
        <v>592</v>
      </c>
      <c r="D117" s="131" t="s">
        <v>593</v>
      </c>
      <c r="E117" s="132" t="s">
        <v>168</v>
      </c>
      <c r="F117" s="135" t="s">
        <v>921</v>
      </c>
      <c r="G117" s="135"/>
      <c r="H117" s="135"/>
      <c r="I117" s="135"/>
      <c r="J117" s="131" t="s">
        <v>915</v>
      </c>
      <c r="K117" s="132">
        <v>14</v>
      </c>
      <c r="L117" s="134" t="s">
        <v>916</v>
      </c>
      <c r="M117" s="134"/>
      <c r="N117" s="134"/>
      <c r="O117" s="134"/>
      <c r="P117" s="131">
        <v>1</v>
      </c>
      <c r="Q117" s="131"/>
      <c r="R117" s="131" t="s">
        <v>759</v>
      </c>
      <c r="S117" s="131" t="s">
        <v>733</v>
      </c>
      <c r="T117" s="131">
        <v>15</v>
      </c>
      <c r="U117" s="131" t="s">
        <v>592</v>
      </c>
      <c r="V117" s="131" t="s">
        <v>593</v>
      </c>
      <c r="W117" s="131" t="s">
        <v>168</v>
      </c>
      <c r="X117" s="131"/>
      <c r="Y117" s="131"/>
      <c r="Z117" s="131"/>
      <c r="AA117" s="131"/>
      <c r="AB117" s="131"/>
      <c r="AC117" s="131"/>
      <c r="AD117" s="126">
        <f t="shared" si="10"/>
        <v>14</v>
      </c>
      <c r="AE117" s="123" t="str">
        <f t="shared" si="8"/>
        <v>Hidden Gem Saturday Art Strolls with Nimi</v>
      </c>
      <c r="AF117" s="124">
        <v>45423</v>
      </c>
      <c r="AG117" s="123">
        <f t="shared" si="11"/>
        <v>5</v>
      </c>
      <c r="AH117" s="123">
        <f t="shared" si="12"/>
        <v>0</v>
      </c>
      <c r="AI117" s="123" t="s">
        <v>917</v>
      </c>
      <c r="AJ117" s="123"/>
    </row>
    <row r="118" spans="1:36" ht="15.95" customHeight="1">
      <c r="A118" s="130">
        <v>45422.49722222222</v>
      </c>
      <c r="B118" s="131" t="s">
        <v>749</v>
      </c>
      <c r="C118" s="131" t="s">
        <v>609</v>
      </c>
      <c r="D118" s="131" t="s">
        <v>610</v>
      </c>
      <c r="E118" s="88" t="s">
        <v>170</v>
      </c>
      <c r="F118" s="135">
        <v>447896634620</v>
      </c>
      <c r="G118" s="135"/>
      <c r="H118" s="135"/>
      <c r="I118" s="135"/>
      <c r="J118" s="131" t="s">
        <v>915</v>
      </c>
      <c r="K118" s="132">
        <v>14</v>
      </c>
      <c r="L118" s="134" t="s">
        <v>916</v>
      </c>
      <c r="M118" s="134"/>
      <c r="N118" s="134"/>
      <c r="O118" s="134"/>
      <c r="P118" s="131">
        <v>1</v>
      </c>
      <c r="Q118" s="131"/>
      <c r="R118" s="131" t="s">
        <v>759</v>
      </c>
      <c r="S118" s="131" t="s">
        <v>733</v>
      </c>
      <c r="T118" s="131">
        <v>15</v>
      </c>
      <c r="U118" s="131" t="s">
        <v>609</v>
      </c>
      <c r="V118" s="131" t="s">
        <v>610</v>
      </c>
      <c r="W118" s="131" t="s">
        <v>658</v>
      </c>
      <c r="X118" s="131"/>
      <c r="Y118" s="131"/>
      <c r="Z118" s="131"/>
      <c r="AA118" s="131"/>
      <c r="AB118" s="131"/>
      <c r="AC118" s="131"/>
      <c r="AD118" s="126">
        <f t="shared" si="10"/>
        <v>14</v>
      </c>
      <c r="AE118" s="123" t="str">
        <f t="shared" si="8"/>
        <v>Hidden Gem Saturday Art Strolls with Nimi</v>
      </c>
      <c r="AF118" s="124">
        <v>45423</v>
      </c>
      <c r="AG118" s="123">
        <f t="shared" si="11"/>
        <v>5</v>
      </c>
      <c r="AH118" s="123">
        <f t="shared" si="12"/>
        <v>0</v>
      </c>
      <c r="AI118" s="123" t="s">
        <v>917</v>
      </c>
      <c r="AJ118" s="123"/>
    </row>
    <row r="119" spans="1:36" ht="17.100000000000001">
      <c r="B119" s="31" t="s">
        <v>729</v>
      </c>
      <c r="C119" s="31" t="s">
        <v>616</v>
      </c>
      <c r="E119" s="90" t="s">
        <v>615</v>
      </c>
      <c r="J119" s="131" t="s">
        <v>915</v>
      </c>
      <c r="K119" s="132">
        <v>14</v>
      </c>
      <c r="L119" s="134" t="s">
        <v>916</v>
      </c>
      <c r="M119" s="134"/>
      <c r="N119" s="134"/>
      <c r="O119" s="134"/>
      <c r="P119" s="31">
        <v>1</v>
      </c>
      <c r="R119" s="131" t="s">
        <v>759</v>
      </c>
      <c r="T119" s="31">
        <v>15</v>
      </c>
      <c r="U119" s="31" t="s">
        <v>616</v>
      </c>
      <c r="W119" s="136" t="s">
        <v>615</v>
      </c>
      <c r="X119" s="136"/>
      <c r="Y119" s="136"/>
      <c r="Z119" s="136"/>
      <c r="AA119" s="136"/>
      <c r="AB119" s="31" t="s">
        <v>815</v>
      </c>
      <c r="AD119" s="126">
        <f t="shared" si="10"/>
        <v>14</v>
      </c>
      <c r="AE119" s="123" t="str">
        <f t="shared" si="8"/>
        <v>Hidden Gem Saturday Art Strolls with Nimi</v>
      </c>
      <c r="AF119" s="124">
        <v>45423</v>
      </c>
      <c r="AG119" s="123">
        <f t="shared" si="11"/>
        <v>5</v>
      </c>
      <c r="AH119" s="123" t="str">
        <f t="shared" si="12"/>
        <v>Meetup</v>
      </c>
      <c r="AI119" s="123" t="s">
        <v>815</v>
      </c>
      <c r="AJ119" s="123"/>
    </row>
    <row r="120" spans="1:36" ht="15.95" customHeight="1">
      <c r="A120" s="137">
        <v>45428.320833333331</v>
      </c>
      <c r="B120" s="127" t="s">
        <v>729</v>
      </c>
      <c r="C120" s="127" t="s">
        <v>310</v>
      </c>
      <c r="D120" s="127" t="s">
        <v>311</v>
      </c>
      <c r="E120" s="138" t="s">
        <v>125</v>
      </c>
      <c r="F120" s="139">
        <v>447560000000</v>
      </c>
      <c r="G120" s="139"/>
      <c r="H120" s="139"/>
      <c r="I120" s="139"/>
      <c r="J120" s="127" t="s">
        <v>922</v>
      </c>
      <c r="K120" s="138">
        <v>15</v>
      </c>
      <c r="L120" s="134" t="s">
        <v>923</v>
      </c>
      <c r="M120" s="134"/>
      <c r="N120" s="134"/>
      <c r="O120" s="134"/>
      <c r="P120" s="127">
        <v>1</v>
      </c>
      <c r="Q120" s="127"/>
      <c r="R120" s="127" t="s">
        <v>759</v>
      </c>
      <c r="T120" s="127">
        <v>15</v>
      </c>
      <c r="U120" s="127" t="s">
        <v>310</v>
      </c>
      <c r="V120" s="127" t="s">
        <v>311</v>
      </c>
      <c r="W120" s="127" t="s">
        <v>125</v>
      </c>
      <c r="X120" s="127"/>
      <c r="Y120" s="127"/>
      <c r="Z120" s="127"/>
      <c r="AA120" s="127"/>
      <c r="AB120" s="127"/>
      <c r="AC120" s="127"/>
      <c r="AD120" s="123">
        <v>15</v>
      </c>
      <c r="AE120" s="123" t="str">
        <f t="shared" si="8"/>
        <v>Hidden Gems: Photography Exhibitions Across London</v>
      </c>
      <c r="AF120" s="124">
        <f t="shared" ref="AF120:AF135" si="13">DATE(20&amp;_xlfn.TEXTBEFORE(_xlfn.TEXTAFTER(L120,"/",2)," "), _xlfn.TEXTBEFORE(L120,"/",1), _xlfn.TEXTBEFORE(_xlfn.TEXTAFTER(L120,"/"),"/"))</f>
        <v>45430</v>
      </c>
      <c r="AG120" s="123">
        <f t="shared" si="11"/>
        <v>5</v>
      </c>
      <c r="AH120" s="123">
        <f t="shared" si="12"/>
        <v>0</v>
      </c>
      <c r="AI120" s="123" t="s">
        <v>917</v>
      </c>
      <c r="AJ120" s="123"/>
    </row>
    <row r="121" spans="1:36" ht="15.95" customHeight="1">
      <c r="A121" s="137">
        <v>45428.518055555556</v>
      </c>
      <c r="B121" s="127" t="s">
        <v>729</v>
      </c>
      <c r="C121" s="127" t="s">
        <v>381</v>
      </c>
      <c r="D121" s="127" t="s">
        <v>382</v>
      </c>
      <c r="E121" s="138" t="s">
        <v>147</v>
      </c>
      <c r="F121" s="139">
        <v>447980000000</v>
      </c>
      <c r="G121" s="139"/>
      <c r="H121" s="139"/>
      <c r="I121" s="139"/>
      <c r="J121" s="127" t="s">
        <v>922</v>
      </c>
      <c r="K121" s="138">
        <v>15</v>
      </c>
      <c r="L121" s="134" t="s">
        <v>923</v>
      </c>
      <c r="M121" s="134"/>
      <c r="N121" s="134"/>
      <c r="O121" s="134"/>
      <c r="P121" s="127">
        <v>1</v>
      </c>
      <c r="Q121" s="127"/>
      <c r="R121" s="127" t="s">
        <v>759</v>
      </c>
      <c r="T121" s="127">
        <v>15</v>
      </c>
      <c r="U121" s="127" t="s">
        <v>381</v>
      </c>
      <c r="V121" s="127" t="s">
        <v>382</v>
      </c>
      <c r="W121" s="127" t="s">
        <v>147</v>
      </c>
      <c r="X121" s="127"/>
      <c r="Y121" s="127"/>
      <c r="Z121" s="127"/>
      <c r="AA121" s="127"/>
      <c r="AB121" s="127"/>
      <c r="AC121" s="127"/>
      <c r="AD121" s="123">
        <v>15</v>
      </c>
      <c r="AE121" s="123" t="str">
        <f t="shared" si="8"/>
        <v>Hidden Gems: Photography Exhibitions Across London</v>
      </c>
      <c r="AF121" s="124">
        <f t="shared" si="13"/>
        <v>45430</v>
      </c>
      <c r="AG121" s="123">
        <f t="shared" si="11"/>
        <v>5</v>
      </c>
      <c r="AH121" s="123">
        <f t="shared" si="12"/>
        <v>0</v>
      </c>
      <c r="AI121" s="123" t="s">
        <v>917</v>
      </c>
      <c r="AJ121" s="123"/>
    </row>
    <row r="122" spans="1:36" ht="15.95" customHeight="1">
      <c r="A122" s="137">
        <v>45428.533333333333</v>
      </c>
      <c r="B122" s="127" t="s">
        <v>729</v>
      </c>
      <c r="C122" s="127" t="s">
        <v>393</v>
      </c>
      <c r="D122" s="127" t="s">
        <v>394</v>
      </c>
      <c r="E122" s="138" t="s">
        <v>392</v>
      </c>
      <c r="F122" s="139">
        <v>447510000000</v>
      </c>
      <c r="G122" s="139"/>
      <c r="H122" s="139"/>
      <c r="I122" s="139"/>
      <c r="J122" s="127" t="s">
        <v>922</v>
      </c>
      <c r="K122" s="138">
        <v>15</v>
      </c>
      <c r="L122" s="134" t="s">
        <v>923</v>
      </c>
      <c r="M122" s="134"/>
      <c r="N122" s="134"/>
      <c r="O122" s="134"/>
      <c r="P122" s="127">
        <v>1</v>
      </c>
      <c r="Q122" s="127"/>
      <c r="R122" s="127" t="s">
        <v>759</v>
      </c>
      <c r="T122" s="127">
        <v>15</v>
      </c>
      <c r="U122" s="127" t="s">
        <v>393</v>
      </c>
      <c r="V122" s="127" t="s">
        <v>394</v>
      </c>
      <c r="W122" s="127" t="s">
        <v>392</v>
      </c>
      <c r="X122" s="127"/>
      <c r="Y122" s="127"/>
      <c r="Z122" s="127"/>
      <c r="AA122" s="127"/>
      <c r="AB122" s="127"/>
      <c r="AC122" s="127"/>
      <c r="AD122" s="123">
        <v>15</v>
      </c>
      <c r="AE122" s="123" t="str">
        <f t="shared" si="8"/>
        <v>Hidden Gems: Photography Exhibitions Across London</v>
      </c>
      <c r="AF122" s="124">
        <f t="shared" si="13"/>
        <v>45430</v>
      </c>
      <c r="AG122" s="123">
        <f t="shared" si="11"/>
        <v>5</v>
      </c>
      <c r="AH122" s="123">
        <f t="shared" si="12"/>
        <v>0</v>
      </c>
      <c r="AI122" s="123" t="s">
        <v>917</v>
      </c>
      <c r="AJ122" s="123"/>
    </row>
    <row r="123" spans="1:36" ht="15.95" customHeight="1">
      <c r="A123" s="137">
        <v>45430.306944444441</v>
      </c>
      <c r="B123" s="127" t="s">
        <v>729</v>
      </c>
      <c r="C123" s="127" t="s">
        <v>408</v>
      </c>
      <c r="D123" s="127" t="s">
        <v>409</v>
      </c>
      <c r="E123" s="138" t="s">
        <v>407</v>
      </c>
      <c r="F123" s="140" t="s">
        <v>410</v>
      </c>
      <c r="G123" s="140"/>
      <c r="H123" s="140"/>
      <c r="I123" s="140"/>
      <c r="J123" s="127" t="s">
        <v>922</v>
      </c>
      <c r="K123" s="138">
        <v>15</v>
      </c>
      <c r="L123" s="134" t="s">
        <v>923</v>
      </c>
      <c r="M123" s="134"/>
      <c r="N123" s="134"/>
      <c r="O123" s="134"/>
      <c r="P123" s="127">
        <v>1</v>
      </c>
      <c r="Q123" s="127"/>
      <c r="R123" s="127" t="s">
        <v>759</v>
      </c>
      <c r="T123" s="127">
        <v>15</v>
      </c>
      <c r="U123" s="127" t="s">
        <v>408</v>
      </c>
      <c r="V123" s="127" t="s">
        <v>409</v>
      </c>
      <c r="W123" s="127" t="s">
        <v>407</v>
      </c>
      <c r="X123" s="127"/>
      <c r="Y123" s="127"/>
      <c r="Z123" s="127"/>
      <c r="AA123" s="127"/>
      <c r="AB123" s="127"/>
      <c r="AC123" s="127"/>
      <c r="AD123" s="123">
        <v>15</v>
      </c>
      <c r="AE123" s="123" t="str">
        <f t="shared" si="8"/>
        <v>Hidden Gems: Photography Exhibitions Across London</v>
      </c>
      <c r="AF123" s="124">
        <f t="shared" si="13"/>
        <v>45430</v>
      </c>
      <c r="AG123" s="123">
        <f t="shared" si="11"/>
        <v>5</v>
      </c>
      <c r="AH123" s="123">
        <f t="shared" si="12"/>
        <v>0</v>
      </c>
      <c r="AI123" s="123" t="s">
        <v>917</v>
      </c>
      <c r="AJ123" s="123"/>
    </row>
    <row r="124" spans="1:36" ht="15.95" customHeight="1">
      <c r="A124" s="137">
        <v>45429.538194444445</v>
      </c>
      <c r="B124" s="127" t="s">
        <v>729</v>
      </c>
      <c r="C124" s="127" t="s">
        <v>421</v>
      </c>
      <c r="D124" s="127" t="s">
        <v>422</v>
      </c>
      <c r="E124" s="138" t="s">
        <v>420</v>
      </c>
      <c r="F124" s="139">
        <v>19176000000</v>
      </c>
      <c r="G124" s="139"/>
      <c r="H124" s="139"/>
      <c r="I124" s="139"/>
      <c r="J124" s="127" t="s">
        <v>922</v>
      </c>
      <c r="K124" s="138">
        <v>15</v>
      </c>
      <c r="L124" s="134" t="s">
        <v>923</v>
      </c>
      <c r="M124" s="134"/>
      <c r="N124" s="134"/>
      <c r="O124" s="134"/>
      <c r="P124" s="127">
        <v>1</v>
      </c>
      <c r="Q124" s="127"/>
      <c r="R124" s="127" t="s">
        <v>759</v>
      </c>
      <c r="T124" s="127">
        <v>15</v>
      </c>
      <c r="U124" s="127" t="s">
        <v>421</v>
      </c>
      <c r="V124" s="127" t="s">
        <v>422</v>
      </c>
      <c r="W124" s="127" t="s">
        <v>420</v>
      </c>
      <c r="X124" s="127"/>
      <c r="Y124" s="127"/>
      <c r="Z124" s="127"/>
      <c r="AA124" s="127"/>
      <c r="AB124" s="127"/>
      <c r="AC124" s="127"/>
      <c r="AD124" s="123">
        <v>15</v>
      </c>
      <c r="AE124" s="123" t="str">
        <f t="shared" si="8"/>
        <v>Hidden Gems: Photography Exhibitions Across London</v>
      </c>
      <c r="AF124" s="124">
        <f t="shared" si="13"/>
        <v>45430</v>
      </c>
      <c r="AG124" s="123">
        <f t="shared" si="11"/>
        <v>5</v>
      </c>
      <c r="AH124" s="123">
        <f t="shared" si="12"/>
        <v>0</v>
      </c>
      <c r="AI124" s="123" t="s">
        <v>917</v>
      </c>
      <c r="AJ124" s="123"/>
    </row>
    <row r="125" spans="1:36" ht="15.95" customHeight="1">
      <c r="A125" s="137">
        <v>45430.21597222222</v>
      </c>
      <c r="B125" s="127" t="s">
        <v>729</v>
      </c>
      <c r="C125" s="127" t="s">
        <v>471</v>
      </c>
      <c r="D125" s="127" t="s">
        <v>472</v>
      </c>
      <c r="E125" s="138" t="s">
        <v>470</v>
      </c>
      <c r="F125" s="127">
        <v>7469394835</v>
      </c>
      <c r="G125" s="127"/>
      <c r="H125" s="127"/>
      <c r="I125" s="127"/>
      <c r="J125" s="127" t="s">
        <v>922</v>
      </c>
      <c r="K125" s="138">
        <v>15</v>
      </c>
      <c r="L125" s="134" t="s">
        <v>923</v>
      </c>
      <c r="M125" s="134"/>
      <c r="N125" s="134"/>
      <c r="O125" s="134"/>
      <c r="P125" s="127">
        <v>1</v>
      </c>
      <c r="Q125" s="127"/>
      <c r="R125" s="127" t="s">
        <v>759</v>
      </c>
      <c r="T125" s="127">
        <v>15</v>
      </c>
      <c r="U125" s="127" t="s">
        <v>471</v>
      </c>
      <c r="V125" s="127" t="s">
        <v>472</v>
      </c>
      <c r="W125" s="127" t="s">
        <v>470</v>
      </c>
      <c r="X125" s="127"/>
      <c r="Y125" s="127"/>
      <c r="Z125" s="127"/>
      <c r="AA125" s="127"/>
      <c r="AB125" s="127" t="s">
        <v>874</v>
      </c>
      <c r="AC125" s="127"/>
      <c r="AD125" s="123">
        <v>15</v>
      </c>
      <c r="AE125" s="123" t="str">
        <f t="shared" si="8"/>
        <v>Hidden Gems: Photography Exhibitions Across London</v>
      </c>
      <c r="AF125" s="124">
        <f t="shared" si="13"/>
        <v>45430</v>
      </c>
      <c r="AG125" s="123">
        <f t="shared" si="11"/>
        <v>5</v>
      </c>
      <c r="AH125" s="123" t="str">
        <f t="shared" si="12"/>
        <v>ebesessearch</v>
      </c>
      <c r="AI125" s="123" t="s">
        <v>918</v>
      </c>
      <c r="AJ125" s="123"/>
    </row>
    <row r="126" spans="1:36" ht="15.95" customHeight="1">
      <c r="A126" s="137">
        <v>45430.308333333334</v>
      </c>
      <c r="B126" s="127" t="s">
        <v>749</v>
      </c>
      <c r="C126" s="127" t="s">
        <v>500</v>
      </c>
      <c r="D126" s="127" t="s">
        <v>501</v>
      </c>
      <c r="E126" s="138" t="s">
        <v>499</v>
      </c>
      <c r="F126" s="127">
        <v>0</v>
      </c>
      <c r="G126" s="127"/>
      <c r="H126" s="127"/>
      <c r="I126" s="127"/>
      <c r="J126" s="127" t="s">
        <v>922</v>
      </c>
      <c r="K126" s="138">
        <v>15</v>
      </c>
      <c r="L126" s="134" t="s">
        <v>923</v>
      </c>
      <c r="M126" s="134"/>
      <c r="N126" s="134"/>
      <c r="O126" s="134"/>
      <c r="P126" s="127">
        <v>1</v>
      </c>
      <c r="Q126" s="127"/>
      <c r="R126" s="127" t="s">
        <v>759</v>
      </c>
      <c r="T126" s="127">
        <v>15</v>
      </c>
      <c r="U126" s="127" t="s">
        <v>500</v>
      </c>
      <c r="V126" s="127" t="s">
        <v>501</v>
      </c>
      <c r="W126" s="127" t="s">
        <v>499</v>
      </c>
      <c r="X126" s="127"/>
      <c r="Y126" s="127"/>
      <c r="Z126" s="127"/>
      <c r="AA126" s="127"/>
      <c r="AB126" s="127" t="s">
        <v>815</v>
      </c>
      <c r="AC126" s="127"/>
      <c r="AD126" s="123">
        <v>15</v>
      </c>
      <c r="AE126" s="123" t="str">
        <f t="shared" si="8"/>
        <v>Hidden Gems: Photography Exhibitions Across London</v>
      </c>
      <c r="AF126" s="124">
        <f t="shared" si="13"/>
        <v>45430</v>
      </c>
      <c r="AG126" s="123">
        <f t="shared" si="11"/>
        <v>5</v>
      </c>
      <c r="AH126" s="123" t="str">
        <f t="shared" si="12"/>
        <v>Meetup</v>
      </c>
      <c r="AI126" s="123" t="s">
        <v>815</v>
      </c>
      <c r="AJ126" s="123"/>
    </row>
    <row r="127" spans="1:36" ht="15.95" customHeight="1">
      <c r="A127" s="137">
        <v>45428.332638888889</v>
      </c>
      <c r="B127" s="127" t="s">
        <v>729</v>
      </c>
      <c r="C127" s="127" t="s">
        <v>506</v>
      </c>
      <c r="D127" s="127" t="s">
        <v>507</v>
      </c>
      <c r="E127" s="138" t="s">
        <v>178</v>
      </c>
      <c r="F127" s="139">
        <v>447820000000</v>
      </c>
      <c r="G127" s="139"/>
      <c r="H127" s="139"/>
      <c r="I127" s="139"/>
      <c r="J127" s="127" t="s">
        <v>922</v>
      </c>
      <c r="K127" s="138">
        <v>15</v>
      </c>
      <c r="L127" s="134" t="s">
        <v>923</v>
      </c>
      <c r="M127" s="134"/>
      <c r="N127" s="134"/>
      <c r="O127" s="134"/>
      <c r="P127" s="127">
        <v>1</v>
      </c>
      <c r="Q127" s="127"/>
      <c r="R127" s="127" t="s">
        <v>759</v>
      </c>
      <c r="T127" s="127">
        <v>15</v>
      </c>
      <c r="U127" s="127" t="s">
        <v>506</v>
      </c>
      <c r="V127" s="127" t="s">
        <v>507</v>
      </c>
      <c r="W127" s="127" t="s">
        <v>178</v>
      </c>
      <c r="X127" s="127"/>
      <c r="Y127" s="127"/>
      <c r="Z127" s="127"/>
      <c r="AA127" s="127"/>
      <c r="AB127" s="127"/>
      <c r="AC127" s="127"/>
      <c r="AD127" s="123">
        <v>15</v>
      </c>
      <c r="AE127" s="123" t="str">
        <f t="shared" si="8"/>
        <v>Hidden Gems: Photography Exhibitions Across London</v>
      </c>
      <c r="AF127" s="124">
        <f t="shared" si="13"/>
        <v>45430</v>
      </c>
      <c r="AG127" s="123">
        <f t="shared" si="11"/>
        <v>5</v>
      </c>
      <c r="AH127" s="123">
        <f t="shared" si="12"/>
        <v>0</v>
      </c>
      <c r="AI127" s="123" t="s">
        <v>917</v>
      </c>
      <c r="AJ127" s="123"/>
    </row>
    <row r="128" spans="1:36" ht="15.95" customHeight="1">
      <c r="A128" s="137">
        <v>45428.303472222222</v>
      </c>
      <c r="B128" s="127" t="s">
        <v>729</v>
      </c>
      <c r="C128" s="127" t="s">
        <v>564</v>
      </c>
      <c r="D128" s="127" t="s">
        <v>568</v>
      </c>
      <c r="E128" s="138" t="s">
        <v>567</v>
      </c>
      <c r="F128" s="139">
        <v>447930000000</v>
      </c>
      <c r="G128" s="139"/>
      <c r="H128" s="139"/>
      <c r="I128" s="139"/>
      <c r="J128" s="127" t="s">
        <v>922</v>
      </c>
      <c r="K128" s="138">
        <v>15</v>
      </c>
      <c r="L128" s="134" t="s">
        <v>923</v>
      </c>
      <c r="M128" s="134"/>
      <c r="N128" s="134"/>
      <c r="O128" s="134"/>
      <c r="P128" s="127">
        <v>1</v>
      </c>
      <c r="Q128" s="127"/>
      <c r="R128" s="127" t="s">
        <v>759</v>
      </c>
      <c r="T128" s="127">
        <v>15</v>
      </c>
      <c r="U128" s="127" t="s">
        <v>564</v>
      </c>
      <c r="V128" s="127" t="s">
        <v>568</v>
      </c>
      <c r="W128" s="127" t="s">
        <v>567</v>
      </c>
      <c r="X128" s="127"/>
      <c r="Y128" s="127"/>
      <c r="Z128" s="127"/>
      <c r="AA128" s="127"/>
      <c r="AB128" s="127"/>
      <c r="AC128" s="127"/>
      <c r="AD128" s="123">
        <v>15</v>
      </c>
      <c r="AE128" s="123" t="str">
        <f t="shared" si="8"/>
        <v>Hidden Gems: Photography Exhibitions Across London</v>
      </c>
      <c r="AF128" s="124">
        <f t="shared" si="13"/>
        <v>45430</v>
      </c>
      <c r="AG128" s="123">
        <f t="shared" si="11"/>
        <v>5</v>
      </c>
      <c r="AH128" s="123">
        <f t="shared" si="12"/>
        <v>0</v>
      </c>
      <c r="AI128" s="123" t="s">
        <v>917</v>
      </c>
      <c r="AJ128" s="123"/>
    </row>
    <row r="129" spans="1:36" ht="15.95" customHeight="1">
      <c r="B129" s="31" t="s">
        <v>729</v>
      </c>
      <c r="C129" s="127" t="s">
        <v>310</v>
      </c>
      <c r="D129" s="31" t="s">
        <v>311</v>
      </c>
      <c r="E129" s="121" t="s">
        <v>125</v>
      </c>
      <c r="J129" t="s">
        <v>269</v>
      </c>
      <c r="K129" s="121">
        <v>20</v>
      </c>
      <c r="L129" s="134" t="s">
        <v>924</v>
      </c>
      <c r="M129" s="134"/>
      <c r="N129" s="134"/>
      <c r="O129" s="134"/>
      <c r="P129" s="31">
        <v>1</v>
      </c>
      <c r="T129" s="31">
        <v>0</v>
      </c>
      <c r="AD129" s="123">
        <v>20</v>
      </c>
      <c r="AE129" s="123" t="str">
        <f t="shared" si="8"/>
        <v>Thomas Cameron  Studio + Shay Dinner</v>
      </c>
      <c r="AF129" s="124">
        <f t="shared" si="13"/>
        <v>45434</v>
      </c>
      <c r="AG129" s="123">
        <f t="shared" si="11"/>
        <v>5</v>
      </c>
      <c r="AH129" s="123">
        <f t="shared" si="12"/>
        <v>0</v>
      </c>
      <c r="AI129" s="123" t="s">
        <v>917</v>
      </c>
      <c r="AJ129" s="123"/>
    </row>
    <row r="130" spans="1:36" ht="15.95" customHeight="1">
      <c r="B130" s="31" t="s">
        <v>729</v>
      </c>
      <c r="C130" s="31" t="s">
        <v>925</v>
      </c>
      <c r="D130" s="31" t="s">
        <v>434</v>
      </c>
      <c r="F130" s="125" t="s">
        <v>435</v>
      </c>
      <c r="J130" t="s">
        <v>269</v>
      </c>
      <c r="K130" s="121">
        <v>20</v>
      </c>
      <c r="L130" s="134" t="s">
        <v>924</v>
      </c>
      <c r="M130" s="134"/>
      <c r="N130" s="134"/>
      <c r="O130" s="134"/>
      <c r="P130" s="31">
        <v>1</v>
      </c>
      <c r="T130" s="31">
        <v>0</v>
      </c>
      <c r="AD130" s="123">
        <v>20</v>
      </c>
      <c r="AE130" s="123" t="str">
        <f t="shared" ref="AE130:AE193" si="14">J130</f>
        <v>Thomas Cameron  Studio + Shay Dinner</v>
      </c>
      <c r="AF130" s="124">
        <f t="shared" si="13"/>
        <v>45434</v>
      </c>
      <c r="AG130" s="123">
        <f t="shared" si="11"/>
        <v>5</v>
      </c>
      <c r="AH130" s="123">
        <f t="shared" si="12"/>
        <v>0</v>
      </c>
      <c r="AI130" s="123" t="s">
        <v>926</v>
      </c>
      <c r="AJ130" s="123"/>
    </row>
    <row r="131" spans="1:36" ht="15.95" customHeight="1">
      <c r="B131" s="31" t="s">
        <v>729</v>
      </c>
      <c r="C131" s="127" t="s">
        <v>492</v>
      </c>
      <c r="D131" s="36" t="s">
        <v>493</v>
      </c>
      <c r="E131" s="88" t="s">
        <v>118</v>
      </c>
      <c r="J131" t="s">
        <v>269</v>
      </c>
      <c r="K131" s="121">
        <v>20</v>
      </c>
      <c r="L131" s="134" t="s">
        <v>924</v>
      </c>
      <c r="M131" s="134"/>
      <c r="N131" s="134"/>
      <c r="O131" s="134"/>
      <c r="P131" s="31">
        <v>1</v>
      </c>
      <c r="T131" s="31">
        <v>0</v>
      </c>
      <c r="AD131" s="123">
        <v>20</v>
      </c>
      <c r="AE131" s="123" t="str">
        <f t="shared" si="14"/>
        <v>Thomas Cameron  Studio + Shay Dinner</v>
      </c>
      <c r="AF131" s="124">
        <f t="shared" si="13"/>
        <v>45434</v>
      </c>
      <c r="AG131" s="123">
        <f t="shared" si="11"/>
        <v>5</v>
      </c>
      <c r="AH131" s="123">
        <f t="shared" si="12"/>
        <v>0</v>
      </c>
      <c r="AI131" s="123" t="s">
        <v>917</v>
      </c>
      <c r="AJ131" s="123"/>
    </row>
    <row r="132" spans="1:36" ht="15.95" customHeight="1">
      <c r="B132" s="31" t="s">
        <v>729</v>
      </c>
      <c r="C132" s="31" t="s">
        <v>506</v>
      </c>
      <c r="D132" s="31" t="s">
        <v>507</v>
      </c>
      <c r="E132" s="88" t="s">
        <v>178</v>
      </c>
      <c r="J132" t="s">
        <v>269</v>
      </c>
      <c r="K132" s="121">
        <v>20</v>
      </c>
      <c r="L132" s="134" t="s">
        <v>924</v>
      </c>
      <c r="M132" s="134"/>
      <c r="N132" s="134"/>
      <c r="O132" s="134"/>
      <c r="P132" s="31">
        <v>1</v>
      </c>
      <c r="T132" s="31">
        <v>0</v>
      </c>
      <c r="AD132" s="123">
        <v>20</v>
      </c>
      <c r="AE132" s="123" t="str">
        <f t="shared" si="14"/>
        <v>Thomas Cameron  Studio + Shay Dinner</v>
      </c>
      <c r="AF132" s="124">
        <f t="shared" si="13"/>
        <v>45434</v>
      </c>
      <c r="AG132" s="123">
        <f t="shared" si="11"/>
        <v>5</v>
      </c>
      <c r="AH132" s="123">
        <f t="shared" si="12"/>
        <v>0</v>
      </c>
      <c r="AI132" s="123" t="s">
        <v>917</v>
      </c>
      <c r="AJ132" s="123"/>
    </row>
    <row r="133" spans="1:36" ht="15.95" customHeight="1">
      <c r="B133" s="31" t="s">
        <v>729</v>
      </c>
      <c r="C133" s="31" t="s">
        <v>554</v>
      </c>
      <c r="D133" s="31" t="s">
        <v>555</v>
      </c>
      <c r="E133" s="88" t="s">
        <v>124</v>
      </c>
      <c r="J133" t="s">
        <v>269</v>
      </c>
      <c r="K133" s="121">
        <v>20</v>
      </c>
      <c r="L133" s="134" t="s">
        <v>924</v>
      </c>
      <c r="M133" s="134"/>
      <c r="N133" s="134"/>
      <c r="O133" s="134"/>
      <c r="P133" s="31">
        <v>1</v>
      </c>
      <c r="T133" s="31">
        <v>0</v>
      </c>
      <c r="AD133" s="123">
        <v>20</v>
      </c>
      <c r="AE133" s="123" t="str">
        <f t="shared" si="14"/>
        <v>Thomas Cameron  Studio + Shay Dinner</v>
      </c>
      <c r="AF133" s="124">
        <f t="shared" si="13"/>
        <v>45434</v>
      </c>
      <c r="AG133" s="123">
        <f t="shared" si="11"/>
        <v>5</v>
      </c>
      <c r="AH133" s="123">
        <f t="shared" si="12"/>
        <v>0</v>
      </c>
      <c r="AI133" s="123" t="s">
        <v>917</v>
      </c>
      <c r="AJ133" s="123"/>
    </row>
    <row r="134" spans="1:36" ht="15.95" customHeight="1">
      <c r="B134" s="31" t="s">
        <v>729</v>
      </c>
      <c r="C134" s="127" t="s">
        <v>564</v>
      </c>
      <c r="D134" s="31" t="s">
        <v>565</v>
      </c>
      <c r="E134" s="88" t="s">
        <v>135</v>
      </c>
      <c r="J134" t="s">
        <v>269</v>
      </c>
      <c r="K134" s="121">
        <v>20</v>
      </c>
      <c r="L134" s="134" t="s">
        <v>924</v>
      </c>
      <c r="M134" s="134"/>
      <c r="N134" s="134"/>
      <c r="O134" s="134"/>
      <c r="P134" s="31">
        <v>1</v>
      </c>
      <c r="T134" s="31">
        <v>0</v>
      </c>
      <c r="AD134" s="123">
        <v>20</v>
      </c>
      <c r="AE134" s="123" t="str">
        <f t="shared" si="14"/>
        <v>Thomas Cameron  Studio + Shay Dinner</v>
      </c>
      <c r="AF134" s="124">
        <f t="shared" si="13"/>
        <v>45434</v>
      </c>
      <c r="AG134" s="123">
        <f t="shared" si="11"/>
        <v>5</v>
      </c>
      <c r="AH134" s="123">
        <f t="shared" si="12"/>
        <v>0</v>
      </c>
      <c r="AI134" s="123" t="s">
        <v>917</v>
      </c>
      <c r="AJ134" s="123"/>
    </row>
    <row r="135" spans="1:36" ht="15.95" customHeight="1">
      <c r="A135" s="137">
        <v>45436.350694444445</v>
      </c>
      <c r="B135" s="127" t="s">
        <v>729</v>
      </c>
      <c r="C135" s="127" t="s">
        <v>315</v>
      </c>
      <c r="D135" s="127" t="s">
        <v>316</v>
      </c>
      <c r="E135" s="138" t="s">
        <v>134</v>
      </c>
      <c r="F135" s="139">
        <v>447950000000</v>
      </c>
      <c r="G135" s="139"/>
      <c r="H135" s="139"/>
      <c r="I135" s="139"/>
      <c r="J135" s="127" t="s">
        <v>927</v>
      </c>
      <c r="K135" s="138">
        <v>22</v>
      </c>
      <c r="L135" s="134" t="s">
        <v>928</v>
      </c>
      <c r="M135" s="134"/>
      <c r="N135" s="134"/>
      <c r="O135" s="134"/>
      <c r="P135" s="127">
        <v>1</v>
      </c>
      <c r="Q135" s="127"/>
      <c r="R135" s="127" t="s">
        <v>759</v>
      </c>
      <c r="T135" s="127">
        <v>14</v>
      </c>
      <c r="U135" s="127" t="s">
        <v>315</v>
      </c>
      <c r="V135" s="127" t="s">
        <v>316</v>
      </c>
      <c r="W135" s="127" t="s">
        <v>134</v>
      </c>
      <c r="X135" s="127"/>
      <c r="Y135" s="127"/>
      <c r="Z135" s="127"/>
      <c r="AA135" s="127"/>
      <c r="AB135" s="127"/>
      <c r="AC135" s="127"/>
      <c r="AD135" s="123">
        <v>22</v>
      </c>
      <c r="AE135" s="123" t="str">
        <f t="shared" si="14"/>
        <v>Art, Music and Drinks at Courtauld Late - Featuring Exhibition of Frank Auerbach</v>
      </c>
      <c r="AF135" s="124">
        <f t="shared" si="13"/>
        <v>45437</v>
      </c>
      <c r="AG135" s="123">
        <f t="shared" si="11"/>
        <v>5</v>
      </c>
      <c r="AH135" s="123">
        <f t="shared" si="12"/>
        <v>0</v>
      </c>
      <c r="AI135" s="123" t="s">
        <v>929</v>
      </c>
      <c r="AJ135" s="123"/>
    </row>
    <row r="136" spans="1:36" ht="15.95" customHeight="1">
      <c r="A136" s="141">
        <v>45437.245138888888</v>
      </c>
      <c r="B136" s="142" t="s">
        <v>729</v>
      </c>
      <c r="C136" s="142" t="s">
        <v>343</v>
      </c>
      <c r="D136" s="142" t="s">
        <v>344</v>
      </c>
      <c r="E136" s="143" t="s">
        <v>342</v>
      </c>
      <c r="F136" s="142">
        <v>7730398818</v>
      </c>
      <c r="G136" s="142"/>
      <c r="H136" s="142"/>
      <c r="I136" s="142"/>
      <c r="J136" s="142" t="s">
        <v>915</v>
      </c>
      <c r="K136" s="143">
        <v>16</v>
      </c>
      <c r="L136" s="141">
        <v>45437.583333333336</v>
      </c>
      <c r="M136" s="141"/>
      <c r="N136" s="141"/>
      <c r="O136" s="141"/>
      <c r="P136" s="142">
        <v>1</v>
      </c>
      <c r="Q136" s="142"/>
      <c r="R136" s="142" t="s">
        <v>759</v>
      </c>
      <c r="S136" s="142" t="s">
        <v>733</v>
      </c>
      <c r="T136" s="142">
        <v>15</v>
      </c>
      <c r="U136" s="142" t="s">
        <v>343</v>
      </c>
      <c r="V136" s="142" t="s">
        <v>442</v>
      </c>
      <c r="W136" s="142" t="s">
        <v>342</v>
      </c>
      <c r="X136" s="142"/>
      <c r="Y136" s="142"/>
      <c r="Z136" s="142"/>
      <c r="AA136" s="142"/>
      <c r="AB136" s="142" t="s">
        <v>874</v>
      </c>
      <c r="AC136" s="142"/>
      <c r="AD136" s="123">
        <v>16</v>
      </c>
      <c r="AE136" s="123" t="str">
        <f t="shared" si="14"/>
        <v>Hidden Gem Saturday Art Strolls with Nimi</v>
      </c>
      <c r="AF136" s="124">
        <v>45437</v>
      </c>
      <c r="AG136" s="123">
        <f t="shared" ref="AG136:AG167" si="15">MONTH(AF136)</f>
        <v>5</v>
      </c>
      <c r="AH136" s="123" t="str">
        <f t="shared" si="12"/>
        <v>ebesessearch</v>
      </c>
      <c r="AI136" s="123" t="s">
        <v>917</v>
      </c>
      <c r="AJ136" s="123"/>
    </row>
    <row r="137" spans="1:36" ht="15.95">
      <c r="A137" s="137">
        <v>45435.322916666664</v>
      </c>
      <c r="B137" s="127" t="s">
        <v>729</v>
      </c>
      <c r="C137" s="127" t="s">
        <v>367</v>
      </c>
      <c r="D137" s="127" t="s">
        <v>368</v>
      </c>
      <c r="E137" s="138" t="s">
        <v>130</v>
      </c>
      <c r="F137" s="127"/>
      <c r="G137" s="127"/>
      <c r="H137" s="127"/>
      <c r="I137" s="127"/>
      <c r="J137" s="127" t="s">
        <v>927</v>
      </c>
      <c r="K137" s="138">
        <v>22</v>
      </c>
      <c r="L137" s="134" t="s">
        <v>928</v>
      </c>
      <c r="M137" s="134"/>
      <c r="N137" s="134"/>
      <c r="O137" s="134"/>
      <c r="P137" s="127">
        <v>1</v>
      </c>
      <c r="Q137" s="127"/>
      <c r="R137" s="127" t="s">
        <v>759</v>
      </c>
      <c r="T137" s="127">
        <v>15</v>
      </c>
      <c r="U137" s="127" t="s">
        <v>367</v>
      </c>
      <c r="V137" s="127" t="s">
        <v>368</v>
      </c>
      <c r="W137" s="127" t="s">
        <v>130</v>
      </c>
      <c r="X137" s="127"/>
      <c r="Y137" s="127"/>
      <c r="Z137" s="127"/>
      <c r="AA137" s="127"/>
      <c r="AB137" s="127"/>
      <c r="AC137" s="127"/>
      <c r="AD137" s="123">
        <v>22</v>
      </c>
      <c r="AE137" s="123" t="str">
        <f t="shared" si="14"/>
        <v>Art, Music and Drinks at Courtauld Late - Featuring Exhibition of Frank Auerbach</v>
      </c>
      <c r="AF137" s="124">
        <f>DATE(20&amp;_xlfn.TEXTBEFORE(_xlfn.TEXTAFTER(L137,"/",2)," "), _xlfn.TEXTBEFORE(L137,"/",1), _xlfn.TEXTBEFORE(_xlfn.TEXTAFTER(L137,"/"),"/"))</f>
        <v>45437</v>
      </c>
      <c r="AG137" s="123">
        <f t="shared" si="15"/>
        <v>5</v>
      </c>
      <c r="AH137" s="123">
        <f t="shared" si="12"/>
        <v>0</v>
      </c>
      <c r="AI137" s="123" t="s">
        <v>917</v>
      </c>
      <c r="AJ137" s="123"/>
    </row>
    <row r="138" spans="1:36" ht="15.95" customHeight="1">
      <c r="A138" s="130">
        <v>45435.336805555555</v>
      </c>
      <c r="B138" s="131" t="s">
        <v>729</v>
      </c>
      <c r="C138" s="131" t="s">
        <v>375</v>
      </c>
      <c r="D138" s="131" t="s">
        <v>376</v>
      </c>
      <c r="E138" s="132" t="s">
        <v>122</v>
      </c>
      <c r="F138" s="125" t="s">
        <v>930</v>
      </c>
      <c r="J138" s="131" t="s">
        <v>931</v>
      </c>
      <c r="K138" s="121">
        <v>16</v>
      </c>
      <c r="L138" s="130">
        <v>45437.583333333336</v>
      </c>
      <c r="M138" s="130"/>
      <c r="N138" s="130"/>
      <c r="O138" s="130"/>
      <c r="P138" s="131">
        <v>1</v>
      </c>
      <c r="Q138" s="131"/>
      <c r="R138" s="131" t="s">
        <v>759</v>
      </c>
      <c r="S138" s="131" t="s">
        <v>733</v>
      </c>
      <c r="T138" s="131">
        <v>15</v>
      </c>
      <c r="U138" s="131" t="s">
        <v>375</v>
      </c>
      <c r="V138" s="131" t="s">
        <v>376</v>
      </c>
      <c r="W138" s="131" t="s">
        <v>122</v>
      </c>
      <c r="X138" s="131"/>
      <c r="Y138" s="131"/>
      <c r="Z138" s="131"/>
      <c r="AA138" s="131"/>
      <c r="AB138" s="131"/>
      <c r="AC138" s="131"/>
      <c r="AD138" s="123">
        <v>16</v>
      </c>
      <c r="AE138" s="123" t="str">
        <f t="shared" si="14"/>
        <v>[Hidden Gem] Art Gallery Stroll in Fitzrovia</v>
      </c>
      <c r="AF138" s="124">
        <v>45437</v>
      </c>
      <c r="AG138" s="123">
        <f t="shared" si="15"/>
        <v>5</v>
      </c>
      <c r="AH138" s="123">
        <f t="shared" si="12"/>
        <v>0</v>
      </c>
      <c r="AI138" s="123" t="s">
        <v>917</v>
      </c>
      <c r="AJ138" s="123"/>
    </row>
    <row r="139" spans="1:36" ht="15.95" customHeight="1">
      <c r="A139" s="130">
        <v>45437.337500000001</v>
      </c>
      <c r="B139" s="131" t="s">
        <v>729</v>
      </c>
      <c r="C139" s="131" t="s">
        <v>389</v>
      </c>
      <c r="D139" s="131" t="s">
        <v>390</v>
      </c>
      <c r="E139" s="132" t="s">
        <v>166</v>
      </c>
      <c r="F139" s="125" t="s">
        <v>391</v>
      </c>
      <c r="J139" s="131" t="s">
        <v>931</v>
      </c>
      <c r="K139" s="121">
        <v>16</v>
      </c>
      <c r="L139" s="130">
        <v>45437.583333333336</v>
      </c>
      <c r="M139" s="130"/>
      <c r="N139" s="130"/>
      <c r="O139" s="130"/>
      <c r="P139" s="131">
        <v>1</v>
      </c>
      <c r="Q139" s="131"/>
      <c r="R139" s="131" t="s">
        <v>759</v>
      </c>
      <c r="S139" s="131" t="s">
        <v>733</v>
      </c>
      <c r="T139" s="131">
        <v>15</v>
      </c>
      <c r="U139" s="131" t="s">
        <v>389</v>
      </c>
      <c r="V139" s="131" t="s">
        <v>390</v>
      </c>
      <c r="W139" s="131" t="s">
        <v>166</v>
      </c>
      <c r="X139" s="131"/>
      <c r="Y139" s="131"/>
      <c r="Z139" s="131"/>
      <c r="AA139" s="131"/>
      <c r="AB139" s="131"/>
      <c r="AC139" s="131"/>
      <c r="AD139" s="123">
        <v>16</v>
      </c>
      <c r="AE139" s="123" t="str">
        <f t="shared" si="14"/>
        <v>[Hidden Gem] Art Gallery Stroll in Fitzrovia</v>
      </c>
      <c r="AF139" s="124">
        <v>45437</v>
      </c>
      <c r="AG139" s="123">
        <f t="shared" si="15"/>
        <v>5</v>
      </c>
      <c r="AH139" s="123">
        <f t="shared" si="12"/>
        <v>0</v>
      </c>
      <c r="AI139" s="123" t="s">
        <v>917</v>
      </c>
      <c r="AJ139" s="123"/>
    </row>
    <row r="140" spans="1:36" ht="15.95" customHeight="1">
      <c r="A140" s="137">
        <v>45436.349305555559</v>
      </c>
      <c r="B140" s="127" t="s">
        <v>729</v>
      </c>
      <c r="C140" s="127" t="s">
        <v>437</v>
      </c>
      <c r="D140" s="127" t="s">
        <v>438</v>
      </c>
      <c r="E140" s="138" t="s">
        <v>436</v>
      </c>
      <c r="F140" s="140" t="s">
        <v>439</v>
      </c>
      <c r="G140" s="140"/>
      <c r="H140" s="140"/>
      <c r="I140" s="140"/>
      <c r="J140" s="127" t="s">
        <v>927</v>
      </c>
      <c r="K140" s="138">
        <v>22</v>
      </c>
      <c r="L140" s="134" t="s">
        <v>928</v>
      </c>
      <c r="M140" s="134"/>
      <c r="N140" s="134"/>
      <c r="O140" s="134"/>
      <c r="P140" s="127">
        <v>1</v>
      </c>
      <c r="Q140" s="127"/>
      <c r="R140" s="127" t="s">
        <v>759</v>
      </c>
      <c r="T140" s="127">
        <v>14</v>
      </c>
      <c r="U140" s="127" t="s">
        <v>437</v>
      </c>
      <c r="V140" s="127" t="s">
        <v>438</v>
      </c>
      <c r="W140" s="127" t="s">
        <v>436</v>
      </c>
      <c r="X140" s="127"/>
      <c r="Y140" s="127"/>
      <c r="Z140" s="127"/>
      <c r="AA140" s="127"/>
      <c r="AB140" s="127"/>
      <c r="AC140" s="127"/>
      <c r="AD140" s="123">
        <v>22</v>
      </c>
      <c r="AE140" s="123" t="str">
        <f t="shared" si="14"/>
        <v>Art, Music and Drinks at Courtauld Late - Featuring Exhibition of Frank Auerbach</v>
      </c>
      <c r="AF140" s="124">
        <f>DATE(20&amp;_xlfn.TEXTBEFORE(_xlfn.TEXTAFTER(L140,"/",2)," "), _xlfn.TEXTBEFORE(L140,"/",1), _xlfn.TEXTBEFORE(_xlfn.TEXTAFTER(L140,"/"),"/"))</f>
        <v>45437</v>
      </c>
      <c r="AG140" s="123">
        <f t="shared" si="15"/>
        <v>5</v>
      </c>
      <c r="AH140" s="123">
        <f t="shared" si="12"/>
        <v>0</v>
      </c>
      <c r="AI140" s="123" t="s">
        <v>917</v>
      </c>
      <c r="AJ140" s="123"/>
    </row>
    <row r="141" spans="1:36" ht="15.95" customHeight="1">
      <c r="A141" s="137">
        <v>45436.349305555559</v>
      </c>
      <c r="B141" s="127" t="s">
        <v>729</v>
      </c>
      <c r="C141" s="127" t="s">
        <v>437</v>
      </c>
      <c r="D141" s="127" t="s">
        <v>438</v>
      </c>
      <c r="E141" s="138" t="s">
        <v>436</v>
      </c>
      <c r="F141" s="140" t="s">
        <v>439</v>
      </c>
      <c r="G141" s="140"/>
      <c r="H141" s="140"/>
      <c r="I141" s="140"/>
      <c r="J141" s="127" t="s">
        <v>927</v>
      </c>
      <c r="K141" s="138">
        <v>22</v>
      </c>
      <c r="L141" s="134" t="s">
        <v>928</v>
      </c>
      <c r="M141" s="134"/>
      <c r="N141" s="134"/>
      <c r="O141" s="134"/>
      <c r="P141" s="127">
        <v>1</v>
      </c>
      <c r="Q141" s="127"/>
      <c r="R141" s="127" t="s">
        <v>759</v>
      </c>
      <c r="T141" s="127">
        <v>14</v>
      </c>
      <c r="U141" s="127" t="s">
        <v>437</v>
      </c>
      <c r="V141" s="127" t="s">
        <v>438</v>
      </c>
      <c r="W141" s="127" t="s">
        <v>436</v>
      </c>
      <c r="X141" s="127"/>
      <c r="Y141" s="127"/>
      <c r="Z141" s="127"/>
      <c r="AA141" s="127"/>
      <c r="AB141" s="127"/>
      <c r="AC141" s="127"/>
      <c r="AD141" s="123">
        <v>22</v>
      </c>
      <c r="AE141" s="123" t="str">
        <f t="shared" si="14"/>
        <v>Art, Music and Drinks at Courtauld Late - Featuring Exhibition of Frank Auerbach</v>
      </c>
      <c r="AF141" s="124">
        <f>DATE(20&amp;_xlfn.TEXTBEFORE(_xlfn.TEXTAFTER(L141,"/",2)," "), _xlfn.TEXTBEFORE(L141,"/",1), _xlfn.TEXTBEFORE(_xlfn.TEXTAFTER(L141,"/"),"/"))</f>
        <v>45437</v>
      </c>
      <c r="AG141" s="123">
        <f t="shared" si="15"/>
        <v>5</v>
      </c>
      <c r="AH141" s="123">
        <f t="shared" si="12"/>
        <v>0</v>
      </c>
      <c r="AI141" s="123" t="s">
        <v>917</v>
      </c>
      <c r="AJ141" s="123"/>
    </row>
    <row r="142" spans="1:36" ht="15.95" customHeight="1">
      <c r="A142" s="141">
        <v>45435.726388888892</v>
      </c>
      <c r="B142" s="142" t="s">
        <v>729</v>
      </c>
      <c r="C142" s="142" t="s">
        <v>441</v>
      </c>
      <c r="D142" s="142" t="s">
        <v>442</v>
      </c>
      <c r="E142" s="143" t="s">
        <v>440</v>
      </c>
      <c r="F142" s="142">
        <v>7841262698</v>
      </c>
      <c r="G142" s="142"/>
      <c r="H142" s="142"/>
      <c r="I142" s="142"/>
      <c r="J142" s="142" t="s">
        <v>915</v>
      </c>
      <c r="K142" s="143">
        <v>16</v>
      </c>
      <c r="L142" s="141">
        <v>45437.583333333336</v>
      </c>
      <c r="M142" s="141"/>
      <c r="N142" s="141"/>
      <c r="O142" s="141"/>
      <c r="P142" s="142">
        <v>1</v>
      </c>
      <c r="Q142" s="142"/>
      <c r="R142" s="142" t="s">
        <v>759</v>
      </c>
      <c r="S142" s="142" t="s">
        <v>733</v>
      </c>
      <c r="T142" s="142">
        <v>15</v>
      </c>
      <c r="U142" s="142" t="s">
        <v>441</v>
      </c>
      <c r="V142" s="142" t="s">
        <v>442</v>
      </c>
      <c r="W142" s="142" t="s">
        <v>440</v>
      </c>
      <c r="X142" s="142"/>
      <c r="Y142" s="142"/>
      <c r="Z142" s="142"/>
      <c r="AA142" s="142"/>
      <c r="AB142" s="142" t="s">
        <v>893</v>
      </c>
      <c r="AC142" s="142"/>
      <c r="AD142" s="123">
        <v>16</v>
      </c>
      <c r="AE142" s="123" t="str">
        <f t="shared" si="14"/>
        <v>Hidden Gem Saturday Art Strolls with Nimi</v>
      </c>
      <c r="AF142" s="124">
        <v>45437</v>
      </c>
      <c r="AG142" s="123">
        <f t="shared" si="15"/>
        <v>5</v>
      </c>
      <c r="AH142" s="123" t="str">
        <f t="shared" si="12"/>
        <v>ebdssbdestsearch</v>
      </c>
      <c r="AI142" s="123" t="s">
        <v>918</v>
      </c>
      <c r="AJ142" s="123"/>
    </row>
    <row r="143" spans="1:36" ht="15.95" customHeight="1">
      <c r="A143" s="137">
        <v>45435.331944444442</v>
      </c>
      <c r="B143" s="127" t="s">
        <v>729</v>
      </c>
      <c r="C143" s="127" t="s">
        <v>447</v>
      </c>
      <c r="D143" s="127" t="s">
        <v>448</v>
      </c>
      <c r="E143" s="138" t="s">
        <v>446</v>
      </c>
      <c r="F143" s="140" t="s">
        <v>932</v>
      </c>
      <c r="G143" s="140"/>
      <c r="H143" s="140"/>
      <c r="I143" s="140"/>
      <c r="J143" s="127" t="s">
        <v>927</v>
      </c>
      <c r="K143" s="138">
        <v>22</v>
      </c>
      <c r="L143" s="134" t="s">
        <v>928</v>
      </c>
      <c r="M143" s="134"/>
      <c r="N143" s="134"/>
      <c r="O143" s="134"/>
      <c r="P143" s="127">
        <v>1</v>
      </c>
      <c r="Q143" s="127"/>
      <c r="R143" s="127" t="s">
        <v>759</v>
      </c>
      <c r="T143" s="127">
        <v>15</v>
      </c>
      <c r="U143" s="127" t="s">
        <v>447</v>
      </c>
      <c r="V143" s="127" t="s">
        <v>448</v>
      </c>
      <c r="W143" s="127" t="s">
        <v>446</v>
      </c>
      <c r="X143" s="127"/>
      <c r="Y143" s="127"/>
      <c r="Z143" s="127"/>
      <c r="AA143" s="127"/>
      <c r="AB143" s="127"/>
      <c r="AC143" s="127"/>
      <c r="AD143" s="123">
        <v>22</v>
      </c>
      <c r="AE143" s="123" t="str">
        <f t="shared" si="14"/>
        <v>Art, Music and Drinks at Courtauld Late - Featuring Exhibition of Frank Auerbach</v>
      </c>
      <c r="AF143" s="124">
        <f>DATE(20&amp;_xlfn.TEXTBEFORE(_xlfn.TEXTAFTER(L143,"/",2)," "), _xlfn.TEXTBEFORE(L143,"/",1), _xlfn.TEXTBEFORE(_xlfn.TEXTAFTER(L143,"/"),"/"))</f>
        <v>45437</v>
      </c>
      <c r="AG143" s="123">
        <f t="shared" si="15"/>
        <v>5</v>
      </c>
      <c r="AH143" s="123">
        <f t="shared" si="12"/>
        <v>0</v>
      </c>
      <c r="AI143" s="123" t="s">
        <v>917</v>
      </c>
      <c r="AJ143" s="123"/>
    </row>
    <row r="144" spans="1:36" ht="15.95" customHeight="1">
      <c r="A144" s="137">
        <v>45436.188194444447</v>
      </c>
      <c r="B144" s="127" t="s">
        <v>729</v>
      </c>
      <c r="C144" s="127" t="s">
        <v>482</v>
      </c>
      <c r="D144" s="127" t="s">
        <v>483</v>
      </c>
      <c r="E144" s="138" t="s">
        <v>136</v>
      </c>
      <c r="F144" s="139">
        <v>447810000000</v>
      </c>
      <c r="G144" s="139"/>
      <c r="H144" s="139"/>
      <c r="I144" s="139"/>
      <c r="J144" s="127" t="s">
        <v>927</v>
      </c>
      <c r="K144" s="138">
        <v>22</v>
      </c>
      <c r="L144" s="134" t="s">
        <v>928</v>
      </c>
      <c r="M144" s="134"/>
      <c r="N144" s="134"/>
      <c r="O144" s="134"/>
      <c r="P144" s="127">
        <v>1</v>
      </c>
      <c r="Q144" s="127"/>
      <c r="R144" s="127" t="s">
        <v>759</v>
      </c>
      <c r="T144" s="127">
        <v>14</v>
      </c>
      <c r="U144" s="127" t="s">
        <v>482</v>
      </c>
      <c r="V144" s="127" t="s">
        <v>483</v>
      </c>
      <c r="W144" s="127" t="s">
        <v>136</v>
      </c>
      <c r="X144" s="127"/>
      <c r="Y144" s="127"/>
      <c r="Z144" s="127"/>
      <c r="AA144" s="127"/>
      <c r="AB144" s="127"/>
      <c r="AC144" s="127"/>
      <c r="AD144" s="123">
        <v>22</v>
      </c>
      <c r="AE144" s="123" t="str">
        <f t="shared" si="14"/>
        <v>Art, Music and Drinks at Courtauld Late - Featuring Exhibition of Frank Auerbach</v>
      </c>
      <c r="AF144" s="124">
        <f>DATE(20&amp;_xlfn.TEXTBEFORE(_xlfn.TEXTAFTER(L144,"/",2)," "), _xlfn.TEXTBEFORE(L144,"/",1), _xlfn.TEXTBEFORE(_xlfn.TEXTAFTER(L144,"/"),"/"))</f>
        <v>45437</v>
      </c>
      <c r="AG144" s="123">
        <f t="shared" si="15"/>
        <v>5</v>
      </c>
      <c r="AH144" s="123">
        <f t="shared" si="12"/>
        <v>0</v>
      </c>
      <c r="AI144" s="123" t="s">
        <v>917</v>
      </c>
      <c r="AJ144" s="123"/>
    </row>
    <row r="145" spans="1:36" ht="15.95" customHeight="1">
      <c r="A145" s="130">
        <v>45437.212500000001</v>
      </c>
      <c r="B145" s="131" t="s">
        <v>729</v>
      </c>
      <c r="C145" s="131" t="s">
        <v>933</v>
      </c>
      <c r="D145" s="131" t="s">
        <v>497</v>
      </c>
      <c r="E145" s="132" t="s">
        <v>495</v>
      </c>
      <c r="J145" s="131" t="s">
        <v>931</v>
      </c>
      <c r="K145" s="121">
        <v>16</v>
      </c>
      <c r="L145" s="130">
        <v>45437.583333333336</v>
      </c>
      <c r="M145" s="130"/>
      <c r="N145" s="130"/>
      <c r="O145" s="130"/>
      <c r="P145" s="131">
        <v>1</v>
      </c>
      <c r="Q145" s="131"/>
      <c r="R145" s="131" t="s">
        <v>759</v>
      </c>
      <c r="S145" s="131" t="s">
        <v>733</v>
      </c>
      <c r="T145" s="131">
        <v>15</v>
      </c>
      <c r="U145" s="131" t="s">
        <v>933</v>
      </c>
      <c r="V145" s="131" t="s">
        <v>497</v>
      </c>
      <c r="W145" s="131" t="s">
        <v>495</v>
      </c>
      <c r="X145" s="131"/>
      <c r="Y145" s="131"/>
      <c r="Z145" s="131"/>
      <c r="AA145" s="131"/>
      <c r="AB145" s="131"/>
      <c r="AC145" s="131"/>
      <c r="AD145" s="123">
        <v>16</v>
      </c>
      <c r="AE145" s="123" t="str">
        <f t="shared" si="14"/>
        <v>[Hidden Gem] Art Gallery Stroll in Fitzrovia</v>
      </c>
      <c r="AF145" s="124">
        <v>45437</v>
      </c>
      <c r="AG145" s="123">
        <f t="shared" si="15"/>
        <v>5</v>
      </c>
      <c r="AH145" s="123">
        <f t="shared" si="12"/>
        <v>0</v>
      </c>
      <c r="AI145" s="123" t="s">
        <v>917</v>
      </c>
      <c r="AJ145" s="123"/>
    </row>
    <row r="146" spans="1:36" ht="15.95" customHeight="1">
      <c r="A146" s="130">
        <v>45435.339583333334</v>
      </c>
      <c r="B146" s="131" t="s">
        <v>729</v>
      </c>
      <c r="C146" s="131" t="s">
        <v>512</v>
      </c>
      <c r="D146" s="131" t="s">
        <v>513</v>
      </c>
      <c r="E146" s="132" t="s">
        <v>160</v>
      </c>
      <c r="F146" s="125" t="s">
        <v>934</v>
      </c>
      <c r="J146" s="131" t="s">
        <v>931</v>
      </c>
      <c r="K146" s="121">
        <v>16</v>
      </c>
      <c r="L146" s="130">
        <v>45437.583333333336</v>
      </c>
      <c r="M146" s="130"/>
      <c r="N146" s="130"/>
      <c r="O146" s="130"/>
      <c r="P146" s="131">
        <v>1</v>
      </c>
      <c r="Q146" s="131"/>
      <c r="R146" s="131" t="s">
        <v>759</v>
      </c>
      <c r="S146" s="131" t="s">
        <v>733</v>
      </c>
      <c r="T146" s="131">
        <v>15</v>
      </c>
      <c r="U146" s="131" t="s">
        <v>512</v>
      </c>
      <c r="V146" s="131" t="s">
        <v>513</v>
      </c>
      <c r="W146" s="131" t="s">
        <v>160</v>
      </c>
      <c r="X146" s="131"/>
      <c r="Y146" s="131"/>
      <c r="Z146" s="131"/>
      <c r="AA146" s="131"/>
      <c r="AB146" s="131"/>
      <c r="AC146" s="131"/>
      <c r="AD146" s="123">
        <v>16</v>
      </c>
      <c r="AE146" s="123" t="str">
        <f t="shared" si="14"/>
        <v>[Hidden Gem] Art Gallery Stroll in Fitzrovia</v>
      </c>
      <c r="AF146" s="124">
        <v>45437</v>
      </c>
      <c r="AG146" s="123">
        <f t="shared" si="15"/>
        <v>5</v>
      </c>
      <c r="AH146" s="123">
        <f t="shared" si="12"/>
        <v>0</v>
      </c>
      <c r="AI146" s="123" t="s">
        <v>917</v>
      </c>
      <c r="AJ146" s="123"/>
    </row>
    <row r="147" spans="1:36" ht="15.95" customHeight="1">
      <c r="A147" s="130">
        <v>45436.277777777781</v>
      </c>
      <c r="B147" s="131" t="s">
        <v>729</v>
      </c>
      <c r="C147" s="131" t="s">
        <v>544</v>
      </c>
      <c r="D147" s="131" t="s">
        <v>545</v>
      </c>
      <c r="E147" s="132" t="s">
        <v>164</v>
      </c>
      <c r="F147" s="125" t="s">
        <v>546</v>
      </c>
      <c r="J147" s="131" t="s">
        <v>931</v>
      </c>
      <c r="K147" s="121">
        <v>16</v>
      </c>
      <c r="L147" s="130">
        <v>45437.583333333336</v>
      </c>
      <c r="M147" s="130"/>
      <c r="N147" s="130"/>
      <c r="O147" s="130"/>
      <c r="P147" s="131">
        <v>1</v>
      </c>
      <c r="Q147" s="131"/>
      <c r="R147" s="131" t="s">
        <v>759</v>
      </c>
      <c r="S147" s="131" t="s">
        <v>733</v>
      </c>
      <c r="T147" s="131">
        <v>15</v>
      </c>
      <c r="U147" s="131" t="s">
        <v>544</v>
      </c>
      <c r="V147" s="131" t="s">
        <v>545</v>
      </c>
      <c r="W147" s="131" t="s">
        <v>164</v>
      </c>
      <c r="X147" s="131"/>
      <c r="Y147" s="131"/>
      <c r="Z147" s="131"/>
      <c r="AA147" s="131"/>
      <c r="AB147" s="131"/>
      <c r="AC147" s="131"/>
      <c r="AD147" s="123">
        <v>16</v>
      </c>
      <c r="AE147" s="123" t="str">
        <f t="shared" si="14"/>
        <v>[Hidden Gem] Art Gallery Stroll in Fitzrovia</v>
      </c>
      <c r="AF147" s="124">
        <v>45437</v>
      </c>
      <c r="AG147" s="123">
        <f t="shared" si="15"/>
        <v>5</v>
      </c>
      <c r="AH147" s="123">
        <f t="shared" si="12"/>
        <v>0</v>
      </c>
      <c r="AI147" s="123" t="s">
        <v>917</v>
      </c>
      <c r="AJ147" s="123"/>
    </row>
    <row r="148" spans="1:36" ht="15.95" customHeight="1">
      <c r="A148" s="137">
        <v>45436.350694444445</v>
      </c>
      <c r="B148" s="127" t="s">
        <v>729</v>
      </c>
      <c r="C148" s="127" t="s">
        <v>551</v>
      </c>
      <c r="D148" s="127" t="s">
        <v>552</v>
      </c>
      <c r="E148" s="138" t="s">
        <v>134</v>
      </c>
      <c r="F148" s="139">
        <v>447950000000</v>
      </c>
      <c r="G148" s="139"/>
      <c r="H148" s="139"/>
      <c r="I148" s="139"/>
      <c r="J148" s="127" t="s">
        <v>927</v>
      </c>
      <c r="K148" s="138">
        <v>22</v>
      </c>
      <c r="L148" s="134" t="s">
        <v>928</v>
      </c>
      <c r="M148" s="134"/>
      <c r="N148" s="134"/>
      <c r="O148" s="134"/>
      <c r="P148" s="127">
        <v>1</v>
      </c>
      <c r="Q148" s="127"/>
      <c r="R148" s="127" t="s">
        <v>759</v>
      </c>
      <c r="T148" s="127">
        <v>0</v>
      </c>
      <c r="U148" s="127" t="s">
        <v>551</v>
      </c>
      <c r="V148" s="127" t="s">
        <v>552</v>
      </c>
      <c r="W148" s="127" t="s">
        <v>134</v>
      </c>
      <c r="X148" s="127"/>
      <c r="Y148" s="127"/>
      <c r="Z148" s="127"/>
      <c r="AA148" s="127"/>
      <c r="AB148" s="127"/>
      <c r="AC148" s="127"/>
      <c r="AD148" s="123">
        <v>22</v>
      </c>
      <c r="AE148" s="123" t="str">
        <f t="shared" si="14"/>
        <v>Art, Music and Drinks at Courtauld Late - Featuring Exhibition of Frank Auerbach</v>
      </c>
      <c r="AF148" s="124">
        <f>DATE(20&amp;_xlfn.TEXTBEFORE(_xlfn.TEXTAFTER(L148,"/",2)," "), _xlfn.TEXTBEFORE(L148,"/",1), _xlfn.TEXTBEFORE(_xlfn.TEXTAFTER(L148,"/"),"/"))</f>
        <v>45437</v>
      </c>
      <c r="AG148" s="123">
        <f t="shared" si="15"/>
        <v>5</v>
      </c>
      <c r="AH148" s="123">
        <f t="shared" si="12"/>
        <v>0</v>
      </c>
      <c r="AI148" s="123" t="s">
        <v>917</v>
      </c>
      <c r="AJ148" s="123"/>
    </row>
    <row r="149" spans="1:36" ht="15.95" customHeight="1">
      <c r="A149" s="130">
        <v>45436.780555555553</v>
      </c>
      <c r="B149" s="131" t="s">
        <v>729</v>
      </c>
      <c r="C149" s="131" t="s">
        <v>586</v>
      </c>
      <c r="D149" s="131" t="s">
        <v>590</v>
      </c>
      <c r="E149" s="132" t="s">
        <v>589</v>
      </c>
      <c r="F149" s="125" t="s">
        <v>935</v>
      </c>
      <c r="J149" s="131" t="s">
        <v>931</v>
      </c>
      <c r="K149" s="121">
        <v>16</v>
      </c>
      <c r="L149" s="130">
        <v>45437.583333333336</v>
      </c>
      <c r="M149" s="130"/>
      <c r="N149" s="130"/>
      <c r="O149" s="130"/>
      <c r="P149" s="131">
        <v>1</v>
      </c>
      <c r="Q149" s="131"/>
      <c r="R149" s="131" t="s">
        <v>759</v>
      </c>
      <c r="S149" s="131" t="s">
        <v>733</v>
      </c>
      <c r="T149" s="131">
        <v>15</v>
      </c>
      <c r="U149" s="131" t="s">
        <v>586</v>
      </c>
      <c r="V149" s="131" t="s">
        <v>590</v>
      </c>
      <c r="W149" s="131" t="s">
        <v>589</v>
      </c>
      <c r="X149" s="131"/>
      <c r="Y149" s="131"/>
      <c r="Z149" s="131"/>
      <c r="AA149" s="131"/>
      <c r="AB149" s="131" t="s">
        <v>936</v>
      </c>
      <c r="AC149" s="131"/>
      <c r="AD149" s="123">
        <v>16</v>
      </c>
      <c r="AE149" s="123" t="str">
        <f t="shared" si="14"/>
        <v>[Hidden Gem] Art Gallery Stroll in Fitzrovia</v>
      </c>
      <c r="AF149" s="124">
        <v>45437</v>
      </c>
      <c r="AG149" s="123">
        <f t="shared" si="15"/>
        <v>5</v>
      </c>
      <c r="AH149" s="123" t="str">
        <f t="shared" si="12"/>
        <v>erelexpmlt</v>
      </c>
      <c r="AI149" s="123" t="s">
        <v>918</v>
      </c>
      <c r="AJ149" s="123"/>
    </row>
    <row r="150" spans="1:36" ht="15.95" customHeight="1">
      <c r="A150" s="130">
        <v>45435.345138888886</v>
      </c>
      <c r="B150" s="131" t="s">
        <v>729</v>
      </c>
      <c r="C150" s="131" t="s">
        <v>592</v>
      </c>
      <c r="D150" s="131" t="s">
        <v>593</v>
      </c>
      <c r="E150" s="132" t="s">
        <v>168</v>
      </c>
      <c r="F150" s="125" t="s">
        <v>937</v>
      </c>
      <c r="J150" s="131" t="s">
        <v>931</v>
      </c>
      <c r="K150" s="121">
        <v>16</v>
      </c>
      <c r="L150" s="130">
        <v>45437.583333333336</v>
      </c>
      <c r="M150" s="130"/>
      <c r="N150" s="130"/>
      <c r="O150" s="130"/>
      <c r="P150" s="131">
        <v>1</v>
      </c>
      <c r="Q150" s="131"/>
      <c r="R150" s="131" t="s">
        <v>759</v>
      </c>
      <c r="S150" s="131" t="s">
        <v>733</v>
      </c>
      <c r="T150" s="131">
        <v>15</v>
      </c>
      <c r="U150" s="131" t="s">
        <v>592</v>
      </c>
      <c r="V150" s="131" t="s">
        <v>593</v>
      </c>
      <c r="W150" s="131" t="s">
        <v>168</v>
      </c>
      <c r="X150" s="131"/>
      <c r="Y150" s="131"/>
      <c r="Z150" s="131"/>
      <c r="AA150" s="131"/>
      <c r="AB150" s="131"/>
      <c r="AC150" s="131"/>
      <c r="AD150" s="123">
        <v>16</v>
      </c>
      <c r="AE150" s="123" t="str">
        <f t="shared" si="14"/>
        <v>[Hidden Gem] Art Gallery Stroll in Fitzrovia</v>
      </c>
      <c r="AF150" s="124">
        <v>45437</v>
      </c>
      <c r="AG150" s="123">
        <f t="shared" si="15"/>
        <v>5</v>
      </c>
      <c r="AH150" s="123">
        <f t="shared" si="12"/>
        <v>0</v>
      </c>
      <c r="AI150" s="123" t="s">
        <v>917</v>
      </c>
      <c r="AJ150" s="123"/>
    </row>
    <row r="151" spans="1:36" ht="15.95">
      <c r="A151" s="137">
        <v>45436.347222222219</v>
      </c>
      <c r="B151" s="127" t="s">
        <v>729</v>
      </c>
      <c r="C151" s="127" t="s">
        <v>616</v>
      </c>
      <c r="D151" s="127" t="s">
        <v>617</v>
      </c>
      <c r="E151" s="138" t="s">
        <v>615</v>
      </c>
      <c r="F151" s="140" t="s">
        <v>618</v>
      </c>
      <c r="G151" s="140"/>
      <c r="H151" s="140"/>
      <c r="I151" s="140"/>
      <c r="J151" s="127" t="s">
        <v>927</v>
      </c>
      <c r="K151" s="138">
        <v>22</v>
      </c>
      <c r="L151" s="134" t="s">
        <v>928</v>
      </c>
      <c r="M151" s="134"/>
      <c r="N151" s="134"/>
      <c r="O151" s="134"/>
      <c r="P151" s="127">
        <v>1</v>
      </c>
      <c r="Q151" s="127"/>
      <c r="R151" s="127" t="s">
        <v>759</v>
      </c>
      <c r="T151" s="127">
        <v>14</v>
      </c>
      <c r="U151" s="127" t="s">
        <v>616</v>
      </c>
      <c r="V151" s="127" t="s">
        <v>617</v>
      </c>
      <c r="W151" s="127" t="s">
        <v>615</v>
      </c>
      <c r="X151" s="127"/>
      <c r="Y151" s="127"/>
      <c r="Z151" s="127"/>
      <c r="AA151" s="127"/>
      <c r="AB151" s="127"/>
      <c r="AC151" s="127"/>
      <c r="AD151" s="123">
        <v>22</v>
      </c>
      <c r="AE151" s="123" t="str">
        <f t="shared" si="14"/>
        <v>Art, Music and Drinks at Courtauld Late - Featuring Exhibition of Frank Auerbach</v>
      </c>
      <c r="AF151" s="124">
        <f>DATE(20&amp;_xlfn.TEXTBEFORE(_xlfn.TEXTAFTER(L151,"/",2)," "), _xlfn.TEXTBEFORE(L151,"/",1), _xlfn.TEXTBEFORE(_xlfn.TEXTAFTER(L151,"/"),"/"))</f>
        <v>45437</v>
      </c>
      <c r="AG151" s="123">
        <f t="shared" si="15"/>
        <v>5</v>
      </c>
      <c r="AH151" s="123">
        <f t="shared" si="12"/>
        <v>0</v>
      </c>
      <c r="AI151" s="123" t="s">
        <v>917</v>
      </c>
      <c r="AJ151" s="123"/>
    </row>
    <row r="152" spans="1:36" ht="15.95" customHeight="1">
      <c r="A152" s="141">
        <v>45436.425694444442</v>
      </c>
      <c r="B152" s="142" t="s">
        <v>729</v>
      </c>
      <c r="C152" s="142" t="s">
        <v>364</v>
      </c>
      <c r="D152" s="142" t="s">
        <v>365</v>
      </c>
      <c r="E152" s="128" t="s">
        <v>363</v>
      </c>
      <c r="F152" s="142">
        <v>7476276978</v>
      </c>
      <c r="G152" s="142"/>
      <c r="H152" s="142"/>
      <c r="I152" s="142"/>
      <c r="J152" s="142" t="s">
        <v>938</v>
      </c>
      <c r="K152" s="143">
        <v>17</v>
      </c>
      <c r="L152" s="141">
        <v>45438.583333333336</v>
      </c>
      <c r="M152" s="141"/>
      <c r="N152" s="141"/>
      <c r="O152" s="141"/>
      <c r="P152" s="142">
        <v>1</v>
      </c>
      <c r="Q152" s="142"/>
      <c r="R152" s="142" t="s">
        <v>752</v>
      </c>
      <c r="S152" s="142" t="s">
        <v>733</v>
      </c>
      <c r="T152" s="142">
        <v>14</v>
      </c>
      <c r="U152" s="142" t="s">
        <v>375</v>
      </c>
      <c r="V152" s="142" t="s">
        <v>376</v>
      </c>
      <c r="W152" s="142" t="s">
        <v>122</v>
      </c>
      <c r="X152" s="142"/>
      <c r="Y152" s="142"/>
      <c r="Z152" s="142"/>
      <c r="AA152" s="142"/>
      <c r="AB152" s="142"/>
      <c r="AC152" s="142"/>
      <c r="AD152" s="123">
        <v>22</v>
      </c>
      <c r="AE152" s="123" t="str">
        <f t="shared" si="14"/>
        <v>Art Exhibition: Impressionism and Frank Auerbach at Somerset House</v>
      </c>
      <c r="AF152" s="124">
        <v>45438</v>
      </c>
      <c r="AG152" s="123">
        <f t="shared" si="15"/>
        <v>5</v>
      </c>
      <c r="AH152" s="123">
        <f t="shared" si="12"/>
        <v>0</v>
      </c>
      <c r="AI152" s="123" t="s">
        <v>917</v>
      </c>
      <c r="AJ152" s="123"/>
    </row>
    <row r="153" spans="1:36" ht="15.95" customHeight="1">
      <c r="A153" s="141">
        <v>45436.425694444442</v>
      </c>
      <c r="B153" s="142" t="s">
        <v>729</v>
      </c>
      <c r="C153" s="142" t="s">
        <v>375</v>
      </c>
      <c r="D153" s="142" t="s">
        <v>376</v>
      </c>
      <c r="E153" s="143" t="s">
        <v>122</v>
      </c>
      <c r="F153" s="142">
        <v>7476276978</v>
      </c>
      <c r="G153" s="142"/>
      <c r="H153" s="142"/>
      <c r="I153" s="142"/>
      <c r="J153" s="142" t="s">
        <v>938</v>
      </c>
      <c r="K153" s="82">
        <v>17</v>
      </c>
      <c r="L153" s="141">
        <v>45438.583333333336</v>
      </c>
      <c r="M153" s="141"/>
      <c r="N153" s="141"/>
      <c r="O153" s="141"/>
      <c r="P153" s="142">
        <v>1</v>
      </c>
      <c r="Q153" s="142"/>
      <c r="R153" s="142" t="s">
        <v>752</v>
      </c>
      <c r="S153" s="142" t="s">
        <v>733</v>
      </c>
      <c r="T153" s="142">
        <v>14</v>
      </c>
      <c r="U153" s="142" t="s">
        <v>375</v>
      </c>
      <c r="V153" s="142" t="s">
        <v>376</v>
      </c>
      <c r="W153" s="142" t="s">
        <v>122</v>
      </c>
      <c r="X153" s="142"/>
      <c r="Y153" s="142"/>
      <c r="Z153" s="142"/>
      <c r="AA153" s="142"/>
      <c r="AB153" s="142"/>
      <c r="AC153" s="142"/>
      <c r="AD153" s="123">
        <v>22</v>
      </c>
      <c r="AE153" s="123" t="str">
        <f t="shared" si="14"/>
        <v>Art Exhibition: Impressionism and Frank Auerbach at Somerset House</v>
      </c>
      <c r="AF153" s="124">
        <v>45438</v>
      </c>
      <c r="AG153" s="123">
        <f t="shared" si="15"/>
        <v>5</v>
      </c>
      <c r="AH153" s="123">
        <f t="shared" si="12"/>
        <v>0</v>
      </c>
      <c r="AI153" s="123" t="s">
        <v>917</v>
      </c>
      <c r="AJ153" s="123"/>
    </row>
    <row r="154" spans="1:36" ht="15.95" customHeight="1">
      <c r="A154" s="141">
        <v>45442.275694444441</v>
      </c>
      <c r="B154" s="142" t="s">
        <v>729</v>
      </c>
      <c r="C154" s="142" t="s">
        <v>318</v>
      </c>
      <c r="D154" s="142" t="s">
        <v>322</v>
      </c>
      <c r="E154" s="143" t="s">
        <v>321</v>
      </c>
      <c r="F154" s="144" t="s">
        <v>323</v>
      </c>
      <c r="G154" s="144"/>
      <c r="H154" s="144"/>
      <c r="I154" s="144"/>
      <c r="J154" s="142" t="s">
        <v>939</v>
      </c>
      <c r="K154" s="123">
        <v>23</v>
      </c>
      <c r="L154" s="141">
        <v>45442.770833333336</v>
      </c>
      <c r="M154" s="141"/>
      <c r="N154" s="141"/>
      <c r="O154" s="141"/>
      <c r="P154" s="142">
        <v>1</v>
      </c>
      <c r="Q154" s="142"/>
      <c r="R154" s="142" t="s">
        <v>940</v>
      </c>
      <c r="S154" s="142" t="s">
        <v>733</v>
      </c>
      <c r="T154" s="142">
        <v>0</v>
      </c>
      <c r="U154" s="142" t="s">
        <v>318</v>
      </c>
      <c r="V154" s="142" t="s">
        <v>322</v>
      </c>
      <c r="W154" s="142" t="s">
        <v>321</v>
      </c>
      <c r="X154" s="142"/>
      <c r="Y154" s="142"/>
      <c r="Z154" s="142"/>
      <c r="AA154" s="142"/>
      <c r="AB154" s="142"/>
      <c r="AC154" s="142"/>
      <c r="AD154" s="123">
        <v>23</v>
      </c>
      <c r="AE154" s="123" t="str">
        <f t="shared" si="14"/>
        <v>Art Gallery Preview: Heloisa Hariadne @ Twani</v>
      </c>
      <c r="AF154" s="124">
        <f t="shared" ref="AF154:AF185" si="16">L154</f>
        <v>45442.770833333336</v>
      </c>
      <c r="AG154" s="123">
        <f t="shared" si="15"/>
        <v>5</v>
      </c>
      <c r="AH154" s="123">
        <f t="shared" si="12"/>
        <v>0</v>
      </c>
      <c r="AI154" s="123" t="s">
        <v>917</v>
      </c>
      <c r="AJ154" s="88"/>
    </row>
    <row r="155" spans="1:36" ht="15.95" customHeight="1">
      <c r="A155" s="141">
        <v>45440.539583333331</v>
      </c>
      <c r="B155" s="142" t="s">
        <v>729</v>
      </c>
      <c r="C155" s="142" t="s">
        <v>367</v>
      </c>
      <c r="D155" s="142" t="s">
        <v>368</v>
      </c>
      <c r="E155" s="143" t="s">
        <v>130</v>
      </c>
      <c r="F155" s="144" t="s">
        <v>941</v>
      </c>
      <c r="G155" s="144"/>
      <c r="H155" s="144"/>
      <c r="I155" s="144"/>
      <c r="J155" s="142" t="s">
        <v>939</v>
      </c>
      <c r="K155" s="123">
        <v>23</v>
      </c>
      <c r="L155" s="141">
        <v>45442.770833333336</v>
      </c>
      <c r="M155" s="141"/>
      <c r="N155" s="141"/>
      <c r="O155" s="141"/>
      <c r="P155" s="142">
        <v>1</v>
      </c>
      <c r="Q155" s="142"/>
      <c r="R155" s="142" t="s">
        <v>940</v>
      </c>
      <c r="S155" s="142" t="s">
        <v>733</v>
      </c>
      <c r="T155" s="142">
        <v>0</v>
      </c>
      <c r="U155" s="142" t="s">
        <v>367</v>
      </c>
      <c r="V155" s="142" t="s">
        <v>368</v>
      </c>
      <c r="W155" s="142" t="s">
        <v>130</v>
      </c>
      <c r="X155" s="142"/>
      <c r="Y155" s="142"/>
      <c r="Z155" s="142"/>
      <c r="AA155" s="142"/>
      <c r="AB155" s="142"/>
      <c r="AC155" s="142"/>
      <c r="AD155" s="123">
        <v>23</v>
      </c>
      <c r="AE155" s="123" t="str">
        <f t="shared" si="14"/>
        <v>Art Gallery Preview: Heloisa Hariadne @ Twani</v>
      </c>
      <c r="AF155" s="124">
        <f t="shared" si="16"/>
        <v>45442.770833333336</v>
      </c>
      <c r="AG155" s="123">
        <f t="shared" si="15"/>
        <v>5</v>
      </c>
      <c r="AH155" s="123">
        <f t="shared" si="12"/>
        <v>0</v>
      </c>
      <c r="AI155" s="123" t="s">
        <v>917</v>
      </c>
      <c r="AJ155" s="123"/>
    </row>
    <row r="156" spans="1:36" ht="15.95" customHeight="1">
      <c r="A156" s="141">
        <v>45440.537499999999</v>
      </c>
      <c r="B156" s="142" t="s">
        <v>729</v>
      </c>
      <c r="C156" s="142" t="s">
        <v>375</v>
      </c>
      <c r="D156" s="142" t="s">
        <v>376</v>
      </c>
      <c r="E156" s="143" t="s">
        <v>122</v>
      </c>
      <c r="F156" s="144" t="s">
        <v>930</v>
      </c>
      <c r="G156" s="144"/>
      <c r="H156" s="144"/>
      <c r="I156" s="144"/>
      <c r="J156" s="142" t="s">
        <v>939</v>
      </c>
      <c r="K156" s="123">
        <v>23</v>
      </c>
      <c r="L156" s="141">
        <v>45442.770833333336</v>
      </c>
      <c r="M156" s="141"/>
      <c r="N156" s="141"/>
      <c r="O156" s="141"/>
      <c r="P156" s="142">
        <v>1</v>
      </c>
      <c r="Q156" s="142"/>
      <c r="R156" s="142" t="s">
        <v>940</v>
      </c>
      <c r="S156" s="142" t="s">
        <v>733</v>
      </c>
      <c r="T156" s="142">
        <v>0</v>
      </c>
      <c r="U156" s="142" t="s">
        <v>375</v>
      </c>
      <c r="V156" s="142" t="s">
        <v>376</v>
      </c>
      <c r="W156" s="142" t="s">
        <v>122</v>
      </c>
      <c r="X156" s="142"/>
      <c r="Y156" s="142"/>
      <c r="Z156" s="142"/>
      <c r="AA156" s="142"/>
      <c r="AB156" s="142"/>
      <c r="AC156" s="142"/>
      <c r="AD156" s="123">
        <v>23</v>
      </c>
      <c r="AE156" s="123" t="str">
        <f t="shared" si="14"/>
        <v>Art Gallery Preview: Heloisa Hariadne @ Twani</v>
      </c>
      <c r="AF156" s="124">
        <f t="shared" si="16"/>
        <v>45442.770833333336</v>
      </c>
      <c r="AG156" s="123">
        <f t="shared" si="15"/>
        <v>5</v>
      </c>
      <c r="AH156" s="123">
        <f t="shared" si="12"/>
        <v>0</v>
      </c>
      <c r="AI156" s="123" t="s">
        <v>917</v>
      </c>
      <c r="AJ156" s="123"/>
    </row>
    <row r="157" spans="1:36" ht="15.95" customHeight="1">
      <c r="A157" s="141">
        <v>45440.536111111112</v>
      </c>
      <c r="B157" s="142" t="s">
        <v>729</v>
      </c>
      <c r="C157" s="142" t="s">
        <v>381</v>
      </c>
      <c r="D157" s="142" t="s">
        <v>382</v>
      </c>
      <c r="E157" s="143" t="s">
        <v>147</v>
      </c>
      <c r="F157" s="144" t="s">
        <v>942</v>
      </c>
      <c r="G157" s="144"/>
      <c r="H157" s="144"/>
      <c r="I157" s="144"/>
      <c r="J157" s="142" t="s">
        <v>939</v>
      </c>
      <c r="K157" s="123">
        <v>23</v>
      </c>
      <c r="L157" s="141">
        <v>45442.770833333336</v>
      </c>
      <c r="M157" s="141"/>
      <c r="N157" s="141"/>
      <c r="O157" s="141"/>
      <c r="P157" s="142">
        <v>1</v>
      </c>
      <c r="Q157" s="142"/>
      <c r="R157" s="142" t="s">
        <v>940</v>
      </c>
      <c r="S157" s="142" t="s">
        <v>733</v>
      </c>
      <c r="T157" s="142">
        <v>0</v>
      </c>
      <c r="U157" s="142" t="s">
        <v>381</v>
      </c>
      <c r="V157" s="142" t="s">
        <v>382</v>
      </c>
      <c r="W157" s="142" t="s">
        <v>147</v>
      </c>
      <c r="X157" s="142"/>
      <c r="Y157" s="142"/>
      <c r="Z157" s="142"/>
      <c r="AA157" s="142"/>
      <c r="AB157" s="142"/>
      <c r="AC157" s="142"/>
      <c r="AD157" s="123">
        <v>23</v>
      </c>
      <c r="AE157" s="123" t="str">
        <f t="shared" si="14"/>
        <v>Art Gallery Preview: Heloisa Hariadne @ Twani</v>
      </c>
      <c r="AF157" s="124">
        <f t="shared" si="16"/>
        <v>45442.770833333336</v>
      </c>
      <c r="AG157" s="123">
        <f t="shared" si="15"/>
        <v>5</v>
      </c>
      <c r="AH157" s="123">
        <f t="shared" si="12"/>
        <v>0</v>
      </c>
      <c r="AI157" s="123" t="s">
        <v>917</v>
      </c>
      <c r="AJ157" s="123"/>
    </row>
    <row r="158" spans="1:36" ht="15.95" customHeight="1">
      <c r="A158" s="141">
        <v>45442.274305555555</v>
      </c>
      <c r="B158" s="142" t="s">
        <v>729</v>
      </c>
      <c r="C158" s="142" t="s">
        <v>384</v>
      </c>
      <c r="D158" s="142" t="s">
        <v>322</v>
      </c>
      <c r="E158" s="143" t="s">
        <v>386</v>
      </c>
      <c r="F158" s="144" t="s">
        <v>943</v>
      </c>
      <c r="G158" s="144"/>
      <c r="H158" s="144"/>
      <c r="I158" s="144"/>
      <c r="J158" s="142" t="s">
        <v>939</v>
      </c>
      <c r="K158" s="123">
        <v>23</v>
      </c>
      <c r="L158" s="141">
        <v>45442.770833333336</v>
      </c>
      <c r="M158" s="141"/>
      <c r="N158" s="141"/>
      <c r="O158" s="141"/>
      <c r="P158" s="142">
        <v>1</v>
      </c>
      <c r="Q158" s="142"/>
      <c r="R158" s="142" t="s">
        <v>940</v>
      </c>
      <c r="S158" s="142" t="s">
        <v>733</v>
      </c>
      <c r="T158" s="142">
        <v>0</v>
      </c>
      <c r="U158" s="142" t="s">
        <v>384</v>
      </c>
      <c r="V158" s="142" t="s">
        <v>322</v>
      </c>
      <c r="W158" s="142" t="s">
        <v>386</v>
      </c>
      <c r="X158" s="142"/>
      <c r="Y158" s="142"/>
      <c r="Z158" s="142"/>
      <c r="AA158" s="142"/>
      <c r="AB158" s="142"/>
      <c r="AC158" s="142"/>
      <c r="AD158" s="123">
        <v>23</v>
      </c>
      <c r="AE158" s="123" t="str">
        <f t="shared" si="14"/>
        <v>Art Gallery Preview: Heloisa Hariadne @ Twani</v>
      </c>
      <c r="AF158" s="124">
        <f t="shared" si="16"/>
        <v>45442.770833333336</v>
      </c>
      <c r="AG158" s="123">
        <f t="shared" si="15"/>
        <v>5</v>
      </c>
      <c r="AH158" s="123">
        <f t="shared" si="12"/>
        <v>0</v>
      </c>
      <c r="AI158" s="123" t="s">
        <v>917</v>
      </c>
      <c r="AJ158" s="123"/>
    </row>
    <row r="159" spans="1:36" ht="15.95" customHeight="1">
      <c r="A159" s="141">
        <v>45442.461111111108</v>
      </c>
      <c r="B159" s="142" t="s">
        <v>749</v>
      </c>
      <c r="C159" s="142" t="s">
        <v>397</v>
      </c>
      <c r="D159" s="142" t="s">
        <v>398</v>
      </c>
      <c r="E159" s="143" t="s">
        <v>396</v>
      </c>
      <c r="F159" s="144" t="s">
        <v>944</v>
      </c>
      <c r="G159" s="144"/>
      <c r="H159" s="144"/>
      <c r="I159" s="144"/>
      <c r="J159" s="142" t="s">
        <v>939</v>
      </c>
      <c r="K159" s="123">
        <v>23</v>
      </c>
      <c r="L159" s="141">
        <v>45442.770833333336</v>
      </c>
      <c r="M159" s="141"/>
      <c r="N159" s="141"/>
      <c r="O159" s="141"/>
      <c r="P159" s="142">
        <v>1</v>
      </c>
      <c r="Q159" s="142"/>
      <c r="R159" s="142" t="s">
        <v>940</v>
      </c>
      <c r="S159" s="142" t="s">
        <v>733</v>
      </c>
      <c r="T159" s="142">
        <v>0</v>
      </c>
      <c r="U159" s="142" t="s">
        <v>397</v>
      </c>
      <c r="V159" s="142" t="s">
        <v>398</v>
      </c>
      <c r="W159" s="142" t="s">
        <v>396</v>
      </c>
      <c r="X159" s="142"/>
      <c r="Y159" s="142"/>
      <c r="Z159" s="142"/>
      <c r="AA159" s="142"/>
      <c r="AB159" s="142"/>
      <c r="AC159" s="142"/>
      <c r="AD159" s="123">
        <v>23</v>
      </c>
      <c r="AE159" s="123" t="str">
        <f t="shared" si="14"/>
        <v>Art Gallery Preview: Heloisa Hariadne @ Twani</v>
      </c>
      <c r="AF159" s="124">
        <f t="shared" si="16"/>
        <v>45442.770833333336</v>
      </c>
      <c r="AG159" s="123">
        <f t="shared" si="15"/>
        <v>5</v>
      </c>
      <c r="AH159" s="123">
        <f t="shared" si="12"/>
        <v>0</v>
      </c>
      <c r="AI159" s="123" t="s">
        <v>917</v>
      </c>
      <c r="AJ159" s="123"/>
    </row>
    <row r="160" spans="1:36" ht="15.95" customHeight="1">
      <c r="A160" s="141">
        <v>45442.223611111112</v>
      </c>
      <c r="B160" s="142" t="s">
        <v>749</v>
      </c>
      <c r="C160" s="142" t="s">
        <v>404</v>
      </c>
      <c r="D160" s="142" t="s">
        <v>405</v>
      </c>
      <c r="E160" s="143" t="s">
        <v>403</v>
      </c>
      <c r="F160" s="144" t="s">
        <v>945</v>
      </c>
      <c r="G160" s="144"/>
      <c r="H160" s="144"/>
      <c r="I160" s="144"/>
      <c r="J160" s="142" t="s">
        <v>939</v>
      </c>
      <c r="K160" s="123">
        <v>23</v>
      </c>
      <c r="L160" s="141">
        <v>45442.770833333336</v>
      </c>
      <c r="M160" s="141"/>
      <c r="N160" s="141"/>
      <c r="O160" s="141"/>
      <c r="P160" s="142">
        <v>1</v>
      </c>
      <c r="Q160" s="142"/>
      <c r="R160" s="142" t="s">
        <v>940</v>
      </c>
      <c r="S160" s="142" t="s">
        <v>733</v>
      </c>
      <c r="T160" s="142">
        <v>0</v>
      </c>
      <c r="U160" s="142" t="s">
        <v>404</v>
      </c>
      <c r="V160" s="142" t="s">
        <v>405</v>
      </c>
      <c r="W160" s="142" t="s">
        <v>403</v>
      </c>
      <c r="X160" s="142"/>
      <c r="Y160" s="142"/>
      <c r="Z160" s="142"/>
      <c r="AA160" s="142"/>
      <c r="AB160" s="142"/>
      <c r="AC160" s="142"/>
      <c r="AD160" s="123">
        <v>23</v>
      </c>
      <c r="AE160" s="123" t="str">
        <f t="shared" si="14"/>
        <v>Art Gallery Preview: Heloisa Hariadne @ Twani</v>
      </c>
      <c r="AF160" s="124">
        <f t="shared" si="16"/>
        <v>45442.770833333336</v>
      </c>
      <c r="AG160" s="123">
        <f t="shared" si="15"/>
        <v>5</v>
      </c>
      <c r="AH160" s="123">
        <f t="shared" si="12"/>
        <v>0</v>
      </c>
      <c r="AI160" s="123" t="s">
        <v>917</v>
      </c>
      <c r="AJ160" s="123"/>
    </row>
    <row r="161" spans="1:36" ht="15.95" customHeight="1">
      <c r="A161" s="141">
        <v>45440.538888888892</v>
      </c>
      <c r="B161" s="142" t="s">
        <v>729</v>
      </c>
      <c r="C161" s="142" t="s">
        <v>417</v>
      </c>
      <c r="D161" s="142" t="s">
        <v>418</v>
      </c>
      <c r="E161" s="143" t="s">
        <v>148</v>
      </c>
      <c r="F161" s="144" t="s">
        <v>946</v>
      </c>
      <c r="G161" s="144"/>
      <c r="H161" s="144"/>
      <c r="I161" s="144"/>
      <c r="J161" s="142" t="s">
        <v>939</v>
      </c>
      <c r="K161" s="123">
        <v>23</v>
      </c>
      <c r="L161" s="141">
        <v>45442.770833333336</v>
      </c>
      <c r="M161" s="141"/>
      <c r="N161" s="141"/>
      <c r="O161" s="141"/>
      <c r="P161" s="142">
        <v>1</v>
      </c>
      <c r="Q161" s="142"/>
      <c r="R161" s="142" t="s">
        <v>940</v>
      </c>
      <c r="S161" s="142" t="s">
        <v>733</v>
      </c>
      <c r="T161" s="142">
        <v>0</v>
      </c>
      <c r="U161" s="142" t="s">
        <v>417</v>
      </c>
      <c r="V161" s="142" t="s">
        <v>418</v>
      </c>
      <c r="W161" s="142" t="s">
        <v>148</v>
      </c>
      <c r="X161" s="142"/>
      <c r="Y161" s="142"/>
      <c r="Z161" s="142"/>
      <c r="AA161" s="142"/>
      <c r="AB161" s="142"/>
      <c r="AC161" s="142"/>
      <c r="AD161" s="123">
        <v>23</v>
      </c>
      <c r="AE161" s="123" t="str">
        <f t="shared" si="14"/>
        <v>Art Gallery Preview: Heloisa Hariadne @ Twani</v>
      </c>
      <c r="AF161" s="124">
        <f t="shared" si="16"/>
        <v>45442.770833333336</v>
      </c>
      <c r="AG161" s="123">
        <f t="shared" si="15"/>
        <v>5</v>
      </c>
      <c r="AH161" s="123">
        <f t="shared" si="12"/>
        <v>0</v>
      </c>
      <c r="AI161" s="123" t="s">
        <v>917</v>
      </c>
      <c r="AJ161" s="123"/>
    </row>
    <row r="162" spans="1:36" ht="15.95" customHeight="1">
      <c r="A162" s="141">
        <v>45440.545138888891</v>
      </c>
      <c r="B162" s="142" t="s">
        <v>749</v>
      </c>
      <c r="C162" s="142" t="s">
        <v>441</v>
      </c>
      <c r="D162" s="142" t="s">
        <v>442</v>
      </c>
      <c r="E162" s="143" t="s">
        <v>440</v>
      </c>
      <c r="F162" s="144" t="s">
        <v>947</v>
      </c>
      <c r="G162" s="144"/>
      <c r="H162" s="144"/>
      <c r="I162" s="144"/>
      <c r="J162" s="142" t="s">
        <v>939</v>
      </c>
      <c r="K162" s="123">
        <v>23</v>
      </c>
      <c r="L162" s="141">
        <v>45442.770833333336</v>
      </c>
      <c r="M162" s="141"/>
      <c r="N162" s="141"/>
      <c r="O162" s="141"/>
      <c r="P162" s="142">
        <v>1</v>
      </c>
      <c r="Q162" s="142"/>
      <c r="R162" s="142" t="s">
        <v>940</v>
      </c>
      <c r="S162" s="142" t="s">
        <v>733</v>
      </c>
      <c r="T162" s="142">
        <v>0</v>
      </c>
      <c r="U162" s="142" t="s">
        <v>441</v>
      </c>
      <c r="V162" s="142" t="s">
        <v>442</v>
      </c>
      <c r="W162" s="142" t="s">
        <v>440</v>
      </c>
      <c r="X162" s="142"/>
      <c r="Y162" s="142"/>
      <c r="Z162" s="142"/>
      <c r="AA162" s="142"/>
      <c r="AB162" s="142"/>
      <c r="AC162" s="142"/>
      <c r="AD162" s="123">
        <v>23</v>
      </c>
      <c r="AE162" s="123" t="str">
        <f t="shared" si="14"/>
        <v>Art Gallery Preview: Heloisa Hariadne @ Twani</v>
      </c>
      <c r="AF162" s="124">
        <f t="shared" si="16"/>
        <v>45442.770833333336</v>
      </c>
      <c r="AG162" s="123">
        <f t="shared" si="15"/>
        <v>5</v>
      </c>
      <c r="AH162" s="123">
        <f t="shared" si="12"/>
        <v>0</v>
      </c>
      <c r="AI162" s="123" t="s">
        <v>917</v>
      </c>
      <c r="AJ162" s="123"/>
    </row>
    <row r="163" spans="1:36" ht="15.95" customHeight="1">
      <c r="A163" s="141">
        <v>45442.224305555559</v>
      </c>
      <c r="B163" s="142" t="s">
        <v>749</v>
      </c>
      <c r="C163" s="142" t="s">
        <v>477</v>
      </c>
      <c r="D163" s="142" t="s">
        <v>478</v>
      </c>
      <c r="E163" s="143" t="s">
        <v>648</v>
      </c>
      <c r="F163" s="144" t="s">
        <v>479</v>
      </c>
      <c r="G163" s="144"/>
      <c r="H163" s="144"/>
      <c r="I163" s="144"/>
      <c r="J163" s="142" t="s">
        <v>939</v>
      </c>
      <c r="K163" s="123">
        <v>23</v>
      </c>
      <c r="L163" s="141">
        <v>45442.770833333336</v>
      </c>
      <c r="M163" s="141"/>
      <c r="N163" s="141"/>
      <c r="O163" s="141"/>
      <c r="P163" s="142">
        <v>1</v>
      </c>
      <c r="Q163" s="142"/>
      <c r="R163" s="142" t="s">
        <v>940</v>
      </c>
      <c r="S163" s="142" t="s">
        <v>733</v>
      </c>
      <c r="T163" s="142">
        <v>0</v>
      </c>
      <c r="U163" s="142" t="s">
        <v>477</v>
      </c>
      <c r="V163" s="142" t="s">
        <v>478</v>
      </c>
      <c r="W163" s="142" t="s">
        <v>648</v>
      </c>
      <c r="X163" s="142"/>
      <c r="Y163" s="142"/>
      <c r="Z163" s="142"/>
      <c r="AA163" s="142"/>
      <c r="AB163" s="142"/>
      <c r="AC163" s="142"/>
      <c r="AD163" s="123">
        <v>23</v>
      </c>
      <c r="AE163" s="123" t="str">
        <f t="shared" si="14"/>
        <v>Art Gallery Preview: Heloisa Hariadne @ Twani</v>
      </c>
      <c r="AF163" s="124">
        <f t="shared" si="16"/>
        <v>45442.770833333336</v>
      </c>
      <c r="AG163" s="123">
        <f t="shared" si="15"/>
        <v>5</v>
      </c>
      <c r="AH163" s="123">
        <f t="shared" si="12"/>
        <v>0</v>
      </c>
      <c r="AI163" s="123" t="s">
        <v>917</v>
      </c>
      <c r="AJ163" s="123"/>
    </row>
    <row r="164" spans="1:36" ht="15.95" customHeight="1">
      <c r="A164" s="141">
        <v>45440.533333333333</v>
      </c>
      <c r="B164" s="142" t="s">
        <v>729</v>
      </c>
      <c r="C164" s="142" t="s">
        <v>486</v>
      </c>
      <c r="D164" s="142" t="s">
        <v>487</v>
      </c>
      <c r="E164" s="143" t="s">
        <v>485</v>
      </c>
      <c r="F164" s="142">
        <v>447551038700</v>
      </c>
      <c r="G164" s="142"/>
      <c r="H164" s="142"/>
      <c r="I164" s="142"/>
      <c r="J164" s="142" t="s">
        <v>939</v>
      </c>
      <c r="K164" s="123">
        <v>23</v>
      </c>
      <c r="L164" s="141">
        <v>45442.770833333336</v>
      </c>
      <c r="M164" s="141"/>
      <c r="N164" s="141"/>
      <c r="O164" s="141"/>
      <c r="P164" s="142">
        <v>1</v>
      </c>
      <c r="Q164" s="142"/>
      <c r="R164" s="142" t="s">
        <v>940</v>
      </c>
      <c r="S164" s="142" t="s">
        <v>733</v>
      </c>
      <c r="T164" s="142">
        <v>0</v>
      </c>
      <c r="U164" s="142" t="s">
        <v>486</v>
      </c>
      <c r="V164" s="142" t="s">
        <v>487</v>
      </c>
      <c r="W164" s="142" t="s">
        <v>485</v>
      </c>
      <c r="X164" s="142"/>
      <c r="Y164" s="142"/>
      <c r="Z164" s="142"/>
      <c r="AA164" s="142"/>
      <c r="AB164" s="142"/>
      <c r="AC164" s="142"/>
      <c r="AD164" s="123">
        <v>23</v>
      </c>
      <c r="AE164" s="123" t="str">
        <f t="shared" si="14"/>
        <v>Art Gallery Preview: Heloisa Hariadne @ Twani</v>
      </c>
      <c r="AF164" s="124">
        <f t="shared" si="16"/>
        <v>45442.770833333336</v>
      </c>
      <c r="AG164" s="123">
        <f t="shared" si="15"/>
        <v>5</v>
      </c>
      <c r="AH164" s="123">
        <f t="shared" si="12"/>
        <v>0</v>
      </c>
      <c r="AI164" s="123" t="s">
        <v>929</v>
      </c>
      <c r="AJ164" s="149" t="s">
        <v>123</v>
      </c>
    </row>
    <row r="165" spans="1:36" ht="15.95" customHeight="1">
      <c r="A165" s="141">
        <v>45442.23541666667</v>
      </c>
      <c r="B165" s="142" t="s">
        <v>729</v>
      </c>
      <c r="C165" s="142" t="s">
        <v>506</v>
      </c>
      <c r="D165" s="142" t="s">
        <v>507</v>
      </c>
      <c r="E165" s="143" t="s">
        <v>178</v>
      </c>
      <c r="F165" s="144" t="s">
        <v>948</v>
      </c>
      <c r="G165" s="144"/>
      <c r="H165" s="144"/>
      <c r="I165" s="144"/>
      <c r="J165" s="142" t="s">
        <v>939</v>
      </c>
      <c r="K165" s="123">
        <v>23</v>
      </c>
      <c r="L165" s="141">
        <v>45442.770833333336</v>
      </c>
      <c r="M165" s="141"/>
      <c r="N165" s="141"/>
      <c r="O165" s="141"/>
      <c r="P165" s="142">
        <v>1</v>
      </c>
      <c r="Q165" s="142"/>
      <c r="R165" s="142" t="s">
        <v>940</v>
      </c>
      <c r="S165" s="142" t="s">
        <v>733</v>
      </c>
      <c r="T165" s="142">
        <v>0</v>
      </c>
      <c r="U165" s="142" t="s">
        <v>506</v>
      </c>
      <c r="V165" s="142" t="s">
        <v>507</v>
      </c>
      <c r="W165" s="142" t="s">
        <v>178</v>
      </c>
      <c r="X165" s="142"/>
      <c r="Y165" s="142"/>
      <c r="Z165" s="142"/>
      <c r="AA165" s="142"/>
      <c r="AB165" s="142"/>
      <c r="AC165" s="142"/>
      <c r="AD165" s="123">
        <v>23</v>
      </c>
      <c r="AE165" s="123" t="str">
        <f t="shared" si="14"/>
        <v>Art Gallery Preview: Heloisa Hariadne @ Twani</v>
      </c>
      <c r="AF165" s="124">
        <f t="shared" si="16"/>
        <v>45442.770833333336</v>
      </c>
      <c r="AG165" s="123">
        <f t="shared" si="15"/>
        <v>5</v>
      </c>
      <c r="AH165" s="123">
        <f t="shared" si="12"/>
        <v>0</v>
      </c>
      <c r="AI165" s="123" t="s">
        <v>917</v>
      </c>
      <c r="AJ165" s="88"/>
    </row>
    <row r="166" spans="1:36" ht="15.95" customHeight="1">
      <c r="A166" s="141">
        <v>45442.222916666666</v>
      </c>
      <c r="B166" s="142" t="s">
        <v>749</v>
      </c>
      <c r="C166" s="142" t="s">
        <v>518</v>
      </c>
      <c r="D166" s="142" t="s">
        <v>949</v>
      </c>
      <c r="E166" s="143" t="s">
        <v>517</v>
      </c>
      <c r="F166" s="144" t="s">
        <v>950</v>
      </c>
      <c r="G166" s="144"/>
      <c r="H166" s="144"/>
      <c r="I166" s="144"/>
      <c r="J166" s="142" t="s">
        <v>939</v>
      </c>
      <c r="K166" s="123">
        <v>23</v>
      </c>
      <c r="L166" s="141">
        <v>45442.770833333336</v>
      </c>
      <c r="M166" s="141"/>
      <c r="N166" s="141"/>
      <c r="O166" s="141"/>
      <c r="P166" s="142">
        <v>1</v>
      </c>
      <c r="Q166" s="142"/>
      <c r="R166" s="142" t="s">
        <v>940</v>
      </c>
      <c r="S166" s="142" t="s">
        <v>733</v>
      </c>
      <c r="T166" s="142">
        <v>0</v>
      </c>
      <c r="U166" s="142" t="s">
        <v>518</v>
      </c>
      <c r="V166" s="142" t="s">
        <v>949</v>
      </c>
      <c r="W166" s="142" t="s">
        <v>517</v>
      </c>
      <c r="X166" s="142"/>
      <c r="Y166" s="142"/>
      <c r="Z166" s="142"/>
      <c r="AA166" s="142"/>
      <c r="AB166" s="142"/>
      <c r="AC166" s="142"/>
      <c r="AD166" s="123">
        <v>23</v>
      </c>
      <c r="AE166" s="123" t="str">
        <f t="shared" si="14"/>
        <v>Art Gallery Preview: Heloisa Hariadne @ Twani</v>
      </c>
      <c r="AF166" s="124">
        <f t="shared" si="16"/>
        <v>45442.770833333336</v>
      </c>
      <c r="AG166" s="123">
        <f t="shared" si="15"/>
        <v>5</v>
      </c>
      <c r="AH166" s="123">
        <f t="shared" si="12"/>
        <v>0</v>
      </c>
      <c r="AI166" s="123" t="s">
        <v>917</v>
      </c>
      <c r="AJ166" s="123"/>
    </row>
    <row r="167" spans="1:36" ht="15.95" customHeight="1">
      <c r="A167" s="141">
        <v>45442.494444444441</v>
      </c>
      <c r="B167" s="142" t="s">
        <v>729</v>
      </c>
      <c r="C167" s="142" t="s">
        <v>951</v>
      </c>
      <c r="D167" s="142" t="s">
        <v>536</v>
      </c>
      <c r="E167" s="143" t="s">
        <v>534</v>
      </c>
      <c r="F167" s="144" t="s">
        <v>537</v>
      </c>
      <c r="G167" s="144"/>
      <c r="H167" s="144"/>
      <c r="I167" s="144"/>
      <c r="J167" s="142" t="s">
        <v>939</v>
      </c>
      <c r="K167" s="123">
        <v>23</v>
      </c>
      <c r="L167" s="141">
        <v>45442.770833333336</v>
      </c>
      <c r="M167" s="141"/>
      <c r="N167" s="141"/>
      <c r="O167" s="141"/>
      <c r="P167" s="142">
        <v>1</v>
      </c>
      <c r="Q167" s="142"/>
      <c r="R167" s="142" t="s">
        <v>940</v>
      </c>
      <c r="S167" s="142" t="s">
        <v>733</v>
      </c>
      <c r="T167" s="142">
        <v>0</v>
      </c>
      <c r="U167" s="142" t="s">
        <v>951</v>
      </c>
      <c r="V167" s="142" t="s">
        <v>536</v>
      </c>
      <c r="W167" s="142" t="s">
        <v>534</v>
      </c>
      <c r="X167" s="142"/>
      <c r="Y167" s="142"/>
      <c r="Z167" s="142"/>
      <c r="AA167" s="142"/>
      <c r="AB167" s="142"/>
      <c r="AC167" s="142"/>
      <c r="AD167" s="123">
        <v>23</v>
      </c>
      <c r="AE167" s="123" t="str">
        <f t="shared" si="14"/>
        <v>Art Gallery Preview: Heloisa Hariadne @ Twani</v>
      </c>
      <c r="AF167" s="124">
        <f t="shared" si="16"/>
        <v>45442.770833333336</v>
      </c>
      <c r="AG167" s="123">
        <f t="shared" si="15"/>
        <v>5</v>
      </c>
      <c r="AH167" s="123">
        <f t="shared" si="12"/>
        <v>0</v>
      </c>
      <c r="AI167" s="123" t="s">
        <v>929</v>
      </c>
      <c r="AJ167" s="149" t="s">
        <v>168</v>
      </c>
    </row>
    <row r="168" spans="1:36" ht="15.95" customHeight="1">
      <c r="A168" s="141">
        <v>45440.53402777778</v>
      </c>
      <c r="B168" s="142" t="s">
        <v>729</v>
      </c>
      <c r="C168" s="142" t="s">
        <v>541</v>
      </c>
      <c r="D168" s="142" t="s">
        <v>542</v>
      </c>
      <c r="E168" s="143" t="s">
        <v>123</v>
      </c>
      <c r="F168" s="144" t="s">
        <v>919</v>
      </c>
      <c r="G168" s="144"/>
      <c r="H168" s="144"/>
      <c r="I168" s="144"/>
      <c r="J168" s="142" t="s">
        <v>939</v>
      </c>
      <c r="K168" s="123">
        <v>23</v>
      </c>
      <c r="L168" s="141">
        <v>45442.770833333336</v>
      </c>
      <c r="M168" s="141"/>
      <c r="N168" s="141"/>
      <c r="O168" s="141"/>
      <c r="P168" s="142">
        <v>1</v>
      </c>
      <c r="Q168" s="142"/>
      <c r="R168" s="142" t="s">
        <v>940</v>
      </c>
      <c r="S168" s="142" t="s">
        <v>733</v>
      </c>
      <c r="T168" s="142">
        <v>0</v>
      </c>
      <c r="U168" s="142" t="s">
        <v>541</v>
      </c>
      <c r="V168" s="142" t="s">
        <v>542</v>
      </c>
      <c r="W168" s="142" t="s">
        <v>123</v>
      </c>
      <c r="X168" s="142"/>
      <c r="Y168" s="142"/>
      <c r="Z168" s="142"/>
      <c r="AA168" s="142"/>
      <c r="AB168" s="142"/>
      <c r="AC168" s="142"/>
      <c r="AD168" s="123">
        <v>23</v>
      </c>
      <c r="AE168" s="123" t="str">
        <f t="shared" si="14"/>
        <v>Art Gallery Preview: Heloisa Hariadne @ Twani</v>
      </c>
      <c r="AF168" s="124">
        <f t="shared" si="16"/>
        <v>45442.770833333336</v>
      </c>
      <c r="AG168" s="123">
        <f t="shared" ref="AG168:AG199" si="17">MONTH(AF168)</f>
        <v>5</v>
      </c>
      <c r="AH168" s="123">
        <f t="shared" ref="AH168:AH231" si="18">AB168</f>
        <v>0</v>
      </c>
      <c r="AI168" s="123" t="s">
        <v>917</v>
      </c>
      <c r="AJ168" s="123"/>
    </row>
    <row r="169" spans="1:36" ht="15.95" customHeight="1">
      <c r="A169" s="141">
        <v>45442.22152777778</v>
      </c>
      <c r="B169" s="142" t="s">
        <v>749</v>
      </c>
      <c r="C169" s="142" t="s">
        <v>548</v>
      </c>
      <c r="D169" s="142" t="s">
        <v>549</v>
      </c>
      <c r="E169" s="143" t="s">
        <v>547</v>
      </c>
      <c r="F169" s="144" t="s">
        <v>952</v>
      </c>
      <c r="G169" s="144"/>
      <c r="H169" s="144"/>
      <c r="I169" s="144"/>
      <c r="J169" s="142" t="s">
        <v>939</v>
      </c>
      <c r="K169" s="123">
        <v>23</v>
      </c>
      <c r="L169" s="141">
        <v>45442.770833333336</v>
      </c>
      <c r="M169" s="141"/>
      <c r="N169" s="141"/>
      <c r="O169" s="141"/>
      <c r="P169" s="142">
        <v>1</v>
      </c>
      <c r="Q169" s="142"/>
      <c r="R169" s="142" t="s">
        <v>940</v>
      </c>
      <c r="S169" s="142" t="s">
        <v>733</v>
      </c>
      <c r="T169" s="142">
        <v>0</v>
      </c>
      <c r="U169" s="142" t="s">
        <v>548</v>
      </c>
      <c r="V169" s="142" t="s">
        <v>549</v>
      </c>
      <c r="W169" s="142" t="s">
        <v>547</v>
      </c>
      <c r="X169" s="142"/>
      <c r="Y169" s="142"/>
      <c r="Z169" s="142"/>
      <c r="AA169" s="142"/>
      <c r="AB169" s="142"/>
      <c r="AC169" s="142"/>
      <c r="AD169" s="123">
        <v>23</v>
      </c>
      <c r="AE169" s="123" t="str">
        <f t="shared" si="14"/>
        <v>Art Gallery Preview: Heloisa Hariadne @ Twani</v>
      </c>
      <c r="AF169" s="124">
        <f t="shared" si="16"/>
        <v>45442.770833333336</v>
      </c>
      <c r="AG169" s="123">
        <f t="shared" si="17"/>
        <v>5</v>
      </c>
      <c r="AH169" s="123">
        <f t="shared" si="18"/>
        <v>0</v>
      </c>
      <c r="AI169" s="123" t="s">
        <v>917</v>
      </c>
      <c r="AJ169" s="123"/>
    </row>
    <row r="170" spans="1:36" ht="15.95" customHeight="1">
      <c r="A170" s="141">
        <v>45441.436805555553</v>
      </c>
      <c r="B170" s="142" t="s">
        <v>729</v>
      </c>
      <c r="C170" s="142" t="s">
        <v>554</v>
      </c>
      <c r="D170" s="142" t="s">
        <v>555</v>
      </c>
      <c r="E170" s="143" t="s">
        <v>124</v>
      </c>
      <c r="F170" s="144" t="s">
        <v>953</v>
      </c>
      <c r="G170" s="144"/>
      <c r="H170" s="144"/>
      <c r="I170" s="144"/>
      <c r="J170" s="142" t="s">
        <v>939</v>
      </c>
      <c r="K170" s="123">
        <v>23</v>
      </c>
      <c r="L170" s="141">
        <v>45442.770833333336</v>
      </c>
      <c r="M170" s="141"/>
      <c r="N170" s="141"/>
      <c r="O170" s="141"/>
      <c r="P170" s="142">
        <v>1</v>
      </c>
      <c r="Q170" s="142"/>
      <c r="R170" s="142" t="s">
        <v>940</v>
      </c>
      <c r="S170" s="142" t="s">
        <v>733</v>
      </c>
      <c r="T170" s="142">
        <v>0</v>
      </c>
      <c r="U170" s="142" t="s">
        <v>554</v>
      </c>
      <c r="V170" s="142" t="s">
        <v>555</v>
      </c>
      <c r="W170" s="142" t="s">
        <v>124</v>
      </c>
      <c r="X170" s="142"/>
      <c r="Y170" s="142"/>
      <c r="Z170" s="142"/>
      <c r="AA170" s="142"/>
      <c r="AB170" s="142"/>
      <c r="AC170" s="142"/>
      <c r="AD170" s="123">
        <v>23</v>
      </c>
      <c r="AE170" s="123" t="str">
        <f t="shared" si="14"/>
        <v>Art Gallery Preview: Heloisa Hariadne @ Twani</v>
      </c>
      <c r="AF170" s="124">
        <f t="shared" si="16"/>
        <v>45442.770833333336</v>
      </c>
      <c r="AG170" s="123">
        <f t="shared" si="17"/>
        <v>5</v>
      </c>
      <c r="AH170" s="123">
        <f t="shared" si="18"/>
        <v>0</v>
      </c>
      <c r="AI170" s="123" t="s">
        <v>917</v>
      </c>
      <c r="AJ170" s="88"/>
    </row>
    <row r="171" spans="1:36" ht="15.95" customHeight="1">
      <c r="A171" s="141">
        <v>45440.540972222225</v>
      </c>
      <c r="B171" s="142" t="s">
        <v>729</v>
      </c>
      <c r="C171" s="142" t="s">
        <v>564</v>
      </c>
      <c r="D171" s="142" t="s">
        <v>565</v>
      </c>
      <c r="E171" s="143" t="s">
        <v>135</v>
      </c>
      <c r="F171" s="144" t="s">
        <v>954</v>
      </c>
      <c r="G171" s="144"/>
      <c r="H171" s="144"/>
      <c r="I171" s="144"/>
      <c r="J171" s="142" t="s">
        <v>939</v>
      </c>
      <c r="K171" s="123">
        <v>23</v>
      </c>
      <c r="L171" s="141">
        <v>45442.770833333336</v>
      </c>
      <c r="M171" s="141"/>
      <c r="N171" s="141"/>
      <c r="O171" s="141"/>
      <c r="P171" s="142">
        <v>1</v>
      </c>
      <c r="Q171" s="142"/>
      <c r="R171" s="142" t="s">
        <v>940</v>
      </c>
      <c r="S171" s="142" t="s">
        <v>733</v>
      </c>
      <c r="T171" s="142">
        <v>0</v>
      </c>
      <c r="U171" s="142" t="s">
        <v>564</v>
      </c>
      <c r="V171" s="142" t="s">
        <v>565</v>
      </c>
      <c r="W171" s="142" t="s">
        <v>135</v>
      </c>
      <c r="X171" s="142"/>
      <c r="Y171" s="142"/>
      <c r="Z171" s="142"/>
      <c r="AA171" s="142"/>
      <c r="AB171" s="142"/>
      <c r="AC171" s="142"/>
      <c r="AD171" s="123">
        <v>23</v>
      </c>
      <c r="AE171" s="123" t="str">
        <f t="shared" si="14"/>
        <v>Art Gallery Preview: Heloisa Hariadne @ Twani</v>
      </c>
      <c r="AF171" s="124">
        <f t="shared" si="16"/>
        <v>45442.770833333336</v>
      </c>
      <c r="AG171" s="123">
        <f t="shared" si="17"/>
        <v>5</v>
      </c>
      <c r="AH171" s="123">
        <f t="shared" si="18"/>
        <v>0</v>
      </c>
      <c r="AI171" s="123" t="s">
        <v>917</v>
      </c>
      <c r="AJ171" s="88"/>
    </row>
    <row r="172" spans="1:36" ht="15.95" customHeight="1">
      <c r="A172" s="141">
        <v>45440.67291666667</v>
      </c>
      <c r="B172" s="142" t="s">
        <v>729</v>
      </c>
      <c r="C172" s="142" t="s">
        <v>336</v>
      </c>
      <c r="D172" s="142" t="s">
        <v>340</v>
      </c>
      <c r="E172" s="143" t="s">
        <v>339</v>
      </c>
      <c r="F172" s="142">
        <v>447536484874</v>
      </c>
      <c r="G172" s="142"/>
      <c r="H172" s="142"/>
      <c r="I172" s="142"/>
      <c r="J172" s="142" t="s">
        <v>955</v>
      </c>
      <c r="K172" s="123">
        <v>18</v>
      </c>
      <c r="L172" s="141">
        <v>45445.5</v>
      </c>
      <c r="M172" s="141"/>
      <c r="N172" s="141"/>
      <c r="O172" s="141"/>
      <c r="P172" s="142">
        <v>1</v>
      </c>
      <c r="Q172" s="142"/>
      <c r="R172" s="142" t="s">
        <v>752</v>
      </c>
      <c r="S172" s="142" t="s">
        <v>733</v>
      </c>
      <c r="T172" s="142">
        <v>15</v>
      </c>
      <c r="U172" s="142" t="s">
        <v>336</v>
      </c>
      <c r="V172" s="142" t="s">
        <v>340</v>
      </c>
      <c r="W172" s="142" t="s">
        <v>339</v>
      </c>
      <c r="X172" s="142"/>
      <c r="Y172" s="142"/>
      <c r="Z172" s="142"/>
      <c r="AA172" s="142"/>
      <c r="AB172" s="142" t="s">
        <v>817</v>
      </c>
      <c r="AC172" s="142"/>
      <c r="AD172" s="123">
        <v>18</v>
      </c>
      <c r="AE172" s="123" t="str">
        <f t="shared" si="14"/>
        <v>Art Scavenger Hunt in Mayfair @ London Gallery Weekend</v>
      </c>
      <c r="AF172" s="124">
        <f t="shared" si="16"/>
        <v>45445.5</v>
      </c>
      <c r="AG172" s="123">
        <f t="shared" si="17"/>
        <v>6</v>
      </c>
      <c r="AH172" s="123" t="str">
        <f t="shared" si="18"/>
        <v>WhatsApp</v>
      </c>
      <c r="AI172" s="123" t="s">
        <v>917</v>
      </c>
      <c r="AJ172" s="123"/>
    </row>
    <row r="173" spans="1:36" ht="15.95" customHeight="1">
      <c r="A173" s="141">
        <v>45442.752083333333</v>
      </c>
      <c r="B173" s="142" t="s">
        <v>729</v>
      </c>
      <c r="C173" s="142" t="s">
        <v>346</v>
      </c>
      <c r="D173" s="142" t="s">
        <v>347</v>
      </c>
      <c r="E173" s="143" t="s">
        <v>956</v>
      </c>
      <c r="F173" s="142">
        <v>7873956356</v>
      </c>
      <c r="G173" s="142"/>
      <c r="H173" s="142"/>
      <c r="I173" s="142"/>
      <c r="J173" s="142" t="s">
        <v>955</v>
      </c>
      <c r="K173" s="123">
        <v>18</v>
      </c>
      <c r="L173" s="141">
        <v>45445.5</v>
      </c>
      <c r="M173" s="141"/>
      <c r="N173" s="141"/>
      <c r="O173" s="141"/>
      <c r="P173" s="142">
        <v>1</v>
      </c>
      <c r="Q173" s="142"/>
      <c r="R173" s="142" t="s">
        <v>752</v>
      </c>
      <c r="S173" s="142" t="s">
        <v>733</v>
      </c>
      <c r="T173" s="142">
        <v>15</v>
      </c>
      <c r="U173" s="142" t="s">
        <v>346</v>
      </c>
      <c r="V173" s="142" t="s">
        <v>347</v>
      </c>
      <c r="W173" s="142" t="s">
        <v>956</v>
      </c>
      <c r="X173" s="142"/>
      <c r="Y173" s="142"/>
      <c r="Z173" s="142"/>
      <c r="AA173" s="142"/>
      <c r="AB173" s="142" t="s">
        <v>817</v>
      </c>
      <c r="AC173" s="142"/>
      <c r="AD173" s="123">
        <v>18</v>
      </c>
      <c r="AE173" s="123" t="str">
        <f t="shared" si="14"/>
        <v>Art Scavenger Hunt in Mayfair @ London Gallery Weekend</v>
      </c>
      <c r="AF173" s="124">
        <f t="shared" si="16"/>
        <v>45445.5</v>
      </c>
      <c r="AG173" s="123">
        <f t="shared" si="17"/>
        <v>6</v>
      </c>
      <c r="AH173" s="123" t="str">
        <f t="shared" si="18"/>
        <v>WhatsApp</v>
      </c>
      <c r="AI173" s="123" t="s">
        <v>917</v>
      </c>
      <c r="AJ173" s="123"/>
    </row>
    <row r="174" spans="1:36" ht="15.95" customHeight="1">
      <c r="A174" s="141">
        <v>45442.413194444445</v>
      </c>
      <c r="B174" s="142" t="s">
        <v>729</v>
      </c>
      <c r="C174" s="142" t="s">
        <v>353</v>
      </c>
      <c r="D174" s="142" t="s">
        <v>354</v>
      </c>
      <c r="E174" s="143" t="s">
        <v>352</v>
      </c>
      <c r="F174" s="142">
        <v>7300421972</v>
      </c>
      <c r="G174" s="142"/>
      <c r="H174" s="142"/>
      <c r="I174" s="142"/>
      <c r="J174" s="142" t="s">
        <v>955</v>
      </c>
      <c r="K174" s="123">
        <v>18</v>
      </c>
      <c r="L174" s="141">
        <v>45445.5</v>
      </c>
      <c r="M174" s="141"/>
      <c r="N174" s="141"/>
      <c r="O174" s="141"/>
      <c r="P174" s="142">
        <v>1</v>
      </c>
      <c r="Q174" s="142"/>
      <c r="R174" s="142" t="s">
        <v>752</v>
      </c>
      <c r="S174" s="142" t="s">
        <v>733</v>
      </c>
      <c r="T174" s="142">
        <v>7.5</v>
      </c>
      <c r="U174" s="142" t="s">
        <v>353</v>
      </c>
      <c r="V174" s="142" t="s">
        <v>354</v>
      </c>
      <c r="W174" s="142" t="s">
        <v>352</v>
      </c>
      <c r="X174" s="142"/>
      <c r="Y174" s="142"/>
      <c r="Z174" s="142"/>
      <c r="AA174" s="142"/>
      <c r="AB174" s="142" t="s">
        <v>908</v>
      </c>
      <c r="AC174" s="142" t="s">
        <v>957</v>
      </c>
      <c r="AD174" s="123">
        <v>18</v>
      </c>
      <c r="AE174" s="123" t="str">
        <f t="shared" si="14"/>
        <v>Art Scavenger Hunt in Mayfair @ London Gallery Weekend</v>
      </c>
      <c r="AF174" s="124">
        <f t="shared" si="16"/>
        <v>45445.5</v>
      </c>
      <c r="AG174" s="123">
        <f t="shared" si="17"/>
        <v>6</v>
      </c>
      <c r="AH174" s="123" t="str">
        <f t="shared" si="18"/>
        <v>echckt</v>
      </c>
      <c r="AI174" s="123" t="s">
        <v>917</v>
      </c>
      <c r="AJ174" s="123"/>
    </row>
    <row r="175" spans="1:36" ht="15.95" customHeight="1">
      <c r="A175" s="141">
        <v>45441.482638888891</v>
      </c>
      <c r="B175" s="142" t="s">
        <v>729</v>
      </c>
      <c r="C175" s="142" t="s">
        <v>364</v>
      </c>
      <c r="D175" s="142" t="s">
        <v>365</v>
      </c>
      <c r="E175" s="143" t="s">
        <v>363</v>
      </c>
      <c r="F175" s="144" t="s">
        <v>366</v>
      </c>
      <c r="G175" s="144"/>
      <c r="H175" s="144"/>
      <c r="I175" s="144"/>
      <c r="J175" s="142" t="s">
        <v>955</v>
      </c>
      <c r="K175" s="123">
        <v>18</v>
      </c>
      <c r="L175" s="141">
        <v>45445.5</v>
      </c>
      <c r="M175" s="141"/>
      <c r="N175" s="141"/>
      <c r="O175" s="141"/>
      <c r="P175" s="142">
        <v>1</v>
      </c>
      <c r="Q175" s="142"/>
      <c r="R175" s="142" t="s">
        <v>752</v>
      </c>
      <c r="S175" s="142" t="s">
        <v>733</v>
      </c>
      <c r="T175" s="142">
        <v>15</v>
      </c>
      <c r="U175" s="142" t="s">
        <v>364</v>
      </c>
      <c r="V175" s="142" t="s">
        <v>365</v>
      </c>
      <c r="W175" s="142" t="s">
        <v>363</v>
      </c>
      <c r="X175" s="142"/>
      <c r="Y175" s="142"/>
      <c r="Z175" s="142"/>
      <c r="AA175" s="142"/>
      <c r="AB175" s="142" t="s">
        <v>817</v>
      </c>
      <c r="AC175" s="142"/>
      <c r="AD175" s="123">
        <v>18</v>
      </c>
      <c r="AE175" s="123" t="str">
        <f t="shared" si="14"/>
        <v>Art Scavenger Hunt in Mayfair @ London Gallery Weekend</v>
      </c>
      <c r="AF175" s="124">
        <f t="shared" si="16"/>
        <v>45445.5</v>
      </c>
      <c r="AG175" s="123">
        <f t="shared" si="17"/>
        <v>6</v>
      </c>
      <c r="AH175" s="123" t="str">
        <f t="shared" si="18"/>
        <v>WhatsApp</v>
      </c>
      <c r="AI175" s="123" t="s">
        <v>917</v>
      </c>
      <c r="AJ175" s="123"/>
    </row>
    <row r="176" spans="1:36" ht="15.95" customHeight="1">
      <c r="A176" s="141">
        <v>45441.481249999997</v>
      </c>
      <c r="B176" s="142" t="s">
        <v>729</v>
      </c>
      <c r="C176" s="142" t="s">
        <v>367</v>
      </c>
      <c r="D176" s="142" t="s">
        <v>368</v>
      </c>
      <c r="E176" s="143" t="s">
        <v>130</v>
      </c>
      <c r="F176" s="144" t="s">
        <v>941</v>
      </c>
      <c r="G176" s="144"/>
      <c r="H176" s="144"/>
      <c r="I176" s="144"/>
      <c r="J176" s="142" t="s">
        <v>955</v>
      </c>
      <c r="K176" s="123">
        <v>18</v>
      </c>
      <c r="L176" s="141">
        <v>45445.5</v>
      </c>
      <c r="M176" s="141"/>
      <c r="N176" s="141"/>
      <c r="O176" s="141"/>
      <c r="P176" s="142">
        <v>1</v>
      </c>
      <c r="Q176" s="142"/>
      <c r="R176" s="142" t="s">
        <v>752</v>
      </c>
      <c r="S176" s="142" t="s">
        <v>733</v>
      </c>
      <c r="T176" s="142">
        <v>15</v>
      </c>
      <c r="U176" s="142" t="s">
        <v>367</v>
      </c>
      <c r="V176" s="142" t="s">
        <v>368</v>
      </c>
      <c r="W176" s="142" t="s">
        <v>130</v>
      </c>
      <c r="X176" s="142"/>
      <c r="Y176" s="142"/>
      <c r="Z176" s="142"/>
      <c r="AA176" s="142"/>
      <c r="AB176" s="142"/>
      <c r="AC176" s="142"/>
      <c r="AD176" s="123">
        <v>18</v>
      </c>
      <c r="AE176" s="123" t="str">
        <f t="shared" si="14"/>
        <v>Art Scavenger Hunt in Mayfair @ London Gallery Weekend</v>
      </c>
      <c r="AF176" s="124">
        <f t="shared" si="16"/>
        <v>45445.5</v>
      </c>
      <c r="AG176" s="123">
        <f t="shared" si="17"/>
        <v>6</v>
      </c>
      <c r="AH176" s="123">
        <f t="shared" si="18"/>
        <v>0</v>
      </c>
      <c r="AI176" s="123" t="s">
        <v>917</v>
      </c>
      <c r="AJ176" s="123"/>
    </row>
    <row r="177" spans="1:36" ht="15.95" customHeight="1">
      <c r="A177" s="141">
        <v>45444.643750000003</v>
      </c>
      <c r="B177" s="142" t="s">
        <v>729</v>
      </c>
      <c r="C177" s="142" t="s">
        <v>370</v>
      </c>
      <c r="D177" s="142" t="s">
        <v>370</v>
      </c>
      <c r="E177" s="143" t="s">
        <v>141</v>
      </c>
      <c r="F177" s="142">
        <v>7877845663</v>
      </c>
      <c r="G177" s="142"/>
      <c r="H177" s="142"/>
      <c r="I177" s="142"/>
      <c r="J177" s="142" t="s">
        <v>955</v>
      </c>
      <c r="K177" s="123">
        <v>18</v>
      </c>
      <c r="L177" s="141">
        <v>45445.5</v>
      </c>
      <c r="M177" s="141"/>
      <c r="N177" s="141"/>
      <c r="O177" s="141"/>
      <c r="P177" s="142">
        <v>1</v>
      </c>
      <c r="Q177" s="142"/>
      <c r="R177" s="142" t="s">
        <v>752</v>
      </c>
      <c r="S177" s="142" t="s">
        <v>733</v>
      </c>
      <c r="T177" s="142">
        <v>15</v>
      </c>
      <c r="U177" s="142" t="s">
        <v>370</v>
      </c>
      <c r="V177" s="142" t="s">
        <v>370</v>
      </c>
      <c r="W177" s="142" t="s">
        <v>141</v>
      </c>
      <c r="X177" s="142"/>
      <c r="Y177" s="142"/>
      <c r="Z177" s="142"/>
      <c r="AA177" s="142"/>
      <c r="AB177" s="142" t="s">
        <v>834</v>
      </c>
      <c r="AC177" s="142"/>
      <c r="AD177" s="123">
        <v>18</v>
      </c>
      <c r="AE177" s="123" t="str">
        <f t="shared" si="14"/>
        <v>Art Scavenger Hunt in Mayfair @ London Gallery Weekend</v>
      </c>
      <c r="AF177" s="124">
        <f t="shared" si="16"/>
        <v>45445.5</v>
      </c>
      <c r="AG177" s="123">
        <f t="shared" si="17"/>
        <v>6</v>
      </c>
      <c r="AH177" s="123" t="str">
        <f t="shared" si="18"/>
        <v>oddtdtcreator</v>
      </c>
      <c r="AI177" s="123" t="s">
        <v>917</v>
      </c>
      <c r="AJ177" s="123"/>
    </row>
    <row r="178" spans="1:36" ht="15.95" customHeight="1">
      <c r="A178" s="141">
        <v>45444.289583333331</v>
      </c>
      <c r="B178" s="142" t="s">
        <v>749</v>
      </c>
      <c r="C178" s="142" t="s">
        <v>373</v>
      </c>
      <c r="D178" s="142" t="s">
        <v>374</v>
      </c>
      <c r="E178" s="143" t="s">
        <v>372</v>
      </c>
      <c r="F178" s="142">
        <v>0</v>
      </c>
      <c r="G178" s="142"/>
      <c r="H178" s="142"/>
      <c r="I178" s="142"/>
      <c r="J178" s="142" t="s">
        <v>955</v>
      </c>
      <c r="K178" s="123">
        <v>18</v>
      </c>
      <c r="L178" s="141">
        <v>45445.5</v>
      </c>
      <c r="M178" s="141"/>
      <c r="N178" s="141"/>
      <c r="O178" s="141"/>
      <c r="P178" s="142">
        <v>1</v>
      </c>
      <c r="Q178" s="142"/>
      <c r="R178" s="142" t="s">
        <v>759</v>
      </c>
      <c r="S178" s="142" t="s">
        <v>733</v>
      </c>
      <c r="T178" s="142">
        <v>30</v>
      </c>
      <c r="U178" s="142" t="s">
        <v>373</v>
      </c>
      <c r="V178" s="142" t="s">
        <v>374</v>
      </c>
      <c r="W178" s="142" t="s">
        <v>372</v>
      </c>
      <c r="X178" s="142"/>
      <c r="Y178" s="142"/>
      <c r="Z178" s="142"/>
      <c r="AA178" s="142"/>
      <c r="AB178" s="142"/>
      <c r="AC178" s="142"/>
      <c r="AD178" s="123">
        <v>18</v>
      </c>
      <c r="AE178" s="123" t="str">
        <f t="shared" si="14"/>
        <v>Art Scavenger Hunt in Mayfair @ London Gallery Weekend</v>
      </c>
      <c r="AF178" s="124">
        <f t="shared" si="16"/>
        <v>45445.5</v>
      </c>
      <c r="AG178" s="123">
        <f t="shared" si="17"/>
        <v>6</v>
      </c>
      <c r="AH178" s="123">
        <f t="shared" si="18"/>
        <v>0</v>
      </c>
      <c r="AI178" s="123" t="s">
        <v>929</v>
      </c>
      <c r="AJ178" s="149" t="s">
        <v>168</v>
      </c>
    </row>
    <row r="179" spans="1:36" ht="15.95" customHeight="1">
      <c r="A179" s="141">
        <v>45441.48541666667</v>
      </c>
      <c r="B179" s="142" t="s">
        <v>729</v>
      </c>
      <c r="C179" s="142" t="s">
        <v>375</v>
      </c>
      <c r="D179" s="142" t="s">
        <v>376</v>
      </c>
      <c r="E179" s="143" t="s">
        <v>122</v>
      </c>
      <c r="F179" s="144" t="s">
        <v>930</v>
      </c>
      <c r="G179" s="144"/>
      <c r="H179" s="144"/>
      <c r="I179" s="144"/>
      <c r="J179" s="142" t="s">
        <v>955</v>
      </c>
      <c r="K179" s="123">
        <v>18</v>
      </c>
      <c r="L179" s="141">
        <v>45445.5</v>
      </c>
      <c r="M179" s="141"/>
      <c r="N179" s="141"/>
      <c r="O179" s="141"/>
      <c r="P179" s="142">
        <v>1</v>
      </c>
      <c r="Q179" s="142"/>
      <c r="R179" s="142" t="s">
        <v>752</v>
      </c>
      <c r="S179" s="142" t="s">
        <v>733</v>
      </c>
      <c r="T179" s="142">
        <v>15</v>
      </c>
      <c r="U179" s="142" t="s">
        <v>375</v>
      </c>
      <c r="V179" s="142" t="s">
        <v>376</v>
      </c>
      <c r="W179" s="142" t="s">
        <v>122</v>
      </c>
      <c r="X179" s="142"/>
      <c r="Y179" s="142"/>
      <c r="Z179" s="142"/>
      <c r="AA179" s="142"/>
      <c r="AB179" s="142"/>
      <c r="AC179" s="142"/>
      <c r="AD179" s="123">
        <v>18</v>
      </c>
      <c r="AE179" s="123" t="str">
        <f t="shared" si="14"/>
        <v>Art Scavenger Hunt in Mayfair @ London Gallery Weekend</v>
      </c>
      <c r="AF179" s="124">
        <f t="shared" si="16"/>
        <v>45445.5</v>
      </c>
      <c r="AG179" s="123">
        <f t="shared" si="17"/>
        <v>6</v>
      </c>
      <c r="AH179" s="123">
        <f t="shared" si="18"/>
        <v>0</v>
      </c>
      <c r="AI179" s="123" t="s">
        <v>917</v>
      </c>
      <c r="AJ179" s="88"/>
    </row>
    <row r="180" spans="1:36" ht="15.95" customHeight="1">
      <c r="A180" s="141">
        <v>45442.397916666669</v>
      </c>
      <c r="B180" s="142" t="s">
        <v>729</v>
      </c>
      <c r="C180" s="142" t="s">
        <v>375</v>
      </c>
      <c r="D180" s="142" t="s">
        <v>379</v>
      </c>
      <c r="E180" s="143" t="s">
        <v>378</v>
      </c>
      <c r="F180" s="142">
        <v>7774734706</v>
      </c>
      <c r="G180" s="142"/>
      <c r="H180" s="142"/>
      <c r="I180" s="142"/>
      <c r="J180" s="142" t="s">
        <v>955</v>
      </c>
      <c r="K180" s="123">
        <v>18</v>
      </c>
      <c r="L180" s="141">
        <v>45445.5</v>
      </c>
      <c r="M180" s="141"/>
      <c r="N180" s="141"/>
      <c r="O180" s="141"/>
      <c r="P180" s="142">
        <v>1</v>
      </c>
      <c r="Q180" s="142"/>
      <c r="R180" s="142" t="s">
        <v>752</v>
      </c>
      <c r="S180" s="142" t="s">
        <v>733</v>
      </c>
      <c r="T180" s="142">
        <v>7.5</v>
      </c>
      <c r="U180" s="142" t="s">
        <v>375</v>
      </c>
      <c r="V180" s="142" t="s">
        <v>379</v>
      </c>
      <c r="W180" s="142" t="s">
        <v>378</v>
      </c>
      <c r="X180" s="142"/>
      <c r="Y180" s="142"/>
      <c r="Z180" s="142"/>
      <c r="AA180" s="142"/>
      <c r="AB180" s="142" t="s">
        <v>958</v>
      </c>
      <c r="AC180" s="142" t="s">
        <v>957</v>
      </c>
      <c r="AD180" s="123">
        <v>18</v>
      </c>
      <c r="AE180" s="123" t="str">
        <f t="shared" si="14"/>
        <v>Art Scavenger Hunt in Mayfair @ London Gallery Weekend</v>
      </c>
      <c r="AF180" s="124">
        <f t="shared" si="16"/>
        <v>45445.5</v>
      </c>
      <c r="AG180" s="123">
        <f t="shared" si="17"/>
        <v>6</v>
      </c>
      <c r="AH180" s="123" t="str">
        <f t="shared" si="18"/>
        <v>CC</v>
      </c>
      <c r="AI180" s="123" t="s">
        <v>917</v>
      </c>
      <c r="AJ180" s="123"/>
    </row>
    <row r="181" spans="1:36" ht="15.95" customHeight="1">
      <c r="A181" s="141">
        <v>45441.488888888889</v>
      </c>
      <c r="B181" s="142" t="s">
        <v>729</v>
      </c>
      <c r="C181" s="142" t="s">
        <v>414</v>
      </c>
      <c r="D181" s="142" t="s">
        <v>415</v>
      </c>
      <c r="E181" s="143" t="s">
        <v>413</v>
      </c>
      <c r="F181" s="142">
        <v>447545450201</v>
      </c>
      <c r="G181" s="142"/>
      <c r="H181" s="142"/>
      <c r="I181" s="142"/>
      <c r="J181" s="142" t="s">
        <v>955</v>
      </c>
      <c r="K181" s="123">
        <v>18</v>
      </c>
      <c r="L181" s="141">
        <v>45445.5</v>
      </c>
      <c r="M181" s="141"/>
      <c r="N181" s="141"/>
      <c r="O181" s="141"/>
      <c r="P181" s="142">
        <v>1</v>
      </c>
      <c r="Q181" s="142"/>
      <c r="R181" s="142" t="s">
        <v>752</v>
      </c>
      <c r="S181" s="142" t="s">
        <v>733</v>
      </c>
      <c r="T181" s="142">
        <v>15</v>
      </c>
      <c r="U181" s="142" t="s">
        <v>414</v>
      </c>
      <c r="V181" s="142" t="s">
        <v>415</v>
      </c>
      <c r="W181" s="142" t="s">
        <v>413</v>
      </c>
      <c r="X181" s="142"/>
      <c r="Y181" s="142"/>
      <c r="Z181" s="142"/>
      <c r="AA181" s="142"/>
      <c r="AB181" s="142"/>
      <c r="AC181" s="142"/>
      <c r="AD181" s="123">
        <v>18</v>
      </c>
      <c r="AE181" s="123" t="str">
        <f t="shared" si="14"/>
        <v>Art Scavenger Hunt in Mayfair @ London Gallery Weekend</v>
      </c>
      <c r="AF181" s="124">
        <f t="shared" si="16"/>
        <v>45445.5</v>
      </c>
      <c r="AG181" s="123">
        <f t="shared" si="17"/>
        <v>6</v>
      </c>
      <c r="AH181" s="123">
        <f t="shared" si="18"/>
        <v>0</v>
      </c>
      <c r="AI181" s="123" t="s">
        <v>929</v>
      </c>
      <c r="AJ181" s="149" t="s">
        <v>123</v>
      </c>
    </row>
    <row r="182" spans="1:36" ht="15.95" customHeight="1">
      <c r="A182" s="141">
        <v>45442.304166666669</v>
      </c>
      <c r="B182" s="142" t="s">
        <v>729</v>
      </c>
      <c r="C182" s="142" t="s">
        <v>959</v>
      </c>
      <c r="D182" s="142" t="s">
        <v>960</v>
      </c>
      <c r="E182" s="143" t="s">
        <v>462</v>
      </c>
      <c r="F182" s="142">
        <v>7846069814</v>
      </c>
      <c r="G182" s="142"/>
      <c r="H182" s="142"/>
      <c r="I182" s="142"/>
      <c r="J182" s="142" t="s">
        <v>955</v>
      </c>
      <c r="K182" s="123">
        <v>18</v>
      </c>
      <c r="L182" s="141">
        <v>45445.5</v>
      </c>
      <c r="M182" s="141"/>
      <c r="N182" s="141"/>
      <c r="O182" s="141"/>
      <c r="P182" s="142">
        <v>1</v>
      </c>
      <c r="Q182" s="142"/>
      <c r="R182" s="142" t="s">
        <v>752</v>
      </c>
      <c r="S182" s="142" t="s">
        <v>733</v>
      </c>
      <c r="T182" s="142">
        <v>15</v>
      </c>
      <c r="U182" s="142" t="s">
        <v>959</v>
      </c>
      <c r="V182" s="142" t="s">
        <v>960</v>
      </c>
      <c r="W182" s="142" t="s">
        <v>462</v>
      </c>
      <c r="X182" s="142"/>
      <c r="Y182" s="142"/>
      <c r="Z182" s="142"/>
      <c r="AA182" s="142"/>
      <c r="AB182" s="142" t="s">
        <v>817</v>
      </c>
      <c r="AC182" s="142"/>
      <c r="AD182" s="123">
        <v>18</v>
      </c>
      <c r="AE182" s="123" t="str">
        <f t="shared" si="14"/>
        <v>Art Scavenger Hunt in Mayfair @ London Gallery Weekend</v>
      </c>
      <c r="AF182" s="124">
        <f t="shared" si="16"/>
        <v>45445.5</v>
      </c>
      <c r="AG182" s="123">
        <f t="shared" si="17"/>
        <v>6</v>
      </c>
      <c r="AH182" s="123" t="str">
        <f t="shared" si="18"/>
        <v>WhatsApp</v>
      </c>
      <c r="AI182" s="123" t="s">
        <v>929</v>
      </c>
      <c r="AJ182" s="149" t="s">
        <v>168</v>
      </c>
    </row>
    <row r="183" spans="1:36" ht="15.95" customHeight="1">
      <c r="A183" s="141">
        <v>45443.445138888892</v>
      </c>
      <c r="B183" s="142" t="s">
        <v>729</v>
      </c>
      <c r="C183" s="142" t="s">
        <v>496</v>
      </c>
      <c r="D183" s="142" t="s">
        <v>497</v>
      </c>
      <c r="E183" s="143" t="s">
        <v>495</v>
      </c>
      <c r="F183" s="144" t="s">
        <v>498</v>
      </c>
      <c r="G183" s="144"/>
      <c r="H183" s="144"/>
      <c r="I183" s="144"/>
      <c r="J183" s="142" t="s">
        <v>955</v>
      </c>
      <c r="K183" s="123">
        <v>18</v>
      </c>
      <c r="L183" s="141">
        <v>45445.5</v>
      </c>
      <c r="M183" s="141"/>
      <c r="N183" s="141"/>
      <c r="O183" s="141"/>
      <c r="P183" s="142">
        <v>1</v>
      </c>
      <c r="Q183" s="142"/>
      <c r="R183" s="142" t="s">
        <v>752</v>
      </c>
      <c r="S183" s="142" t="s">
        <v>733</v>
      </c>
      <c r="T183" s="142">
        <v>15</v>
      </c>
      <c r="U183" s="142" t="s">
        <v>496</v>
      </c>
      <c r="V183" s="142" t="s">
        <v>497</v>
      </c>
      <c r="W183" s="142" t="s">
        <v>495</v>
      </c>
      <c r="X183" s="142"/>
      <c r="Y183" s="142"/>
      <c r="Z183" s="142"/>
      <c r="AA183" s="142"/>
      <c r="AB183" s="142"/>
      <c r="AC183" s="142"/>
      <c r="AD183" s="123">
        <v>18</v>
      </c>
      <c r="AE183" s="123" t="str">
        <f t="shared" si="14"/>
        <v>Art Scavenger Hunt in Mayfair @ London Gallery Weekend</v>
      </c>
      <c r="AF183" s="124">
        <f t="shared" si="16"/>
        <v>45445.5</v>
      </c>
      <c r="AG183" s="123">
        <f t="shared" si="17"/>
        <v>6</v>
      </c>
      <c r="AH183" s="123">
        <f t="shared" si="18"/>
        <v>0</v>
      </c>
      <c r="AI183" s="123" t="s">
        <v>917</v>
      </c>
      <c r="AJ183" s="123"/>
    </row>
    <row r="184" spans="1:36" ht="15.95" customHeight="1">
      <c r="A184" s="141">
        <v>45442.414583333331</v>
      </c>
      <c r="B184" s="142" t="s">
        <v>729</v>
      </c>
      <c r="C184" s="142" t="s">
        <v>503</v>
      </c>
      <c r="D184" s="142" t="s">
        <v>504</v>
      </c>
      <c r="E184" s="143" t="s">
        <v>502</v>
      </c>
      <c r="F184" s="142">
        <v>7300421968</v>
      </c>
      <c r="G184" s="142"/>
      <c r="H184" s="142"/>
      <c r="I184" s="142"/>
      <c r="J184" s="142" t="s">
        <v>955</v>
      </c>
      <c r="K184" s="123">
        <v>18</v>
      </c>
      <c r="L184" s="141">
        <v>45445.5</v>
      </c>
      <c r="M184" s="141"/>
      <c r="N184" s="141"/>
      <c r="O184" s="141"/>
      <c r="P184" s="142">
        <v>1</v>
      </c>
      <c r="Q184" s="142"/>
      <c r="R184" s="142" t="s">
        <v>752</v>
      </c>
      <c r="S184" s="142" t="s">
        <v>733</v>
      </c>
      <c r="T184" s="142">
        <v>7.5</v>
      </c>
      <c r="U184" s="142" t="s">
        <v>503</v>
      </c>
      <c r="V184" s="142" t="s">
        <v>504</v>
      </c>
      <c r="W184" s="142" t="s">
        <v>502</v>
      </c>
      <c r="X184" s="142"/>
      <c r="Y184" s="142"/>
      <c r="Z184" s="142"/>
      <c r="AA184" s="142"/>
      <c r="AB184" s="142" t="s">
        <v>908</v>
      </c>
      <c r="AC184" s="142" t="s">
        <v>957</v>
      </c>
      <c r="AD184" s="123">
        <v>18</v>
      </c>
      <c r="AE184" s="123" t="str">
        <f t="shared" si="14"/>
        <v>Art Scavenger Hunt in Mayfair @ London Gallery Weekend</v>
      </c>
      <c r="AF184" s="124">
        <f t="shared" si="16"/>
        <v>45445.5</v>
      </c>
      <c r="AG184" s="123">
        <f t="shared" si="17"/>
        <v>6</v>
      </c>
      <c r="AH184" s="123" t="str">
        <f t="shared" si="18"/>
        <v>echckt</v>
      </c>
      <c r="AI184" s="123" t="s">
        <v>917</v>
      </c>
      <c r="AJ184" s="123"/>
    </row>
    <row r="185" spans="1:36" ht="15.95" customHeight="1">
      <c r="A185" s="141">
        <v>45441.484027777777</v>
      </c>
      <c r="B185" s="142" t="s">
        <v>729</v>
      </c>
      <c r="C185" s="142" t="s">
        <v>512</v>
      </c>
      <c r="D185" s="142" t="s">
        <v>513</v>
      </c>
      <c r="E185" s="143" t="s">
        <v>160</v>
      </c>
      <c r="F185" s="144" t="s">
        <v>934</v>
      </c>
      <c r="G185" s="144"/>
      <c r="H185" s="144"/>
      <c r="I185" s="144"/>
      <c r="J185" s="142" t="s">
        <v>955</v>
      </c>
      <c r="K185" s="123">
        <v>18</v>
      </c>
      <c r="L185" s="141">
        <v>45445.5</v>
      </c>
      <c r="M185" s="141"/>
      <c r="N185" s="141"/>
      <c r="O185" s="141"/>
      <c r="P185" s="142">
        <v>1</v>
      </c>
      <c r="Q185" s="142"/>
      <c r="R185" s="142" t="s">
        <v>752</v>
      </c>
      <c r="S185" s="142" t="s">
        <v>733</v>
      </c>
      <c r="T185" s="142">
        <v>15</v>
      </c>
      <c r="U185" s="142" t="s">
        <v>512</v>
      </c>
      <c r="V185" s="142" t="s">
        <v>513</v>
      </c>
      <c r="W185" s="142" t="s">
        <v>160</v>
      </c>
      <c r="X185" s="142"/>
      <c r="Y185" s="142"/>
      <c r="Z185" s="142"/>
      <c r="AA185" s="142"/>
      <c r="AB185" s="142"/>
      <c r="AC185" s="142"/>
      <c r="AD185" s="123">
        <v>18</v>
      </c>
      <c r="AE185" s="123" t="str">
        <f t="shared" si="14"/>
        <v>Art Scavenger Hunt in Mayfair @ London Gallery Weekend</v>
      </c>
      <c r="AF185" s="124">
        <f t="shared" si="16"/>
        <v>45445.5</v>
      </c>
      <c r="AG185" s="123">
        <f t="shared" si="17"/>
        <v>6</v>
      </c>
      <c r="AH185" s="123">
        <f t="shared" si="18"/>
        <v>0</v>
      </c>
      <c r="AI185" s="123" t="s">
        <v>917</v>
      </c>
      <c r="AJ185" s="123"/>
    </row>
    <row r="186" spans="1:36" ht="15.95" customHeight="1">
      <c r="A186" s="141">
        <v>45442.488888888889</v>
      </c>
      <c r="B186" s="142" t="s">
        <v>729</v>
      </c>
      <c r="C186" s="142" t="s">
        <v>538</v>
      </c>
      <c r="D186" s="142" t="s">
        <v>539</v>
      </c>
      <c r="E186" s="143" t="s">
        <v>128</v>
      </c>
      <c r="F186" s="144" t="s">
        <v>961</v>
      </c>
      <c r="G186" s="144"/>
      <c r="H186" s="144"/>
      <c r="I186" s="144"/>
      <c r="J186" s="142" t="s">
        <v>955</v>
      </c>
      <c r="K186" s="123">
        <v>18</v>
      </c>
      <c r="L186" s="141">
        <v>45445.5</v>
      </c>
      <c r="M186" s="141"/>
      <c r="N186" s="141"/>
      <c r="O186" s="141"/>
      <c r="P186" s="142">
        <v>1</v>
      </c>
      <c r="Q186" s="142"/>
      <c r="R186" s="142" t="s">
        <v>752</v>
      </c>
      <c r="S186" s="142" t="s">
        <v>733</v>
      </c>
      <c r="T186" s="142">
        <v>15</v>
      </c>
      <c r="U186" s="142" t="s">
        <v>538</v>
      </c>
      <c r="V186" s="142" t="s">
        <v>539</v>
      </c>
      <c r="W186" s="142" t="s">
        <v>128</v>
      </c>
      <c r="X186" s="142"/>
      <c r="Y186" s="142"/>
      <c r="Z186" s="142"/>
      <c r="AA186" s="142"/>
      <c r="AB186" s="142"/>
      <c r="AC186" s="142"/>
      <c r="AD186" s="123">
        <v>18</v>
      </c>
      <c r="AE186" s="123" t="str">
        <f t="shared" si="14"/>
        <v>Art Scavenger Hunt in Mayfair @ London Gallery Weekend</v>
      </c>
      <c r="AF186" s="124">
        <f t="shared" ref="AF186:AF217" si="19">L186</f>
        <v>45445.5</v>
      </c>
      <c r="AG186" s="123">
        <f t="shared" si="17"/>
        <v>6</v>
      </c>
      <c r="AH186" s="123">
        <f t="shared" si="18"/>
        <v>0</v>
      </c>
      <c r="AI186" s="123" t="s">
        <v>917</v>
      </c>
      <c r="AJ186" s="88"/>
    </row>
    <row r="187" spans="1:36" ht="15.95" customHeight="1">
      <c r="A187" s="141">
        <v>45441.486805555556</v>
      </c>
      <c r="B187" s="142" t="s">
        <v>729</v>
      </c>
      <c r="C187" s="142" t="s">
        <v>541</v>
      </c>
      <c r="D187" s="142" t="s">
        <v>542</v>
      </c>
      <c r="E187" s="143" t="s">
        <v>123</v>
      </c>
      <c r="F187" s="144" t="s">
        <v>919</v>
      </c>
      <c r="G187" s="144"/>
      <c r="H187" s="144"/>
      <c r="I187" s="144"/>
      <c r="J187" s="142" t="s">
        <v>955</v>
      </c>
      <c r="K187" s="123">
        <v>18</v>
      </c>
      <c r="L187" s="141">
        <v>45445.5</v>
      </c>
      <c r="M187" s="141"/>
      <c r="N187" s="141"/>
      <c r="O187" s="141"/>
      <c r="P187" s="142">
        <v>1</v>
      </c>
      <c r="Q187" s="142"/>
      <c r="R187" s="142" t="s">
        <v>752</v>
      </c>
      <c r="S187" s="142" t="s">
        <v>733</v>
      </c>
      <c r="T187" s="142">
        <v>15</v>
      </c>
      <c r="U187" s="142" t="s">
        <v>541</v>
      </c>
      <c r="V187" s="142" t="s">
        <v>542</v>
      </c>
      <c r="W187" s="142" t="s">
        <v>123</v>
      </c>
      <c r="X187" s="142"/>
      <c r="Y187" s="142"/>
      <c r="Z187" s="142"/>
      <c r="AA187" s="142"/>
      <c r="AB187" s="142"/>
      <c r="AC187" s="142"/>
      <c r="AD187" s="123">
        <v>18</v>
      </c>
      <c r="AE187" s="123" t="str">
        <f t="shared" si="14"/>
        <v>Art Scavenger Hunt in Mayfair @ London Gallery Weekend</v>
      </c>
      <c r="AF187" s="124">
        <f t="shared" si="19"/>
        <v>45445.5</v>
      </c>
      <c r="AG187" s="123">
        <f t="shared" si="17"/>
        <v>6</v>
      </c>
      <c r="AH187" s="123">
        <f t="shared" si="18"/>
        <v>0</v>
      </c>
      <c r="AI187" s="123" t="s">
        <v>917</v>
      </c>
      <c r="AJ187" s="123"/>
    </row>
    <row r="188" spans="1:36" ht="15.95" customHeight="1">
      <c r="A188" s="141">
        <v>45444.724999999999</v>
      </c>
      <c r="B188" s="142" t="s">
        <v>729</v>
      </c>
      <c r="C188" s="142" t="s">
        <v>564</v>
      </c>
      <c r="D188" s="142" t="s">
        <v>565</v>
      </c>
      <c r="E188" s="143" t="s">
        <v>135</v>
      </c>
      <c r="F188" s="144" t="s">
        <v>954</v>
      </c>
      <c r="G188" s="144"/>
      <c r="H188" s="144"/>
      <c r="I188" s="144"/>
      <c r="J188" s="142" t="s">
        <v>955</v>
      </c>
      <c r="K188" s="123">
        <v>18</v>
      </c>
      <c r="L188" s="141">
        <v>45445.5</v>
      </c>
      <c r="M188" s="141"/>
      <c r="N188" s="141"/>
      <c r="O188" s="141"/>
      <c r="P188" s="142">
        <v>1</v>
      </c>
      <c r="Q188" s="142"/>
      <c r="R188" s="142" t="s">
        <v>752</v>
      </c>
      <c r="S188" s="142" t="s">
        <v>733</v>
      </c>
      <c r="T188" s="142">
        <v>15</v>
      </c>
      <c r="U188" s="142" t="s">
        <v>564</v>
      </c>
      <c r="V188" s="142" t="s">
        <v>565</v>
      </c>
      <c r="W188" s="142" t="s">
        <v>135</v>
      </c>
      <c r="X188" s="142"/>
      <c r="Y188" s="142"/>
      <c r="Z188" s="142"/>
      <c r="AA188" s="142"/>
      <c r="AB188" s="142"/>
      <c r="AC188" s="142"/>
      <c r="AD188" s="123">
        <v>18</v>
      </c>
      <c r="AE188" s="123" t="str">
        <f t="shared" si="14"/>
        <v>Art Scavenger Hunt in Mayfair @ London Gallery Weekend</v>
      </c>
      <c r="AF188" s="124">
        <f t="shared" si="19"/>
        <v>45445.5</v>
      </c>
      <c r="AG188" s="123">
        <f t="shared" si="17"/>
        <v>6</v>
      </c>
      <c r="AH188" s="123">
        <f t="shared" si="18"/>
        <v>0</v>
      </c>
      <c r="AI188" s="123" t="s">
        <v>917</v>
      </c>
      <c r="AJ188" s="123"/>
    </row>
    <row r="189" spans="1:36" ht="15.95" customHeight="1">
      <c r="A189" s="141">
        <v>45442.415972222225</v>
      </c>
      <c r="B189" s="142" t="s">
        <v>729</v>
      </c>
      <c r="C189" s="142" t="s">
        <v>572</v>
      </c>
      <c r="D189" s="142" t="s">
        <v>729</v>
      </c>
      <c r="E189" s="143" t="s">
        <v>571</v>
      </c>
      <c r="F189" s="144" t="s">
        <v>574</v>
      </c>
      <c r="G189" s="144"/>
      <c r="H189" s="144"/>
      <c r="I189" s="144"/>
      <c r="J189" s="142" t="s">
        <v>955</v>
      </c>
      <c r="K189" s="123">
        <v>18</v>
      </c>
      <c r="L189" s="141">
        <v>45445.5</v>
      </c>
      <c r="M189" s="141"/>
      <c r="N189" s="141"/>
      <c r="O189" s="141"/>
      <c r="P189" s="142">
        <v>1</v>
      </c>
      <c r="Q189" s="142"/>
      <c r="R189" s="142" t="s">
        <v>752</v>
      </c>
      <c r="S189" s="142" t="s">
        <v>733</v>
      </c>
      <c r="T189" s="142">
        <v>15</v>
      </c>
      <c r="U189" s="142" t="s">
        <v>572</v>
      </c>
      <c r="V189" s="142" t="s">
        <v>573</v>
      </c>
      <c r="W189" s="142" t="s">
        <v>571</v>
      </c>
      <c r="X189" s="142"/>
      <c r="Y189" s="142"/>
      <c r="Z189" s="142"/>
      <c r="AA189" s="142"/>
      <c r="AB189" s="142" t="s">
        <v>797</v>
      </c>
      <c r="AC189" s="142"/>
      <c r="AD189" s="123">
        <v>18</v>
      </c>
      <c r="AE189" s="123" t="str">
        <f t="shared" si="14"/>
        <v>Art Scavenger Hunt in Mayfair @ London Gallery Weekend</v>
      </c>
      <c r="AF189" s="124">
        <f t="shared" si="19"/>
        <v>45445.5</v>
      </c>
      <c r="AG189" s="123">
        <f t="shared" si="17"/>
        <v>6</v>
      </c>
      <c r="AH189" s="123" t="str">
        <f t="shared" si="18"/>
        <v>oddtdtdirect</v>
      </c>
      <c r="AI189" s="123" t="s">
        <v>917</v>
      </c>
      <c r="AJ189" s="88"/>
    </row>
    <row r="190" spans="1:36" ht="15.95" customHeight="1">
      <c r="A190" s="141">
        <v>45441.487500000003</v>
      </c>
      <c r="B190" s="142" t="s">
        <v>729</v>
      </c>
      <c r="C190" s="142" t="s">
        <v>592</v>
      </c>
      <c r="D190" s="142" t="s">
        <v>593</v>
      </c>
      <c r="E190" s="143" t="s">
        <v>168</v>
      </c>
      <c r="F190" s="144" t="s">
        <v>937</v>
      </c>
      <c r="G190" s="144"/>
      <c r="H190" s="144"/>
      <c r="I190" s="144"/>
      <c r="J190" s="142" t="s">
        <v>955</v>
      </c>
      <c r="K190" s="123">
        <v>18</v>
      </c>
      <c r="L190" s="141">
        <v>45445.5</v>
      </c>
      <c r="M190" s="141"/>
      <c r="N190" s="141"/>
      <c r="O190" s="141"/>
      <c r="P190" s="142">
        <v>1</v>
      </c>
      <c r="Q190" s="142"/>
      <c r="R190" s="142" t="s">
        <v>752</v>
      </c>
      <c r="S190" s="142" t="s">
        <v>733</v>
      </c>
      <c r="T190" s="142">
        <v>15</v>
      </c>
      <c r="U190" s="142" t="s">
        <v>592</v>
      </c>
      <c r="V190" s="142" t="s">
        <v>593</v>
      </c>
      <c r="W190" s="142" t="s">
        <v>168</v>
      </c>
      <c r="X190" s="142"/>
      <c r="Y190" s="142"/>
      <c r="Z190" s="142"/>
      <c r="AA190" s="142"/>
      <c r="AB190" s="142"/>
      <c r="AC190" s="142"/>
      <c r="AD190" s="123">
        <v>18</v>
      </c>
      <c r="AE190" s="123" t="str">
        <f t="shared" si="14"/>
        <v>Art Scavenger Hunt in Mayfair @ London Gallery Weekend</v>
      </c>
      <c r="AF190" s="124">
        <f t="shared" si="19"/>
        <v>45445.5</v>
      </c>
      <c r="AG190" s="123">
        <f t="shared" si="17"/>
        <v>6</v>
      </c>
      <c r="AH190" s="123">
        <f t="shared" si="18"/>
        <v>0</v>
      </c>
      <c r="AI190" s="123" t="s">
        <v>929</v>
      </c>
      <c r="AJ190" s="149" t="s">
        <v>123</v>
      </c>
    </row>
    <row r="191" spans="1:36" ht="15.95" customHeight="1">
      <c r="A191" s="141">
        <v>45441.482638888891</v>
      </c>
      <c r="B191" s="142" t="s">
        <v>729</v>
      </c>
      <c r="C191" s="142" t="s">
        <v>606</v>
      </c>
      <c r="D191" s="142" t="s">
        <v>607</v>
      </c>
      <c r="E191" s="143" t="s">
        <v>605</v>
      </c>
      <c r="F191" s="144" t="s">
        <v>962</v>
      </c>
      <c r="G191" s="144"/>
      <c r="H191" s="144"/>
      <c r="I191" s="144"/>
      <c r="J191" s="142" t="s">
        <v>955</v>
      </c>
      <c r="K191" s="123">
        <v>18</v>
      </c>
      <c r="L191" s="141">
        <v>45445.5</v>
      </c>
      <c r="M191" s="141"/>
      <c r="N191" s="141"/>
      <c r="O191" s="141"/>
      <c r="P191" s="142">
        <v>1</v>
      </c>
      <c r="Q191" s="142"/>
      <c r="R191" s="142" t="s">
        <v>752</v>
      </c>
      <c r="S191" s="142" t="s">
        <v>733</v>
      </c>
      <c r="T191" s="142">
        <v>15</v>
      </c>
      <c r="U191" s="142" t="s">
        <v>606</v>
      </c>
      <c r="V191" s="142" t="s">
        <v>607</v>
      </c>
      <c r="W191" s="142" t="s">
        <v>605</v>
      </c>
      <c r="X191" s="142"/>
      <c r="Y191" s="142"/>
      <c r="Z191" s="142"/>
      <c r="AA191" s="142"/>
      <c r="AB191" s="142"/>
      <c r="AC191" s="142"/>
      <c r="AD191" s="123">
        <v>18</v>
      </c>
      <c r="AE191" s="123" t="str">
        <f t="shared" si="14"/>
        <v>Art Scavenger Hunt in Mayfair @ London Gallery Weekend</v>
      </c>
      <c r="AF191" s="124">
        <f t="shared" si="19"/>
        <v>45445.5</v>
      </c>
      <c r="AG191" s="123">
        <f t="shared" si="17"/>
        <v>6</v>
      </c>
      <c r="AH191" s="123">
        <f t="shared" si="18"/>
        <v>0</v>
      </c>
      <c r="AI191" s="123" t="s">
        <v>917</v>
      </c>
      <c r="AJ191" s="149"/>
    </row>
    <row r="192" spans="1:36" ht="15.95" customHeight="1">
      <c r="A192" s="141">
        <v>45448.34652777778</v>
      </c>
      <c r="B192" s="142" t="s">
        <v>729</v>
      </c>
      <c r="C192" s="142" t="s">
        <v>353</v>
      </c>
      <c r="D192" s="142" t="s">
        <v>354</v>
      </c>
      <c r="E192" s="143" t="s">
        <v>352</v>
      </c>
      <c r="F192" s="142">
        <v>7300421972</v>
      </c>
      <c r="G192" s="142"/>
      <c r="H192" s="142"/>
      <c r="I192" s="142"/>
      <c r="J192" s="142" t="s">
        <v>963</v>
      </c>
      <c r="K192" s="123">
        <v>24</v>
      </c>
      <c r="L192" s="141">
        <v>45451.583333333336</v>
      </c>
      <c r="M192" s="141"/>
      <c r="N192" s="141"/>
      <c r="O192" s="141"/>
      <c r="P192" s="142">
        <v>1</v>
      </c>
      <c r="Q192" s="142"/>
      <c r="R192" s="142" t="s">
        <v>752</v>
      </c>
      <c r="S192" s="142" t="s">
        <v>733</v>
      </c>
      <c r="T192" s="142">
        <v>15</v>
      </c>
      <c r="U192" s="142" t="s">
        <v>353</v>
      </c>
      <c r="V192" s="142" t="s">
        <v>354</v>
      </c>
      <c r="W192" s="142" t="s">
        <v>352</v>
      </c>
      <c r="X192" s="142"/>
      <c r="Y192" s="142"/>
      <c r="Z192" s="142"/>
      <c r="AA192" s="142"/>
      <c r="AB192" s="142" t="s">
        <v>874</v>
      </c>
      <c r="AC192" s="142"/>
      <c r="AD192" s="123">
        <v>24</v>
      </c>
      <c r="AE192" s="123" t="str">
        <f t="shared" si="14"/>
        <v>Hidden Gems: Art Gallery Stroll in South London (Bermondsey)</v>
      </c>
      <c r="AF192" s="124">
        <f t="shared" si="19"/>
        <v>45451.583333333336</v>
      </c>
      <c r="AG192" s="123">
        <f t="shared" si="17"/>
        <v>6</v>
      </c>
      <c r="AH192" s="123" t="str">
        <f t="shared" si="18"/>
        <v>ebesessearch</v>
      </c>
      <c r="AI192" s="123" t="s">
        <v>917</v>
      </c>
      <c r="AJ192" s="123"/>
    </row>
    <row r="193" spans="1:38" ht="15.95" customHeight="1">
      <c r="A193" s="141">
        <v>45448.34652777778</v>
      </c>
      <c r="B193" s="142" t="s">
        <v>729</v>
      </c>
      <c r="C193" s="142" t="s">
        <v>353</v>
      </c>
      <c r="D193" s="142" t="s">
        <v>354</v>
      </c>
      <c r="E193" s="143" t="s">
        <v>352</v>
      </c>
      <c r="F193" s="142">
        <v>7300421972</v>
      </c>
      <c r="G193" s="142"/>
      <c r="H193" s="142"/>
      <c r="I193" s="142"/>
      <c r="J193" s="142" t="s">
        <v>963</v>
      </c>
      <c r="K193" s="123">
        <v>24</v>
      </c>
      <c r="L193" s="141">
        <v>45451.583333333336</v>
      </c>
      <c r="M193" s="141"/>
      <c r="N193" s="141"/>
      <c r="O193" s="141"/>
      <c r="P193" s="142">
        <v>1</v>
      </c>
      <c r="Q193" s="142"/>
      <c r="R193" s="142" t="s">
        <v>752</v>
      </c>
      <c r="S193" s="142" t="s">
        <v>733</v>
      </c>
      <c r="T193" s="142">
        <v>15</v>
      </c>
      <c r="U193" s="142" t="s">
        <v>353</v>
      </c>
      <c r="V193" s="142" t="s">
        <v>354</v>
      </c>
      <c r="W193" s="142" t="s">
        <v>352</v>
      </c>
      <c r="X193" s="142"/>
      <c r="Y193" s="142"/>
      <c r="Z193" s="142"/>
      <c r="AA193" s="142"/>
      <c r="AB193" s="142" t="s">
        <v>874</v>
      </c>
      <c r="AC193" s="142"/>
      <c r="AD193" s="123">
        <v>24</v>
      </c>
      <c r="AE193" s="123" t="str">
        <f t="shared" si="14"/>
        <v>Hidden Gems: Art Gallery Stroll in South London (Bermondsey)</v>
      </c>
      <c r="AF193" s="124">
        <f t="shared" si="19"/>
        <v>45451.583333333336</v>
      </c>
      <c r="AG193" s="123">
        <f t="shared" si="17"/>
        <v>6</v>
      </c>
      <c r="AH193" s="123" t="str">
        <f t="shared" si="18"/>
        <v>ebesessearch</v>
      </c>
      <c r="AI193" s="123" t="s">
        <v>917</v>
      </c>
      <c r="AJ193" s="123"/>
    </row>
    <row r="194" spans="1:38" ht="15.95" customHeight="1">
      <c r="A194" s="141">
        <v>45446.692361111112</v>
      </c>
      <c r="B194" s="142" t="s">
        <v>729</v>
      </c>
      <c r="C194" s="142" t="s">
        <v>643</v>
      </c>
      <c r="D194" s="142" t="s">
        <v>644</v>
      </c>
      <c r="E194" s="143" t="s">
        <v>642</v>
      </c>
      <c r="F194" s="142">
        <v>7463715472</v>
      </c>
      <c r="G194" s="142"/>
      <c r="H194" s="142"/>
      <c r="I194" s="142"/>
      <c r="J194" s="142" t="s">
        <v>963</v>
      </c>
      <c r="K194" s="123">
        <v>24</v>
      </c>
      <c r="L194" s="141">
        <v>45451.583333333336</v>
      </c>
      <c r="M194" s="141"/>
      <c r="N194" s="141"/>
      <c r="O194" s="141"/>
      <c r="P194" s="142">
        <v>1</v>
      </c>
      <c r="Q194" s="142"/>
      <c r="R194" s="142" t="s">
        <v>752</v>
      </c>
      <c r="S194" s="142" t="s">
        <v>733</v>
      </c>
      <c r="T194" s="142">
        <v>15</v>
      </c>
      <c r="U194" s="142" t="s">
        <v>643</v>
      </c>
      <c r="V194" s="142" t="s">
        <v>644</v>
      </c>
      <c r="W194" s="142" t="s">
        <v>642</v>
      </c>
      <c r="X194" s="142"/>
      <c r="Y194" s="142"/>
      <c r="Z194" s="142"/>
      <c r="AA194" s="142"/>
      <c r="AB194" s="142" t="s">
        <v>817</v>
      </c>
      <c r="AC194" s="142"/>
      <c r="AD194" s="123">
        <v>24</v>
      </c>
      <c r="AE194" s="123" t="str">
        <f t="shared" ref="AE194:AE259" si="20">J194</f>
        <v>Hidden Gems: Art Gallery Stroll in South London (Bermondsey)</v>
      </c>
      <c r="AF194" s="124">
        <f t="shared" si="19"/>
        <v>45451.583333333336</v>
      </c>
      <c r="AG194" s="123">
        <f t="shared" si="17"/>
        <v>6</v>
      </c>
      <c r="AH194" s="123" t="str">
        <f t="shared" si="18"/>
        <v>WhatsApp</v>
      </c>
      <c r="AI194" s="123" t="s">
        <v>917</v>
      </c>
      <c r="AJ194" s="123"/>
    </row>
    <row r="195" spans="1:38" ht="15.95" customHeight="1">
      <c r="A195" s="141">
        <v>45447.663194444445</v>
      </c>
      <c r="B195" s="142" t="s">
        <v>729</v>
      </c>
      <c r="C195" s="142" t="s">
        <v>646</v>
      </c>
      <c r="D195" s="142" t="s">
        <v>647</v>
      </c>
      <c r="E195" s="143" t="s">
        <v>645</v>
      </c>
      <c r="F195" s="142">
        <v>7926962119</v>
      </c>
      <c r="G195" s="142"/>
      <c r="H195" s="142"/>
      <c r="I195" s="142"/>
      <c r="J195" s="142" t="s">
        <v>963</v>
      </c>
      <c r="K195" s="123">
        <v>24</v>
      </c>
      <c r="L195" s="141">
        <v>45451.583333333336</v>
      </c>
      <c r="M195" s="141"/>
      <c r="N195" s="141"/>
      <c r="O195" s="141"/>
      <c r="P195" s="142">
        <v>1</v>
      </c>
      <c r="Q195" s="142"/>
      <c r="R195" s="142" t="s">
        <v>759</v>
      </c>
      <c r="S195" s="142" t="s">
        <v>733</v>
      </c>
      <c r="T195" s="142">
        <v>0</v>
      </c>
      <c r="U195" s="142" t="s">
        <v>646</v>
      </c>
      <c r="V195" s="142" t="s">
        <v>647</v>
      </c>
      <c r="W195" s="142" t="s">
        <v>645</v>
      </c>
      <c r="X195" s="142"/>
      <c r="Y195" s="142"/>
      <c r="Z195" s="142"/>
      <c r="AA195" s="142"/>
      <c r="AB195" s="142" t="s">
        <v>964</v>
      </c>
      <c r="AC195" s="142"/>
      <c r="AD195" s="123">
        <v>24</v>
      </c>
      <c r="AE195" s="123" t="str">
        <f t="shared" si="20"/>
        <v>Hidden Gems: Art Gallery Stroll in South London (Bermondsey)</v>
      </c>
      <c r="AF195" s="124">
        <f t="shared" si="19"/>
        <v>45451.583333333336</v>
      </c>
      <c r="AG195" s="123">
        <f t="shared" si="17"/>
        <v>6</v>
      </c>
      <c r="AH195" s="123" t="str">
        <f t="shared" si="18"/>
        <v>AV</v>
      </c>
      <c r="AI195" s="123" t="s">
        <v>917</v>
      </c>
      <c r="AJ195" s="123"/>
    </row>
    <row r="196" spans="1:38" ht="15.95" customHeight="1">
      <c r="A196" s="141">
        <v>45446.614583333336</v>
      </c>
      <c r="B196" s="142" t="s">
        <v>729</v>
      </c>
      <c r="C196" s="142" t="s">
        <v>441</v>
      </c>
      <c r="D196" s="142" t="s">
        <v>442</v>
      </c>
      <c r="E196" s="143" t="s">
        <v>440</v>
      </c>
      <c r="F196" s="142">
        <v>7841262698</v>
      </c>
      <c r="G196" s="142"/>
      <c r="H196" s="142"/>
      <c r="I196" s="142"/>
      <c r="J196" s="142" t="s">
        <v>963</v>
      </c>
      <c r="K196" s="123">
        <v>24</v>
      </c>
      <c r="L196" s="141">
        <v>45451.583333333336</v>
      </c>
      <c r="M196" s="141"/>
      <c r="N196" s="141"/>
      <c r="O196" s="141"/>
      <c r="P196" s="142">
        <v>1</v>
      </c>
      <c r="Q196" s="142"/>
      <c r="R196" s="142" t="s">
        <v>752</v>
      </c>
      <c r="S196" s="142" t="s">
        <v>733</v>
      </c>
      <c r="T196" s="142">
        <v>15</v>
      </c>
      <c r="U196" s="142" t="s">
        <v>441</v>
      </c>
      <c r="V196" s="142" t="s">
        <v>442</v>
      </c>
      <c r="W196" s="142" t="s">
        <v>440</v>
      </c>
      <c r="X196" s="142"/>
      <c r="Y196" s="142"/>
      <c r="Z196" s="142"/>
      <c r="AA196" s="142"/>
      <c r="AB196" s="142" t="s">
        <v>817</v>
      </c>
      <c r="AC196" s="142"/>
      <c r="AD196" s="123">
        <v>24</v>
      </c>
      <c r="AE196" s="123" t="str">
        <f t="shared" si="20"/>
        <v>Hidden Gems: Art Gallery Stroll in South London (Bermondsey)</v>
      </c>
      <c r="AF196" s="124">
        <f t="shared" si="19"/>
        <v>45451.583333333336</v>
      </c>
      <c r="AG196" s="123">
        <f t="shared" si="17"/>
        <v>6</v>
      </c>
      <c r="AH196" s="123" t="str">
        <f t="shared" si="18"/>
        <v>WhatsApp</v>
      </c>
      <c r="AI196" s="123" t="s">
        <v>917</v>
      </c>
      <c r="AJ196" s="123"/>
    </row>
    <row r="197" spans="1:38" ht="15.95" customHeight="1">
      <c r="A197" s="141">
        <v>45449.547222222223</v>
      </c>
      <c r="B197" s="142" t="s">
        <v>729</v>
      </c>
      <c r="C197" s="142" t="s">
        <v>538</v>
      </c>
      <c r="D197" s="142" t="s">
        <v>539</v>
      </c>
      <c r="E197" s="143" t="s">
        <v>128</v>
      </c>
      <c r="F197" s="144" t="s">
        <v>961</v>
      </c>
      <c r="G197" s="144"/>
      <c r="H197" s="144"/>
      <c r="I197" s="144"/>
      <c r="J197" s="142" t="s">
        <v>963</v>
      </c>
      <c r="K197" s="123">
        <v>24</v>
      </c>
      <c r="L197" s="141">
        <v>45451.583333333336</v>
      </c>
      <c r="M197" s="141"/>
      <c r="N197" s="141"/>
      <c r="O197" s="141"/>
      <c r="P197" s="142">
        <v>1</v>
      </c>
      <c r="Q197" s="142"/>
      <c r="R197" s="142" t="s">
        <v>752</v>
      </c>
      <c r="S197" s="142" t="s">
        <v>733</v>
      </c>
      <c r="T197" s="142">
        <v>15</v>
      </c>
      <c r="U197" s="142" t="s">
        <v>538</v>
      </c>
      <c r="V197" s="142" t="s">
        <v>539</v>
      </c>
      <c r="W197" s="142" t="s">
        <v>128</v>
      </c>
      <c r="X197" s="142"/>
      <c r="Y197" s="142"/>
      <c r="Z197" s="142"/>
      <c r="AA197" s="142"/>
      <c r="AB197" s="142"/>
      <c r="AC197" s="142"/>
      <c r="AD197" s="123">
        <v>24</v>
      </c>
      <c r="AE197" s="123" t="str">
        <f t="shared" si="20"/>
        <v>Hidden Gems: Art Gallery Stroll in South London (Bermondsey)</v>
      </c>
      <c r="AF197" s="124">
        <f t="shared" si="19"/>
        <v>45451.583333333336</v>
      </c>
      <c r="AG197" s="123">
        <f t="shared" si="17"/>
        <v>6</v>
      </c>
      <c r="AH197" s="123">
        <f t="shared" si="18"/>
        <v>0</v>
      </c>
      <c r="AI197" s="123" t="s">
        <v>917</v>
      </c>
      <c r="AJ197" s="123"/>
    </row>
    <row r="198" spans="1:38" ht="15.95" customHeight="1">
      <c r="A198" s="141">
        <v>45449.143750000003</v>
      </c>
      <c r="B198" s="142" t="s">
        <v>729</v>
      </c>
      <c r="C198" s="142" t="s">
        <v>325</v>
      </c>
      <c r="D198" s="142" t="s">
        <v>326</v>
      </c>
      <c r="E198" s="142" t="s">
        <v>324</v>
      </c>
      <c r="F198" s="142"/>
      <c r="G198" s="142"/>
      <c r="H198" s="142"/>
      <c r="I198" s="142"/>
      <c r="J198" s="142" t="s">
        <v>965</v>
      </c>
      <c r="K198" s="123">
        <v>28</v>
      </c>
      <c r="L198" s="141">
        <v>45457.791666666664</v>
      </c>
      <c r="M198" s="141"/>
      <c r="N198" s="141"/>
      <c r="O198" s="141"/>
      <c r="P198" s="142">
        <v>1</v>
      </c>
      <c r="Q198" s="142"/>
      <c r="R198" s="142" t="s">
        <v>966</v>
      </c>
      <c r="S198" s="142" t="s">
        <v>733</v>
      </c>
      <c r="T198" s="142">
        <v>0</v>
      </c>
      <c r="U198" s="142" t="s">
        <v>325</v>
      </c>
      <c r="V198" s="142" t="s">
        <v>326</v>
      </c>
      <c r="W198" s="142" t="s">
        <v>324</v>
      </c>
      <c r="X198" s="142"/>
      <c r="Y198" s="142"/>
      <c r="Z198" s="142"/>
      <c r="AA198" s="142"/>
      <c r="AB198" s="142"/>
      <c r="AC198" s="142"/>
      <c r="AD198" s="123">
        <v>28</v>
      </c>
      <c r="AE198" s="123" t="str">
        <f t="shared" si="20"/>
        <v>Members’ Night at Tate Britain</v>
      </c>
      <c r="AF198" s="124">
        <f t="shared" si="19"/>
        <v>45457.791666666664</v>
      </c>
      <c r="AG198" s="123">
        <f t="shared" si="17"/>
        <v>6</v>
      </c>
      <c r="AH198" s="123">
        <f t="shared" si="18"/>
        <v>0</v>
      </c>
      <c r="AI198" s="123" t="s">
        <v>917</v>
      </c>
      <c r="AJ198" s="123"/>
    </row>
    <row r="199" spans="1:38" ht="15.95" customHeight="1">
      <c r="A199" s="141">
        <v>45449.143750000003</v>
      </c>
      <c r="B199" s="142" t="s">
        <v>729</v>
      </c>
      <c r="C199" s="142" t="s">
        <v>325</v>
      </c>
      <c r="D199" s="142" t="s">
        <v>326</v>
      </c>
      <c r="E199" s="142" t="s">
        <v>324</v>
      </c>
      <c r="F199" s="142"/>
      <c r="G199" s="142"/>
      <c r="H199" s="142"/>
      <c r="I199" s="142"/>
      <c r="J199" s="142" t="s">
        <v>965</v>
      </c>
      <c r="K199" s="123">
        <v>28</v>
      </c>
      <c r="L199" s="141">
        <v>45457.791666666664</v>
      </c>
      <c r="M199" s="141"/>
      <c r="N199" s="141"/>
      <c r="O199" s="141"/>
      <c r="P199" s="142">
        <v>1</v>
      </c>
      <c r="Q199" s="142"/>
      <c r="R199" s="142" t="s">
        <v>966</v>
      </c>
      <c r="S199" s="142" t="s">
        <v>733</v>
      </c>
      <c r="T199" s="142">
        <v>0</v>
      </c>
      <c r="U199" s="142" t="s">
        <v>325</v>
      </c>
      <c r="V199" s="142" t="s">
        <v>326</v>
      </c>
      <c r="W199" s="142" t="s">
        <v>324</v>
      </c>
      <c r="X199" s="142"/>
      <c r="Y199" s="142"/>
      <c r="Z199" s="142"/>
      <c r="AA199" s="142"/>
      <c r="AB199" s="142"/>
      <c r="AC199" s="142"/>
      <c r="AD199" s="123">
        <v>28</v>
      </c>
      <c r="AE199" s="123" t="str">
        <f t="shared" si="20"/>
        <v>Members’ Night at Tate Britain</v>
      </c>
      <c r="AF199" s="124">
        <f t="shared" si="19"/>
        <v>45457.791666666664</v>
      </c>
      <c r="AG199" s="123">
        <f t="shared" si="17"/>
        <v>6</v>
      </c>
      <c r="AH199" s="123">
        <f t="shared" si="18"/>
        <v>0</v>
      </c>
      <c r="AI199" s="123" t="s">
        <v>917</v>
      </c>
      <c r="AJ199" s="123"/>
    </row>
    <row r="200" spans="1:38" ht="15.95" customHeight="1">
      <c r="A200" s="141">
        <v>45448.242361111108</v>
      </c>
      <c r="B200" s="142" t="s">
        <v>749</v>
      </c>
      <c r="C200" s="142" t="s">
        <v>367</v>
      </c>
      <c r="D200" s="142" t="s">
        <v>368</v>
      </c>
      <c r="E200" s="142" t="s">
        <v>130</v>
      </c>
      <c r="F200" s="142"/>
      <c r="G200" s="142"/>
      <c r="H200" s="142"/>
      <c r="I200" s="142"/>
      <c r="J200" s="142" t="s">
        <v>965</v>
      </c>
      <c r="K200" s="123">
        <v>28</v>
      </c>
      <c r="L200" s="141">
        <v>45457.791666666664</v>
      </c>
      <c r="M200" s="141"/>
      <c r="N200" s="141"/>
      <c r="O200" s="141"/>
      <c r="P200" s="142">
        <v>1</v>
      </c>
      <c r="Q200" s="142"/>
      <c r="R200" s="142" t="s">
        <v>966</v>
      </c>
      <c r="S200" s="142" t="s">
        <v>733</v>
      </c>
      <c r="T200" s="142">
        <v>0</v>
      </c>
      <c r="U200" s="142" t="s">
        <v>367</v>
      </c>
      <c r="V200" s="142" t="s">
        <v>368</v>
      </c>
      <c r="W200" s="142" t="s">
        <v>130</v>
      </c>
      <c r="X200" s="142"/>
      <c r="Y200" s="142"/>
      <c r="Z200" s="142"/>
      <c r="AA200" s="142"/>
      <c r="AB200" s="142"/>
      <c r="AC200" s="142"/>
      <c r="AD200" s="123">
        <v>28</v>
      </c>
      <c r="AE200" s="123" t="str">
        <f t="shared" si="20"/>
        <v>Members’ Night at Tate Britain</v>
      </c>
      <c r="AF200" s="124">
        <f t="shared" si="19"/>
        <v>45457.791666666664</v>
      </c>
      <c r="AG200" s="123">
        <f t="shared" ref="AG200:AG231" si="21">MONTH(AF200)</f>
        <v>6</v>
      </c>
      <c r="AH200" s="123">
        <f t="shared" si="18"/>
        <v>0</v>
      </c>
      <c r="AI200" s="123" t="s">
        <v>917</v>
      </c>
      <c r="AJ200" s="123"/>
    </row>
    <row r="201" spans="1:38" ht="15.95" customHeight="1">
      <c r="A201" s="141">
        <v>45454.48541666667</v>
      </c>
      <c r="B201" s="142" t="s">
        <v>729</v>
      </c>
      <c r="C201" s="142" t="s">
        <v>447</v>
      </c>
      <c r="D201" s="142" t="s">
        <v>448</v>
      </c>
      <c r="E201" s="142" t="s">
        <v>446</v>
      </c>
      <c r="F201" s="142"/>
      <c r="G201" s="142"/>
      <c r="H201" s="142"/>
      <c r="I201" s="142"/>
      <c r="J201" s="142" t="s">
        <v>965</v>
      </c>
      <c r="K201" s="123">
        <v>28</v>
      </c>
      <c r="L201" s="141">
        <v>45457.791666666664</v>
      </c>
      <c r="M201" s="141"/>
      <c r="N201" s="141"/>
      <c r="O201" s="141"/>
      <c r="P201" s="142">
        <v>1</v>
      </c>
      <c r="Q201" s="142"/>
      <c r="R201" s="142" t="s">
        <v>966</v>
      </c>
      <c r="S201" s="142" t="s">
        <v>733</v>
      </c>
      <c r="T201" s="142">
        <v>0</v>
      </c>
      <c r="U201" s="142" t="s">
        <v>447</v>
      </c>
      <c r="V201" s="142" t="s">
        <v>448</v>
      </c>
      <c r="W201" s="142" t="s">
        <v>446</v>
      </c>
      <c r="X201" s="142"/>
      <c r="Y201" s="142"/>
      <c r="Z201" s="142"/>
      <c r="AA201" s="142"/>
      <c r="AB201" s="142"/>
      <c r="AC201" s="142"/>
      <c r="AD201" s="126">
        <f>K201</f>
        <v>28</v>
      </c>
      <c r="AE201" s="123" t="str">
        <f t="shared" si="20"/>
        <v>Members’ Night at Tate Britain</v>
      </c>
      <c r="AF201" s="124">
        <f t="shared" si="19"/>
        <v>45457.791666666664</v>
      </c>
      <c r="AG201" s="123">
        <f t="shared" si="21"/>
        <v>6</v>
      </c>
      <c r="AH201" s="123">
        <f t="shared" si="18"/>
        <v>0</v>
      </c>
      <c r="AI201" s="123" t="s">
        <v>917</v>
      </c>
      <c r="AJ201" s="123"/>
    </row>
    <row r="202" spans="1:38" ht="15.95" customHeight="1">
      <c r="A202" s="141">
        <v>45448.240277777775</v>
      </c>
      <c r="B202" s="142" t="s">
        <v>729</v>
      </c>
      <c r="C202" s="142" t="s">
        <v>564</v>
      </c>
      <c r="D202" s="142" t="s">
        <v>565</v>
      </c>
      <c r="E202" s="142" t="s">
        <v>135</v>
      </c>
      <c r="F202" s="142"/>
      <c r="G202" s="142"/>
      <c r="H202" s="142"/>
      <c r="I202" s="142"/>
      <c r="J202" s="142" t="s">
        <v>965</v>
      </c>
      <c r="K202" s="123">
        <v>28</v>
      </c>
      <c r="L202" s="141">
        <v>45457.791666666664</v>
      </c>
      <c r="M202" s="141"/>
      <c r="N202" s="141"/>
      <c r="O202" s="141"/>
      <c r="P202" s="142">
        <v>1</v>
      </c>
      <c r="Q202" s="142"/>
      <c r="R202" s="142" t="s">
        <v>966</v>
      </c>
      <c r="S202" s="142" t="s">
        <v>733</v>
      </c>
      <c r="T202" s="142">
        <v>0</v>
      </c>
      <c r="U202" s="142" t="s">
        <v>564</v>
      </c>
      <c r="V202" s="142" t="s">
        <v>565</v>
      </c>
      <c r="W202" s="142" t="s">
        <v>135</v>
      </c>
      <c r="X202" s="142"/>
      <c r="Y202" s="142"/>
      <c r="Z202" s="142"/>
      <c r="AA202" s="142"/>
      <c r="AB202" s="142"/>
      <c r="AC202" s="142"/>
      <c r="AD202" s="123">
        <v>28</v>
      </c>
      <c r="AE202" s="123" t="str">
        <f t="shared" si="20"/>
        <v>Members’ Night at Tate Britain</v>
      </c>
      <c r="AF202" s="124">
        <f t="shared" si="19"/>
        <v>45457.791666666664</v>
      </c>
      <c r="AG202" s="123">
        <f t="shared" si="21"/>
        <v>6</v>
      </c>
      <c r="AH202" s="123">
        <f t="shared" si="18"/>
        <v>0</v>
      </c>
      <c r="AI202" s="123" t="s">
        <v>917</v>
      </c>
      <c r="AJ202" s="123"/>
    </row>
    <row r="203" spans="1:38" ht="15.95" customHeight="1">
      <c r="A203" s="141">
        <v>45448.241666666669</v>
      </c>
      <c r="B203" s="142" t="s">
        <v>729</v>
      </c>
      <c r="C203" s="142" t="s">
        <v>592</v>
      </c>
      <c r="D203" s="142" t="s">
        <v>593</v>
      </c>
      <c r="E203" s="142" t="s">
        <v>168</v>
      </c>
      <c r="F203" s="142"/>
      <c r="G203" s="142"/>
      <c r="H203" s="142"/>
      <c r="I203" s="142"/>
      <c r="J203" s="142" t="s">
        <v>965</v>
      </c>
      <c r="K203" s="123">
        <v>28</v>
      </c>
      <c r="L203" s="141">
        <v>45457.791666666664</v>
      </c>
      <c r="M203" s="141"/>
      <c r="N203" s="141"/>
      <c r="O203" s="141"/>
      <c r="P203" s="142">
        <v>1</v>
      </c>
      <c r="Q203" s="142"/>
      <c r="R203" s="142" t="s">
        <v>966</v>
      </c>
      <c r="S203" s="142" t="s">
        <v>733</v>
      </c>
      <c r="T203" s="142">
        <v>0</v>
      </c>
      <c r="U203" s="142" t="s">
        <v>592</v>
      </c>
      <c r="V203" s="142" t="s">
        <v>593</v>
      </c>
      <c r="W203" s="142" t="s">
        <v>168</v>
      </c>
      <c r="X203" s="142"/>
      <c r="Y203" s="142"/>
      <c r="Z203" s="142"/>
      <c r="AA203" s="142"/>
      <c r="AB203" s="142"/>
      <c r="AC203" s="142"/>
      <c r="AD203" s="123">
        <v>28</v>
      </c>
      <c r="AE203" s="123" t="str">
        <f t="shared" si="20"/>
        <v>Members’ Night at Tate Britain</v>
      </c>
      <c r="AF203" s="124">
        <f t="shared" si="19"/>
        <v>45457.791666666664</v>
      </c>
      <c r="AG203" s="123">
        <f t="shared" si="21"/>
        <v>6</v>
      </c>
      <c r="AH203" s="123">
        <f t="shared" si="18"/>
        <v>0</v>
      </c>
      <c r="AI203" s="123" t="s">
        <v>917</v>
      </c>
      <c r="AJ203" s="123"/>
    </row>
    <row r="204" spans="1:38" ht="15.95" customHeight="1">
      <c r="A204" s="130">
        <v>45453.254861111112</v>
      </c>
      <c r="B204" s="131" t="s">
        <v>729</v>
      </c>
      <c r="C204" s="131" t="s">
        <v>310</v>
      </c>
      <c r="D204" s="131" t="s">
        <v>311</v>
      </c>
      <c r="E204" s="131" t="s">
        <v>125</v>
      </c>
      <c r="F204" s="145" t="s">
        <v>967</v>
      </c>
      <c r="G204" s="145"/>
      <c r="H204" s="145"/>
      <c r="I204" s="145"/>
      <c r="J204" s="131" t="s">
        <v>968</v>
      </c>
      <c r="K204" s="146">
        <v>27</v>
      </c>
      <c r="L204" s="130">
        <v>45466.583333333336</v>
      </c>
      <c r="M204" s="130"/>
      <c r="N204" s="130"/>
      <c r="O204" s="130"/>
      <c r="P204" s="131">
        <v>1</v>
      </c>
      <c r="Q204" s="131"/>
      <c r="R204" s="131" t="s">
        <v>752</v>
      </c>
      <c r="S204" s="131" t="s">
        <v>733</v>
      </c>
      <c r="T204" s="131">
        <v>15</v>
      </c>
      <c r="U204" s="131" t="s">
        <v>310</v>
      </c>
      <c r="V204" s="131" t="s">
        <v>311</v>
      </c>
      <c r="W204" s="131" t="s">
        <v>125</v>
      </c>
      <c r="X204" s="131"/>
      <c r="Y204" s="131"/>
      <c r="Z204" s="131"/>
      <c r="AA204" s="131"/>
      <c r="AB204" s="131"/>
      <c r="AC204" s="131"/>
      <c r="AD204" s="126">
        <f t="shared" ref="AD204:AD235" si="22">K204</f>
        <v>27</v>
      </c>
      <c r="AE204" s="123" t="str">
        <f t="shared" si="20"/>
        <v>Hidden Gem: Visit William Morris Gallery</v>
      </c>
      <c r="AF204" s="124">
        <f t="shared" si="19"/>
        <v>45466.583333333336</v>
      </c>
      <c r="AG204" s="123">
        <f t="shared" si="21"/>
        <v>6</v>
      </c>
      <c r="AH204" s="123">
        <f t="shared" si="18"/>
        <v>0</v>
      </c>
      <c r="AI204" s="123" t="s">
        <v>917</v>
      </c>
      <c r="AJ204" s="123"/>
      <c r="AK204">
        <f>VLOOKUP(AD204,Sessions!A:K,11,FALSE)</f>
        <v>1</v>
      </c>
      <c r="AL204">
        <v>1</v>
      </c>
    </row>
    <row r="205" spans="1:38" ht="15.95" customHeight="1">
      <c r="A205" s="130">
        <v>45448.254861111112</v>
      </c>
      <c r="B205" s="131" t="s">
        <v>729</v>
      </c>
      <c r="C205" s="131" t="s">
        <v>367</v>
      </c>
      <c r="D205" s="131" t="s">
        <v>368</v>
      </c>
      <c r="E205" s="131" t="s">
        <v>130</v>
      </c>
      <c r="F205" s="145" t="s">
        <v>941</v>
      </c>
      <c r="G205" s="145"/>
      <c r="H205" s="145"/>
      <c r="I205" s="145"/>
      <c r="J205" s="131" t="s">
        <v>968</v>
      </c>
      <c r="K205" s="146">
        <v>27</v>
      </c>
      <c r="L205" s="130">
        <v>45466.583333333336</v>
      </c>
      <c r="M205" s="130"/>
      <c r="N205" s="130"/>
      <c r="O205" s="130"/>
      <c r="P205" s="131">
        <v>1</v>
      </c>
      <c r="Q205" s="131"/>
      <c r="R205" s="131" t="s">
        <v>752</v>
      </c>
      <c r="S205" s="131" t="s">
        <v>733</v>
      </c>
      <c r="T205" s="131">
        <v>15</v>
      </c>
      <c r="U205" s="131" t="s">
        <v>367</v>
      </c>
      <c r="V205" s="131" t="s">
        <v>368</v>
      </c>
      <c r="W205" s="131" t="s">
        <v>130</v>
      </c>
      <c r="X205" s="131"/>
      <c r="Y205" s="131"/>
      <c r="Z205" s="131"/>
      <c r="AA205" s="131"/>
      <c r="AB205" s="131"/>
      <c r="AC205" s="131"/>
      <c r="AD205" s="126">
        <f t="shared" si="22"/>
        <v>27</v>
      </c>
      <c r="AE205" s="123" t="str">
        <f t="shared" si="20"/>
        <v>Hidden Gem: Visit William Morris Gallery</v>
      </c>
      <c r="AF205" s="124">
        <f t="shared" si="19"/>
        <v>45466.583333333336</v>
      </c>
      <c r="AG205" s="123">
        <f t="shared" si="21"/>
        <v>6</v>
      </c>
      <c r="AH205" s="123">
        <f t="shared" si="18"/>
        <v>0</v>
      </c>
      <c r="AI205" s="123" t="s">
        <v>917</v>
      </c>
      <c r="AJ205" s="123"/>
      <c r="AK205">
        <f>VLOOKUP(AD205,Sessions!A:K,11,FALSE)</f>
        <v>1</v>
      </c>
      <c r="AL205">
        <v>1</v>
      </c>
    </row>
    <row r="206" spans="1:38" ht="15.95" customHeight="1">
      <c r="A206" s="130">
        <v>45448.245138888888</v>
      </c>
      <c r="B206" s="131" t="s">
        <v>749</v>
      </c>
      <c r="C206" s="131" t="s">
        <v>375</v>
      </c>
      <c r="D206" s="131" t="s">
        <v>376</v>
      </c>
      <c r="E206" s="131" t="s">
        <v>122</v>
      </c>
      <c r="F206" s="145" t="s">
        <v>930</v>
      </c>
      <c r="G206" s="145"/>
      <c r="H206" s="145"/>
      <c r="I206" s="145"/>
      <c r="J206" s="131" t="s">
        <v>968</v>
      </c>
      <c r="K206" s="146">
        <v>27</v>
      </c>
      <c r="L206" s="130">
        <v>45466.583333333336</v>
      </c>
      <c r="M206" s="130"/>
      <c r="N206" s="130"/>
      <c r="O206" s="130"/>
      <c r="P206" s="131">
        <v>1</v>
      </c>
      <c r="Q206" s="131"/>
      <c r="R206" s="131" t="s">
        <v>752</v>
      </c>
      <c r="S206" s="131" t="s">
        <v>733</v>
      </c>
      <c r="T206" s="131">
        <v>15</v>
      </c>
      <c r="U206" s="131" t="s">
        <v>375</v>
      </c>
      <c r="V206" s="131" t="s">
        <v>376</v>
      </c>
      <c r="W206" s="131" t="s">
        <v>122</v>
      </c>
      <c r="X206" s="131"/>
      <c r="Y206" s="131"/>
      <c r="Z206" s="131"/>
      <c r="AA206" s="131"/>
      <c r="AB206" s="131"/>
      <c r="AC206" s="131"/>
      <c r="AD206" s="126">
        <f t="shared" si="22"/>
        <v>27</v>
      </c>
      <c r="AE206" s="123" t="str">
        <f t="shared" si="20"/>
        <v>Hidden Gem: Visit William Morris Gallery</v>
      </c>
      <c r="AF206" s="124">
        <f t="shared" si="19"/>
        <v>45466.583333333336</v>
      </c>
      <c r="AG206" s="123">
        <f t="shared" si="21"/>
        <v>6</v>
      </c>
      <c r="AH206" s="123">
        <f t="shared" si="18"/>
        <v>0</v>
      </c>
      <c r="AI206" s="123" t="s">
        <v>917</v>
      </c>
      <c r="AJ206" s="123"/>
      <c r="AK206">
        <f>VLOOKUP(AD206,Sessions!A:K,11,FALSE)</f>
        <v>1</v>
      </c>
      <c r="AL206">
        <v>1</v>
      </c>
    </row>
    <row r="207" spans="1:38" ht="15.95" customHeight="1">
      <c r="A207" s="130">
        <v>45466.252083333333</v>
      </c>
      <c r="B207" s="131" t="s">
        <v>729</v>
      </c>
      <c r="C207" s="131" t="s">
        <v>424</v>
      </c>
      <c r="D207" s="131" t="s">
        <v>425</v>
      </c>
      <c r="E207" s="131" t="s">
        <v>423</v>
      </c>
      <c r="F207" s="131">
        <v>447553093894</v>
      </c>
      <c r="G207" s="131"/>
      <c r="H207" s="131"/>
      <c r="I207" s="131"/>
      <c r="J207" s="131" t="s">
        <v>968</v>
      </c>
      <c r="K207" s="146">
        <v>27</v>
      </c>
      <c r="L207" s="130">
        <v>45466.583333333336</v>
      </c>
      <c r="M207" s="130"/>
      <c r="N207" s="130"/>
      <c r="O207" s="130"/>
      <c r="P207" s="131">
        <v>1</v>
      </c>
      <c r="Q207" s="131"/>
      <c r="R207" s="131" t="s">
        <v>759</v>
      </c>
      <c r="S207" s="131" t="s">
        <v>733</v>
      </c>
      <c r="T207" s="131">
        <v>15</v>
      </c>
      <c r="U207" s="131" t="s">
        <v>424</v>
      </c>
      <c r="V207" s="131" t="s">
        <v>425</v>
      </c>
      <c r="W207" s="131" t="s">
        <v>423</v>
      </c>
      <c r="X207" s="131"/>
      <c r="Y207" s="131"/>
      <c r="Z207" s="131"/>
      <c r="AA207" s="131"/>
      <c r="AB207" s="131" t="s">
        <v>817</v>
      </c>
      <c r="AC207" s="131"/>
      <c r="AD207" s="126">
        <f t="shared" si="22"/>
        <v>27</v>
      </c>
      <c r="AE207" s="123" t="str">
        <f t="shared" si="20"/>
        <v>Hidden Gem: Visit William Morris Gallery</v>
      </c>
      <c r="AF207" s="124">
        <f t="shared" si="19"/>
        <v>45466.583333333336</v>
      </c>
      <c r="AG207" s="123">
        <f t="shared" si="21"/>
        <v>6</v>
      </c>
      <c r="AH207" s="123" t="str">
        <f t="shared" si="18"/>
        <v>WhatsApp</v>
      </c>
      <c r="AI207" s="123" t="s">
        <v>917</v>
      </c>
      <c r="AJ207" s="123"/>
      <c r="AK207">
        <f>VLOOKUP(AD207,Sessions!A:K,11,FALSE)</f>
        <v>1</v>
      </c>
      <c r="AL207">
        <v>1</v>
      </c>
    </row>
    <row r="208" spans="1:38" ht="15.95" customHeight="1">
      <c r="A208" s="130">
        <v>45454.486805555556</v>
      </c>
      <c r="B208" s="131" t="s">
        <v>729</v>
      </c>
      <c r="C208" s="131" t="s">
        <v>447</v>
      </c>
      <c r="D208" s="131" t="s">
        <v>448</v>
      </c>
      <c r="E208" s="131" t="s">
        <v>446</v>
      </c>
      <c r="F208" s="145" t="s">
        <v>932</v>
      </c>
      <c r="G208" s="145"/>
      <c r="H208" s="145"/>
      <c r="I208" s="145"/>
      <c r="J208" s="131" t="s">
        <v>968</v>
      </c>
      <c r="K208" s="146">
        <v>27</v>
      </c>
      <c r="L208" s="130">
        <v>45466.583333333336</v>
      </c>
      <c r="M208" s="130"/>
      <c r="N208" s="130"/>
      <c r="O208" s="130"/>
      <c r="P208" s="131">
        <v>1</v>
      </c>
      <c r="Q208" s="131"/>
      <c r="R208" s="131" t="s">
        <v>752</v>
      </c>
      <c r="S208" s="131" t="s">
        <v>733</v>
      </c>
      <c r="T208" s="131">
        <v>15</v>
      </c>
      <c r="U208" s="131" t="s">
        <v>447</v>
      </c>
      <c r="V208" s="131" t="s">
        <v>448</v>
      </c>
      <c r="W208" s="131" t="s">
        <v>446</v>
      </c>
      <c r="X208" s="131"/>
      <c r="Y208" s="131"/>
      <c r="Z208" s="131"/>
      <c r="AA208" s="131"/>
      <c r="AB208" s="131"/>
      <c r="AC208" s="131"/>
      <c r="AD208" s="126">
        <f t="shared" si="22"/>
        <v>27</v>
      </c>
      <c r="AE208" s="123" t="str">
        <f t="shared" si="20"/>
        <v>Hidden Gem: Visit William Morris Gallery</v>
      </c>
      <c r="AF208" s="124">
        <f t="shared" si="19"/>
        <v>45466.583333333336</v>
      </c>
      <c r="AG208" s="123">
        <f t="shared" si="21"/>
        <v>6</v>
      </c>
      <c r="AH208" s="123">
        <f t="shared" si="18"/>
        <v>0</v>
      </c>
      <c r="AI208" s="123" t="s">
        <v>917</v>
      </c>
      <c r="AJ208" s="123"/>
      <c r="AK208">
        <f>VLOOKUP(AD208,Sessions!A:K,11,FALSE)</f>
        <v>1</v>
      </c>
      <c r="AL208">
        <v>1</v>
      </c>
    </row>
    <row r="209" spans="1:38" ht="15.95" customHeight="1">
      <c r="A209" s="130">
        <v>45462.210416666669</v>
      </c>
      <c r="B209" s="131" t="s">
        <v>729</v>
      </c>
      <c r="C209" s="131" t="s">
        <v>592</v>
      </c>
      <c r="D209" s="131" t="s">
        <v>593</v>
      </c>
      <c r="E209" s="131" t="s">
        <v>168</v>
      </c>
      <c r="F209" s="145" t="s">
        <v>937</v>
      </c>
      <c r="G209" s="145"/>
      <c r="H209" s="145"/>
      <c r="I209" s="145"/>
      <c r="J209" s="131" t="s">
        <v>968</v>
      </c>
      <c r="K209" s="146">
        <v>27</v>
      </c>
      <c r="L209" s="130">
        <v>45466.583333333336</v>
      </c>
      <c r="M209" s="130"/>
      <c r="N209" s="130"/>
      <c r="O209" s="130"/>
      <c r="P209" s="131">
        <v>1</v>
      </c>
      <c r="Q209" s="131"/>
      <c r="R209" s="131" t="s">
        <v>752</v>
      </c>
      <c r="S209" s="131" t="s">
        <v>733</v>
      </c>
      <c r="T209" s="131">
        <v>15</v>
      </c>
      <c r="U209" s="131" t="s">
        <v>592</v>
      </c>
      <c r="V209" s="131" t="s">
        <v>593</v>
      </c>
      <c r="W209" s="131" t="s">
        <v>168</v>
      </c>
      <c r="X209" s="131"/>
      <c r="Y209" s="131"/>
      <c r="Z209" s="131"/>
      <c r="AA209" s="131"/>
      <c r="AB209" s="131"/>
      <c r="AC209" s="131"/>
      <c r="AD209" s="126">
        <f t="shared" si="22"/>
        <v>27</v>
      </c>
      <c r="AE209" s="123" t="str">
        <f t="shared" si="20"/>
        <v>Hidden Gem: Visit William Morris Gallery</v>
      </c>
      <c r="AF209" s="124">
        <f t="shared" si="19"/>
        <v>45466.583333333336</v>
      </c>
      <c r="AG209" s="123">
        <f t="shared" si="21"/>
        <v>6</v>
      </c>
      <c r="AH209" s="123">
        <f t="shared" si="18"/>
        <v>0</v>
      </c>
      <c r="AI209" s="123" t="s">
        <v>917</v>
      </c>
      <c r="AJ209" s="123"/>
      <c r="AK209">
        <f>VLOOKUP(AD209,Sessions!A:K,11,FALSE)</f>
        <v>1</v>
      </c>
      <c r="AL209">
        <v>1</v>
      </c>
    </row>
    <row r="210" spans="1:38" ht="15.95" customHeight="1">
      <c r="A210" s="130">
        <v>45465.62222222222</v>
      </c>
      <c r="B210" s="131" t="s">
        <v>729</v>
      </c>
      <c r="C210" s="131" t="s">
        <v>653</v>
      </c>
      <c r="D210" s="131" t="s">
        <v>654</v>
      </c>
      <c r="E210" s="131" t="s">
        <v>652</v>
      </c>
      <c r="F210" s="145" t="s">
        <v>618</v>
      </c>
      <c r="G210" s="145"/>
      <c r="H210" s="145"/>
      <c r="I210" s="145"/>
      <c r="J210" s="131" t="s">
        <v>968</v>
      </c>
      <c r="K210" s="146">
        <v>27</v>
      </c>
      <c r="L210" s="130">
        <v>45466.583333333336</v>
      </c>
      <c r="M210" s="130"/>
      <c r="N210" s="130"/>
      <c r="O210" s="130"/>
      <c r="P210" s="131">
        <v>1</v>
      </c>
      <c r="Q210" s="131"/>
      <c r="R210" s="131" t="s">
        <v>759</v>
      </c>
      <c r="S210" s="131" t="s">
        <v>733</v>
      </c>
      <c r="T210" s="131">
        <v>30</v>
      </c>
      <c r="U210" s="131" t="s">
        <v>653</v>
      </c>
      <c r="V210" s="131" t="s">
        <v>654</v>
      </c>
      <c r="W210" s="131" t="s">
        <v>652</v>
      </c>
      <c r="X210" s="131"/>
      <c r="Y210" s="131"/>
      <c r="Z210" s="131"/>
      <c r="AA210" s="131"/>
      <c r="AB210" s="131" t="s">
        <v>817</v>
      </c>
      <c r="AC210" s="131"/>
      <c r="AD210" s="126">
        <f t="shared" si="22"/>
        <v>27</v>
      </c>
      <c r="AE210" s="123" t="str">
        <f t="shared" si="20"/>
        <v>Hidden Gem: Visit William Morris Gallery</v>
      </c>
      <c r="AF210" s="124">
        <f t="shared" si="19"/>
        <v>45466.583333333336</v>
      </c>
      <c r="AG210" s="123">
        <f t="shared" si="21"/>
        <v>6</v>
      </c>
      <c r="AH210" s="123" t="str">
        <f t="shared" si="18"/>
        <v>WhatsApp</v>
      </c>
      <c r="AI210" s="123" t="s">
        <v>917</v>
      </c>
      <c r="AJ210" s="123"/>
      <c r="AK210">
        <f>VLOOKUP(AD210,Sessions!A:K,11,FALSE)</f>
        <v>1</v>
      </c>
      <c r="AL210">
        <v>1</v>
      </c>
    </row>
    <row r="211" spans="1:38" ht="15.95" customHeight="1">
      <c r="A211" s="130">
        <v>45460.734722222223</v>
      </c>
      <c r="B211" s="131" t="s">
        <v>729</v>
      </c>
      <c r="C211" s="131" t="s">
        <v>650</v>
      </c>
      <c r="D211" s="131" t="s">
        <v>651</v>
      </c>
      <c r="E211" s="131" t="s">
        <v>649</v>
      </c>
      <c r="F211" s="131">
        <v>754819073</v>
      </c>
      <c r="G211" s="131"/>
      <c r="H211" s="131"/>
      <c r="I211" s="131"/>
      <c r="J211" s="131" t="s">
        <v>969</v>
      </c>
      <c r="K211" s="146">
        <v>26</v>
      </c>
      <c r="L211" s="130">
        <v>45471.770833333336</v>
      </c>
      <c r="M211" s="130"/>
      <c r="N211" s="130"/>
      <c r="O211" s="130"/>
      <c r="P211" s="131">
        <v>1</v>
      </c>
      <c r="Q211" s="131"/>
      <c r="R211" s="131" t="s">
        <v>970</v>
      </c>
      <c r="S211" s="131" t="s">
        <v>733</v>
      </c>
      <c r="T211" s="131">
        <v>25</v>
      </c>
      <c r="U211" s="131" t="s">
        <v>650</v>
      </c>
      <c r="V211" s="131" t="s">
        <v>651</v>
      </c>
      <c r="W211" s="131" t="s">
        <v>649</v>
      </c>
      <c r="X211" s="131"/>
      <c r="Y211" s="131"/>
      <c r="Z211" s="131"/>
      <c r="AA211" s="131"/>
      <c r="AB211" s="131" t="s">
        <v>958</v>
      </c>
      <c r="AC211" s="131" t="s">
        <v>957</v>
      </c>
      <c r="AD211" s="126">
        <f t="shared" si="22"/>
        <v>26</v>
      </c>
      <c r="AE211" s="123" t="str">
        <f t="shared" si="20"/>
        <v>Hidden Gem: Art, Music and Drinks at Soane Late</v>
      </c>
      <c r="AF211" s="124">
        <f t="shared" si="19"/>
        <v>45471.770833333336</v>
      </c>
      <c r="AG211" s="123">
        <f t="shared" si="21"/>
        <v>6</v>
      </c>
      <c r="AH211" s="123" t="str">
        <f t="shared" si="18"/>
        <v>CC</v>
      </c>
      <c r="AI211" s="123" t="s">
        <v>917</v>
      </c>
      <c r="AJ211" s="123"/>
      <c r="AK211">
        <f>VLOOKUP(AD211,Sessions!A:K,11,FALSE)</f>
        <v>1</v>
      </c>
      <c r="AL211">
        <v>1</v>
      </c>
    </row>
    <row r="212" spans="1:38" ht="15.95" customHeight="1">
      <c r="A212" s="130">
        <v>45453.253472222219</v>
      </c>
      <c r="B212" s="131" t="s">
        <v>729</v>
      </c>
      <c r="C212" s="131" t="s">
        <v>310</v>
      </c>
      <c r="D212" s="131" t="s">
        <v>311</v>
      </c>
      <c r="E212" s="131" t="s">
        <v>125</v>
      </c>
      <c r="F212" s="145" t="s">
        <v>967</v>
      </c>
      <c r="G212" s="145"/>
      <c r="H212" s="145"/>
      <c r="I212" s="145"/>
      <c r="J212" s="131" t="s">
        <v>969</v>
      </c>
      <c r="K212" s="146">
        <v>26</v>
      </c>
      <c r="L212" s="130">
        <v>45471.770833333336</v>
      </c>
      <c r="M212" s="130"/>
      <c r="N212" s="130"/>
      <c r="O212" s="130"/>
      <c r="P212" s="131">
        <v>1</v>
      </c>
      <c r="Q212" s="131"/>
      <c r="R212" s="131" t="s">
        <v>970</v>
      </c>
      <c r="S212" s="131" t="s">
        <v>733</v>
      </c>
      <c r="T212" s="131">
        <v>30</v>
      </c>
      <c r="U212" s="131" t="s">
        <v>310</v>
      </c>
      <c r="V212" s="131" t="s">
        <v>311</v>
      </c>
      <c r="W212" s="131" t="s">
        <v>125</v>
      </c>
      <c r="X212" s="131"/>
      <c r="Y212" s="131"/>
      <c r="Z212" s="131"/>
      <c r="AA212" s="131"/>
      <c r="AB212" s="131"/>
      <c r="AC212" s="131"/>
      <c r="AD212" s="126">
        <f t="shared" si="22"/>
        <v>26</v>
      </c>
      <c r="AE212" s="123" t="str">
        <f t="shared" si="20"/>
        <v>Hidden Gem: Art, Music and Drinks at Soane Late</v>
      </c>
      <c r="AF212" s="124">
        <f t="shared" si="19"/>
        <v>45471.770833333336</v>
      </c>
      <c r="AG212" s="123">
        <f t="shared" si="21"/>
        <v>6</v>
      </c>
      <c r="AH212" s="123">
        <f t="shared" si="18"/>
        <v>0</v>
      </c>
      <c r="AI212" s="123" t="s">
        <v>917</v>
      </c>
      <c r="AJ212" s="123"/>
      <c r="AK212">
        <f>VLOOKUP(AD212,Sessions!A:K,11,FALSE)</f>
        <v>1</v>
      </c>
      <c r="AL212">
        <v>1</v>
      </c>
    </row>
    <row r="213" spans="1:38" ht="15.95" customHeight="1">
      <c r="A213" s="130">
        <v>45468.377083333333</v>
      </c>
      <c r="B213" s="131" t="s">
        <v>729</v>
      </c>
      <c r="C213" s="131" t="s">
        <v>360</v>
      </c>
      <c r="D213" s="131" t="s">
        <v>361</v>
      </c>
      <c r="E213" s="131" t="s">
        <v>151</v>
      </c>
      <c r="F213" s="131">
        <v>7380407565</v>
      </c>
      <c r="G213" s="131"/>
      <c r="H213" s="131"/>
      <c r="I213" s="131"/>
      <c r="J213" s="131" t="s">
        <v>969</v>
      </c>
      <c r="K213" s="146">
        <v>26</v>
      </c>
      <c r="L213" s="130">
        <v>45471.770833333336</v>
      </c>
      <c r="M213" s="130"/>
      <c r="N213" s="130"/>
      <c r="O213" s="130"/>
      <c r="P213" s="131">
        <v>1</v>
      </c>
      <c r="Q213" s="131"/>
      <c r="R213" s="131" t="s">
        <v>970</v>
      </c>
      <c r="S213" s="131" t="s">
        <v>733</v>
      </c>
      <c r="T213" s="131">
        <v>25</v>
      </c>
      <c r="U213" s="131" t="s">
        <v>360</v>
      </c>
      <c r="V213" s="131" t="s">
        <v>361</v>
      </c>
      <c r="W213" s="131" t="s">
        <v>151</v>
      </c>
      <c r="X213" s="131"/>
      <c r="Y213" s="131"/>
      <c r="Z213" s="131"/>
      <c r="AA213" s="131"/>
      <c r="AB213" s="131" t="s">
        <v>817</v>
      </c>
      <c r="AC213" s="131" t="s">
        <v>780</v>
      </c>
      <c r="AD213" s="126">
        <f t="shared" si="22"/>
        <v>26</v>
      </c>
      <c r="AE213" s="123" t="str">
        <f t="shared" si="20"/>
        <v>Hidden Gem: Art, Music and Drinks at Soane Late</v>
      </c>
      <c r="AF213" s="124">
        <f t="shared" si="19"/>
        <v>45471.770833333336</v>
      </c>
      <c r="AG213" s="123">
        <f t="shared" si="21"/>
        <v>6</v>
      </c>
      <c r="AH213" s="123" t="str">
        <f t="shared" si="18"/>
        <v>WhatsApp</v>
      </c>
      <c r="AI213" s="123" t="s">
        <v>917</v>
      </c>
      <c r="AJ213" s="123"/>
      <c r="AK213">
        <f>VLOOKUP(AD213,Sessions!A:K,11,FALSE)</f>
        <v>1</v>
      </c>
      <c r="AL213">
        <v>1</v>
      </c>
    </row>
    <row r="214" spans="1:38" ht="15.95" customHeight="1">
      <c r="A214" s="130">
        <v>45461.242361111108</v>
      </c>
      <c r="B214" s="131" t="s">
        <v>729</v>
      </c>
      <c r="C214" s="131" t="s">
        <v>408</v>
      </c>
      <c r="D214" s="131" t="s">
        <v>409</v>
      </c>
      <c r="E214" s="131" t="s">
        <v>407</v>
      </c>
      <c r="F214" s="145" t="s">
        <v>971</v>
      </c>
      <c r="G214" s="145"/>
      <c r="H214" s="145"/>
      <c r="I214" s="145"/>
      <c r="J214" s="131" t="s">
        <v>969</v>
      </c>
      <c r="K214" s="146">
        <v>26</v>
      </c>
      <c r="L214" s="130">
        <v>45471.770833333336</v>
      </c>
      <c r="M214" s="130"/>
      <c r="N214" s="130"/>
      <c r="O214" s="130"/>
      <c r="P214" s="131">
        <v>1</v>
      </c>
      <c r="Q214" s="131"/>
      <c r="R214" s="131" t="s">
        <v>970</v>
      </c>
      <c r="S214" s="131" t="s">
        <v>733</v>
      </c>
      <c r="T214" s="131">
        <v>30</v>
      </c>
      <c r="U214" s="131" t="s">
        <v>408</v>
      </c>
      <c r="V214" s="131" t="s">
        <v>409</v>
      </c>
      <c r="W214" s="131" t="s">
        <v>407</v>
      </c>
      <c r="X214" s="131"/>
      <c r="Y214" s="131"/>
      <c r="Z214" s="131"/>
      <c r="AA214" s="131"/>
      <c r="AB214" s="131"/>
      <c r="AC214" s="131"/>
      <c r="AD214" s="126">
        <f t="shared" si="22"/>
        <v>26</v>
      </c>
      <c r="AE214" s="123" t="str">
        <f t="shared" si="20"/>
        <v>Hidden Gem: Art, Music and Drinks at Soane Late</v>
      </c>
      <c r="AF214" s="124">
        <f t="shared" si="19"/>
        <v>45471.770833333336</v>
      </c>
      <c r="AG214" s="123">
        <f t="shared" si="21"/>
        <v>6</v>
      </c>
      <c r="AH214" s="123">
        <f t="shared" si="18"/>
        <v>0</v>
      </c>
      <c r="AI214" s="123" t="s">
        <v>917</v>
      </c>
      <c r="AJ214" s="123"/>
      <c r="AK214">
        <f>VLOOKUP(AD214,Sessions!A:K,11,FALSE)</f>
        <v>1</v>
      </c>
      <c r="AL214">
        <v>1</v>
      </c>
    </row>
    <row r="215" spans="1:38" ht="15.95" customHeight="1">
      <c r="A215" s="130">
        <v>45471.531944444447</v>
      </c>
      <c r="B215" s="131" t="s">
        <v>729</v>
      </c>
      <c r="C215" s="131" t="s">
        <v>417</v>
      </c>
      <c r="D215" s="131" t="s">
        <v>418</v>
      </c>
      <c r="E215" s="131" t="s">
        <v>148</v>
      </c>
      <c r="F215" s="145" t="s">
        <v>946</v>
      </c>
      <c r="G215" s="145"/>
      <c r="H215" s="145"/>
      <c r="I215" s="145"/>
      <c r="J215" s="131" t="s">
        <v>969</v>
      </c>
      <c r="K215" s="146">
        <v>26</v>
      </c>
      <c r="L215" s="130">
        <v>45471.770833333336</v>
      </c>
      <c r="M215" s="130"/>
      <c r="N215" s="130"/>
      <c r="O215" s="130"/>
      <c r="P215" s="131">
        <v>1</v>
      </c>
      <c r="Q215" s="131"/>
      <c r="R215" s="131" t="s">
        <v>970</v>
      </c>
      <c r="S215" s="131" t="s">
        <v>733</v>
      </c>
      <c r="T215" s="131">
        <v>30</v>
      </c>
      <c r="U215" s="131" t="s">
        <v>417</v>
      </c>
      <c r="V215" s="131" t="s">
        <v>418</v>
      </c>
      <c r="W215" s="131" t="s">
        <v>148</v>
      </c>
      <c r="X215" s="131"/>
      <c r="Y215" s="131"/>
      <c r="Z215" s="131"/>
      <c r="AA215" s="131"/>
      <c r="AB215" s="131"/>
      <c r="AC215" s="131"/>
      <c r="AD215" s="126">
        <f t="shared" si="22"/>
        <v>26</v>
      </c>
      <c r="AE215" s="123" t="str">
        <f t="shared" si="20"/>
        <v>Hidden Gem: Art, Music and Drinks at Soane Late</v>
      </c>
      <c r="AF215" s="124">
        <f t="shared" si="19"/>
        <v>45471.770833333336</v>
      </c>
      <c r="AG215" s="123">
        <f t="shared" si="21"/>
        <v>6</v>
      </c>
      <c r="AH215" s="123">
        <f t="shared" si="18"/>
        <v>0</v>
      </c>
      <c r="AI215" s="123" t="s">
        <v>917</v>
      </c>
      <c r="AJ215" s="123"/>
      <c r="AK215">
        <f>VLOOKUP(AD215,Sessions!A:K,11,FALSE)</f>
        <v>1</v>
      </c>
      <c r="AL215">
        <v>1</v>
      </c>
    </row>
    <row r="216" spans="1:38" ht="15.95" customHeight="1">
      <c r="A216" s="130">
        <v>45467.202777777777</v>
      </c>
      <c r="B216" s="131" t="s">
        <v>729</v>
      </c>
      <c r="C216" s="131" t="s">
        <v>627</v>
      </c>
      <c r="D216" s="131" t="s">
        <v>628</v>
      </c>
      <c r="E216" s="131" t="s">
        <v>626</v>
      </c>
      <c r="F216" s="131">
        <v>447404835441</v>
      </c>
      <c r="G216" s="131"/>
      <c r="H216" s="131"/>
      <c r="I216" s="131"/>
      <c r="J216" s="131" t="s">
        <v>969</v>
      </c>
      <c r="K216" s="146">
        <v>26</v>
      </c>
      <c r="L216" s="130">
        <v>45471.770833333336</v>
      </c>
      <c r="M216" s="130"/>
      <c r="N216" s="130"/>
      <c r="O216" s="130"/>
      <c r="P216" s="131">
        <v>1</v>
      </c>
      <c r="Q216" s="131"/>
      <c r="R216" s="131" t="s">
        <v>970</v>
      </c>
      <c r="S216" s="131" t="s">
        <v>733</v>
      </c>
      <c r="T216" s="131">
        <v>30</v>
      </c>
      <c r="U216" s="131" t="s">
        <v>627</v>
      </c>
      <c r="V216" s="131" t="s">
        <v>628</v>
      </c>
      <c r="W216" s="131" t="s">
        <v>626</v>
      </c>
      <c r="X216" s="131"/>
      <c r="Y216" s="131"/>
      <c r="Z216" s="131"/>
      <c r="AA216" s="131"/>
      <c r="AB216" s="131"/>
      <c r="AC216" s="131"/>
      <c r="AD216" s="126">
        <f t="shared" si="22"/>
        <v>26</v>
      </c>
      <c r="AE216" s="123" t="str">
        <f t="shared" si="20"/>
        <v>Hidden Gem: Art, Music and Drinks at Soane Late</v>
      </c>
      <c r="AF216" s="124">
        <f t="shared" si="19"/>
        <v>45471.770833333336</v>
      </c>
      <c r="AG216" s="123">
        <f t="shared" si="21"/>
        <v>6</v>
      </c>
      <c r="AH216" s="123">
        <f t="shared" si="18"/>
        <v>0</v>
      </c>
      <c r="AI216" s="123" t="s">
        <v>917</v>
      </c>
      <c r="AJ216" s="123"/>
      <c r="AK216">
        <f>VLOOKUP(AD216,Sessions!A:K,11,FALSE)</f>
        <v>1</v>
      </c>
      <c r="AL216">
        <v>1</v>
      </c>
    </row>
    <row r="217" spans="1:38" ht="15.95" customHeight="1">
      <c r="A217" s="130">
        <v>45467.20416666667</v>
      </c>
      <c r="B217" s="131" t="s">
        <v>729</v>
      </c>
      <c r="C217" s="131" t="s">
        <v>631</v>
      </c>
      <c r="D217" s="131" t="s">
        <v>632</v>
      </c>
      <c r="E217" s="131" t="s">
        <v>630</v>
      </c>
      <c r="F217" s="131">
        <v>447772355538</v>
      </c>
      <c r="G217" s="131"/>
      <c r="H217" s="131"/>
      <c r="I217" s="131"/>
      <c r="J217" s="131" t="s">
        <v>969</v>
      </c>
      <c r="K217" s="146">
        <v>26</v>
      </c>
      <c r="L217" s="130">
        <v>45471.770833333336</v>
      </c>
      <c r="M217" s="130"/>
      <c r="N217" s="130"/>
      <c r="O217" s="130"/>
      <c r="P217" s="131">
        <v>1</v>
      </c>
      <c r="Q217" s="131"/>
      <c r="R217" s="131" t="s">
        <v>970</v>
      </c>
      <c r="S217" s="131" t="s">
        <v>733</v>
      </c>
      <c r="T217" s="131">
        <v>30</v>
      </c>
      <c r="U217" s="131" t="s">
        <v>631</v>
      </c>
      <c r="V217" s="131" t="s">
        <v>632</v>
      </c>
      <c r="W217" s="131" t="s">
        <v>630</v>
      </c>
      <c r="X217" s="131"/>
      <c r="Y217" s="131"/>
      <c r="Z217" s="131"/>
      <c r="AA217" s="131"/>
      <c r="AB217" s="131"/>
      <c r="AC217" s="131"/>
      <c r="AD217" s="126">
        <f t="shared" si="22"/>
        <v>26</v>
      </c>
      <c r="AE217" s="123" t="str">
        <f t="shared" si="20"/>
        <v>Hidden Gem: Art, Music and Drinks at Soane Late</v>
      </c>
      <c r="AF217" s="124">
        <f t="shared" si="19"/>
        <v>45471.770833333336</v>
      </c>
      <c r="AG217" s="123">
        <f t="shared" si="21"/>
        <v>6</v>
      </c>
      <c r="AH217" s="123">
        <f t="shared" si="18"/>
        <v>0</v>
      </c>
      <c r="AI217" s="123" t="s">
        <v>917</v>
      </c>
      <c r="AJ217" s="123"/>
      <c r="AK217">
        <f>VLOOKUP(AD217,Sessions!A:K,11,FALSE)</f>
        <v>1</v>
      </c>
      <c r="AL217">
        <v>1</v>
      </c>
    </row>
    <row r="218" spans="1:38" ht="15.95" customHeight="1">
      <c r="A218" s="130">
        <v>45471.272222222222</v>
      </c>
      <c r="B218" s="131" t="s">
        <v>729</v>
      </c>
      <c r="C218" s="131" t="s">
        <v>482</v>
      </c>
      <c r="D218" s="131" t="s">
        <v>483</v>
      </c>
      <c r="E218" s="131" t="s">
        <v>136</v>
      </c>
      <c r="F218" s="145" t="s">
        <v>972</v>
      </c>
      <c r="G218" s="145"/>
      <c r="H218" s="145"/>
      <c r="I218" s="145"/>
      <c r="J218" s="131" t="s">
        <v>969</v>
      </c>
      <c r="K218" s="146">
        <v>26</v>
      </c>
      <c r="L218" s="130">
        <v>45471.770833333336</v>
      </c>
      <c r="M218" s="130"/>
      <c r="N218" s="130"/>
      <c r="O218" s="130"/>
      <c r="P218" s="131">
        <v>1</v>
      </c>
      <c r="Q218" s="131"/>
      <c r="R218" s="131" t="s">
        <v>970</v>
      </c>
      <c r="S218" s="131" t="s">
        <v>733</v>
      </c>
      <c r="T218" s="131">
        <v>30</v>
      </c>
      <c r="U218" s="131" t="s">
        <v>482</v>
      </c>
      <c r="V218" s="131" t="s">
        <v>483</v>
      </c>
      <c r="W218" s="131" t="s">
        <v>136</v>
      </c>
      <c r="X218" s="131"/>
      <c r="Y218" s="131"/>
      <c r="Z218" s="131"/>
      <c r="AA218" s="131"/>
      <c r="AB218" s="131"/>
      <c r="AC218" s="131"/>
      <c r="AD218" s="126">
        <f t="shared" si="22"/>
        <v>26</v>
      </c>
      <c r="AE218" s="123" t="str">
        <f t="shared" si="20"/>
        <v>Hidden Gem: Art, Music and Drinks at Soane Late</v>
      </c>
      <c r="AF218" s="124">
        <f t="shared" ref="AF218:AF249" si="23">L218</f>
        <v>45471.770833333336</v>
      </c>
      <c r="AG218" s="123">
        <f t="shared" si="21"/>
        <v>6</v>
      </c>
      <c r="AH218" s="123">
        <f t="shared" si="18"/>
        <v>0</v>
      </c>
      <c r="AI218" s="123" t="s">
        <v>917</v>
      </c>
      <c r="AJ218" s="123"/>
      <c r="AK218">
        <f>VLOOKUP(AD218,Sessions!A:K,11,FALSE)</f>
        <v>1</v>
      </c>
      <c r="AL218">
        <v>1</v>
      </c>
    </row>
    <row r="219" spans="1:38" ht="15.95" customHeight="1">
      <c r="A219" s="130">
        <v>45471.262499999997</v>
      </c>
      <c r="B219" s="131" t="s">
        <v>729</v>
      </c>
      <c r="C219" s="131" t="s">
        <v>639</v>
      </c>
      <c r="D219" s="131" t="s">
        <v>973</v>
      </c>
      <c r="E219" s="131" t="s">
        <v>638</v>
      </c>
      <c r="F219" s="131">
        <v>7375931281</v>
      </c>
      <c r="G219" s="131"/>
      <c r="H219" s="131"/>
      <c r="I219" s="131"/>
      <c r="J219" s="131" t="s">
        <v>969</v>
      </c>
      <c r="K219" s="146">
        <v>26</v>
      </c>
      <c r="L219" s="130">
        <v>45471.770833333336</v>
      </c>
      <c r="M219" s="130"/>
      <c r="N219" s="130"/>
      <c r="O219" s="130"/>
      <c r="P219" s="131">
        <v>1</v>
      </c>
      <c r="Q219" s="131"/>
      <c r="R219" s="131" t="s">
        <v>970</v>
      </c>
      <c r="S219" s="131" t="s">
        <v>733</v>
      </c>
      <c r="T219" s="131">
        <v>30</v>
      </c>
      <c r="U219" s="131" t="s">
        <v>639</v>
      </c>
      <c r="V219" s="131" t="s">
        <v>973</v>
      </c>
      <c r="W219" s="131" t="s">
        <v>638</v>
      </c>
      <c r="X219" s="131"/>
      <c r="Y219" s="131"/>
      <c r="Z219" s="131"/>
      <c r="AA219" s="131"/>
      <c r="AB219" s="131"/>
      <c r="AC219" s="131"/>
      <c r="AD219" s="126">
        <f t="shared" si="22"/>
        <v>26</v>
      </c>
      <c r="AE219" s="123" t="str">
        <f t="shared" si="20"/>
        <v>Hidden Gem: Art, Music and Drinks at Soane Late</v>
      </c>
      <c r="AF219" s="124">
        <f t="shared" si="23"/>
        <v>45471.770833333336</v>
      </c>
      <c r="AG219" s="123">
        <f t="shared" si="21"/>
        <v>6</v>
      </c>
      <c r="AH219" s="123">
        <f t="shared" si="18"/>
        <v>0</v>
      </c>
      <c r="AI219" s="123" t="s">
        <v>917</v>
      </c>
      <c r="AJ219" s="123"/>
      <c r="AK219">
        <f>VLOOKUP(AD219,Sessions!A:K,11,FALSE)</f>
        <v>1</v>
      </c>
      <c r="AL219">
        <v>1</v>
      </c>
    </row>
    <row r="220" spans="1:38" ht="15.95" customHeight="1">
      <c r="A220" s="130">
        <v>45461.281944444447</v>
      </c>
      <c r="B220" s="131" t="s">
        <v>729</v>
      </c>
      <c r="C220" s="131" t="s">
        <v>541</v>
      </c>
      <c r="D220" s="131" t="s">
        <v>542</v>
      </c>
      <c r="E220" s="131" t="s">
        <v>123</v>
      </c>
      <c r="F220" s="145" t="s">
        <v>919</v>
      </c>
      <c r="G220" s="145"/>
      <c r="H220" s="145"/>
      <c r="I220" s="145"/>
      <c r="J220" s="131" t="s">
        <v>969</v>
      </c>
      <c r="K220" s="146">
        <v>26</v>
      </c>
      <c r="L220" s="130">
        <v>45471.770833333336</v>
      </c>
      <c r="M220" s="130"/>
      <c r="N220" s="130"/>
      <c r="O220" s="130"/>
      <c r="P220" s="131">
        <v>1</v>
      </c>
      <c r="Q220" s="131"/>
      <c r="R220" s="131" t="s">
        <v>970</v>
      </c>
      <c r="S220" s="131" t="s">
        <v>733</v>
      </c>
      <c r="T220" s="131">
        <v>30</v>
      </c>
      <c r="U220" s="131" t="s">
        <v>541</v>
      </c>
      <c r="V220" s="131" t="s">
        <v>542</v>
      </c>
      <c r="W220" s="131" t="s">
        <v>123</v>
      </c>
      <c r="X220" s="131"/>
      <c r="Y220" s="131"/>
      <c r="Z220" s="131"/>
      <c r="AA220" s="131"/>
      <c r="AB220" s="131"/>
      <c r="AC220" s="131"/>
      <c r="AD220" s="126">
        <f t="shared" si="22"/>
        <v>26</v>
      </c>
      <c r="AE220" s="123" t="str">
        <f t="shared" si="20"/>
        <v>Hidden Gem: Art, Music and Drinks at Soane Late</v>
      </c>
      <c r="AF220" s="124">
        <f t="shared" si="23"/>
        <v>45471.770833333336</v>
      </c>
      <c r="AG220" s="123">
        <f t="shared" si="21"/>
        <v>6</v>
      </c>
      <c r="AH220" s="123">
        <f t="shared" si="18"/>
        <v>0</v>
      </c>
      <c r="AI220" s="123" t="s">
        <v>917</v>
      </c>
      <c r="AJ220" s="123"/>
      <c r="AK220">
        <f>VLOOKUP(AD220,Sessions!A:K,11,FALSE)</f>
        <v>1</v>
      </c>
      <c r="AL220">
        <v>1</v>
      </c>
    </row>
    <row r="221" spans="1:38" ht="15.95" customHeight="1">
      <c r="A221" s="130">
        <v>45462.24722222222</v>
      </c>
      <c r="B221" s="131" t="s">
        <v>729</v>
      </c>
      <c r="C221" s="131" t="s">
        <v>623</v>
      </c>
      <c r="D221" s="131" t="s">
        <v>624</v>
      </c>
      <c r="E221" s="131" t="s">
        <v>622</v>
      </c>
      <c r="F221" s="131">
        <v>447884584132</v>
      </c>
      <c r="G221" s="131"/>
      <c r="H221" s="131"/>
      <c r="I221" s="131"/>
      <c r="J221" s="131" t="s">
        <v>969</v>
      </c>
      <c r="K221" s="146">
        <v>26</v>
      </c>
      <c r="L221" s="130">
        <v>45471.770833333336</v>
      </c>
      <c r="M221" s="130"/>
      <c r="N221" s="130"/>
      <c r="O221" s="130"/>
      <c r="P221" s="131">
        <v>1</v>
      </c>
      <c r="Q221" s="131"/>
      <c r="R221" s="131" t="s">
        <v>970</v>
      </c>
      <c r="S221" s="131" t="s">
        <v>733</v>
      </c>
      <c r="T221" s="131">
        <v>30</v>
      </c>
      <c r="U221" s="131" t="s">
        <v>623</v>
      </c>
      <c r="V221" s="131" t="s">
        <v>624</v>
      </c>
      <c r="W221" s="131" t="s">
        <v>622</v>
      </c>
      <c r="X221" s="131"/>
      <c r="Y221" s="131"/>
      <c r="Z221" s="131"/>
      <c r="AA221" s="131"/>
      <c r="AB221" s="131"/>
      <c r="AC221" s="131"/>
      <c r="AD221" s="126">
        <f t="shared" si="22"/>
        <v>26</v>
      </c>
      <c r="AE221" s="123" t="str">
        <f t="shared" si="20"/>
        <v>Hidden Gem: Art, Music and Drinks at Soane Late</v>
      </c>
      <c r="AF221" s="124">
        <f t="shared" si="23"/>
        <v>45471.770833333336</v>
      </c>
      <c r="AG221" s="123">
        <f t="shared" si="21"/>
        <v>6</v>
      </c>
      <c r="AH221" s="123">
        <f t="shared" si="18"/>
        <v>0</v>
      </c>
      <c r="AI221" s="123" t="s">
        <v>917</v>
      </c>
      <c r="AJ221" s="123"/>
      <c r="AK221">
        <f>VLOOKUP(AD221,Sessions!A:K,11,FALSE)</f>
        <v>1</v>
      </c>
      <c r="AL221">
        <v>1</v>
      </c>
    </row>
    <row r="222" spans="1:38" ht="15.95" customHeight="1">
      <c r="A222" s="130">
        <v>45468.286805555559</v>
      </c>
      <c r="B222" s="131" t="s">
        <v>729</v>
      </c>
      <c r="C222" s="131" t="s">
        <v>592</v>
      </c>
      <c r="D222" s="131" t="s">
        <v>593</v>
      </c>
      <c r="E222" s="131" t="s">
        <v>168</v>
      </c>
      <c r="F222" s="145" t="s">
        <v>937</v>
      </c>
      <c r="G222" s="145"/>
      <c r="H222" s="145"/>
      <c r="I222" s="145"/>
      <c r="J222" s="131" t="s">
        <v>969</v>
      </c>
      <c r="K222" s="146">
        <v>26</v>
      </c>
      <c r="L222" s="130">
        <v>45471.770833333336</v>
      </c>
      <c r="M222" s="130"/>
      <c r="N222" s="130"/>
      <c r="O222" s="130"/>
      <c r="P222" s="131">
        <v>1</v>
      </c>
      <c r="Q222" s="131"/>
      <c r="R222" s="131" t="s">
        <v>970</v>
      </c>
      <c r="S222" s="131" t="s">
        <v>733</v>
      </c>
      <c r="T222" s="131">
        <v>30</v>
      </c>
      <c r="U222" s="131" t="s">
        <v>592</v>
      </c>
      <c r="V222" s="131" t="s">
        <v>593</v>
      </c>
      <c r="W222" s="131" t="s">
        <v>168</v>
      </c>
      <c r="X222" s="131"/>
      <c r="Y222" s="131"/>
      <c r="Z222" s="131"/>
      <c r="AA222" s="131"/>
      <c r="AB222" s="131"/>
      <c r="AC222" s="131"/>
      <c r="AD222" s="126">
        <f t="shared" si="22"/>
        <v>26</v>
      </c>
      <c r="AE222" s="123" t="str">
        <f t="shared" si="20"/>
        <v>Hidden Gem: Art, Music and Drinks at Soane Late</v>
      </c>
      <c r="AF222" s="124">
        <f t="shared" si="23"/>
        <v>45471.770833333336</v>
      </c>
      <c r="AG222" s="123">
        <f t="shared" si="21"/>
        <v>6</v>
      </c>
      <c r="AH222" s="123">
        <f t="shared" si="18"/>
        <v>0</v>
      </c>
      <c r="AI222" s="123" t="s">
        <v>917</v>
      </c>
      <c r="AJ222" s="123"/>
      <c r="AK222">
        <f>VLOOKUP(AD222,Sessions!A:K,11,FALSE)</f>
        <v>1</v>
      </c>
      <c r="AL222">
        <v>1</v>
      </c>
    </row>
    <row r="223" spans="1:38" ht="15.95" customHeight="1">
      <c r="A223" s="130">
        <v>45470.219444444447</v>
      </c>
      <c r="B223" s="131" t="s">
        <v>729</v>
      </c>
      <c r="C223" s="131" t="s">
        <v>635</v>
      </c>
      <c r="D223" s="131" t="s">
        <v>636</v>
      </c>
      <c r="E223" s="131" t="s">
        <v>634</v>
      </c>
      <c r="F223" s="145" t="s">
        <v>637</v>
      </c>
      <c r="G223" s="145"/>
      <c r="H223" s="145"/>
      <c r="I223" s="145"/>
      <c r="J223" s="131" t="s">
        <v>969</v>
      </c>
      <c r="K223" s="146">
        <v>26</v>
      </c>
      <c r="L223" s="130">
        <v>45471.770833333336</v>
      </c>
      <c r="M223" s="130"/>
      <c r="N223" s="130"/>
      <c r="O223" s="130"/>
      <c r="P223" s="131">
        <v>1</v>
      </c>
      <c r="Q223" s="131"/>
      <c r="R223" s="131" t="s">
        <v>970</v>
      </c>
      <c r="S223" s="131" t="s">
        <v>733</v>
      </c>
      <c r="T223" s="131">
        <v>30</v>
      </c>
      <c r="U223" s="131" t="s">
        <v>635</v>
      </c>
      <c r="V223" s="131" t="s">
        <v>636</v>
      </c>
      <c r="W223" s="131" t="s">
        <v>634</v>
      </c>
      <c r="X223" s="131"/>
      <c r="Y223" s="131"/>
      <c r="Z223" s="131"/>
      <c r="AA223" s="131"/>
      <c r="AB223" s="131"/>
      <c r="AC223" s="131"/>
      <c r="AD223" s="126">
        <f t="shared" si="22"/>
        <v>26</v>
      </c>
      <c r="AE223" s="123" t="str">
        <f t="shared" si="20"/>
        <v>Hidden Gem: Art, Music and Drinks at Soane Late</v>
      </c>
      <c r="AF223" s="124">
        <f t="shared" si="23"/>
        <v>45471.770833333336</v>
      </c>
      <c r="AG223" s="123">
        <f t="shared" si="21"/>
        <v>6</v>
      </c>
      <c r="AH223" s="123">
        <f t="shared" si="18"/>
        <v>0</v>
      </c>
      <c r="AI223" s="123" t="s">
        <v>917</v>
      </c>
      <c r="AJ223" s="123"/>
      <c r="AK223">
        <f>VLOOKUP(AD223,Sessions!A:K,11,FALSE)</f>
        <v>1</v>
      </c>
      <c r="AL223">
        <v>1</v>
      </c>
    </row>
    <row r="224" spans="1:38" ht="15.95" customHeight="1">
      <c r="A224" s="130">
        <v>45471.279861111114</v>
      </c>
      <c r="B224" s="131" t="s">
        <v>729</v>
      </c>
      <c r="C224" s="131" t="s">
        <v>367</v>
      </c>
      <c r="D224" s="131" t="s">
        <v>368</v>
      </c>
      <c r="E224" s="131" t="s">
        <v>130</v>
      </c>
      <c r="F224" s="145" t="s">
        <v>941</v>
      </c>
      <c r="G224" s="145"/>
      <c r="H224" s="145"/>
      <c r="I224" s="145"/>
      <c r="J224" s="131" t="s">
        <v>974</v>
      </c>
      <c r="K224" s="146">
        <v>29</v>
      </c>
      <c r="L224" s="130">
        <v>45473.583333333336</v>
      </c>
      <c r="M224" s="130"/>
      <c r="N224" s="130"/>
      <c r="O224" s="130"/>
      <c r="P224" s="131">
        <v>1</v>
      </c>
      <c r="Q224" s="131"/>
      <c r="R224" s="131" t="s">
        <v>970</v>
      </c>
      <c r="S224" s="131" t="s">
        <v>733</v>
      </c>
      <c r="T224" s="131">
        <v>27</v>
      </c>
      <c r="U224" s="131" t="s">
        <v>367</v>
      </c>
      <c r="V224" s="131" t="s">
        <v>368</v>
      </c>
      <c r="W224" s="131" t="s">
        <v>130</v>
      </c>
      <c r="X224" s="131"/>
      <c r="Y224" s="131"/>
      <c r="Z224" s="131"/>
      <c r="AA224" s="131"/>
      <c r="AB224" s="131"/>
      <c r="AC224" s="131"/>
      <c r="AD224" s="126">
        <f t="shared" si="22"/>
        <v>29</v>
      </c>
      <c r="AE224" s="123" t="str">
        <f t="shared" si="20"/>
        <v>Blockbuster: Sargent &amp;amp; Fashion at Tate Britain - followed by pub drinks</v>
      </c>
      <c r="AF224" s="124">
        <f t="shared" si="23"/>
        <v>45473.583333333336</v>
      </c>
      <c r="AG224" s="123">
        <f t="shared" si="21"/>
        <v>6</v>
      </c>
      <c r="AH224" s="123">
        <f t="shared" si="18"/>
        <v>0</v>
      </c>
      <c r="AI224" s="123" t="s">
        <v>917</v>
      </c>
      <c r="AJ224" s="123"/>
      <c r="AK224">
        <f>VLOOKUP(AD224,Sessions!A:K,11,FALSE)</f>
        <v>1</v>
      </c>
      <c r="AL224">
        <v>1</v>
      </c>
    </row>
    <row r="225" spans="1:38" ht="15.95" customHeight="1">
      <c r="A225" s="130">
        <v>45471.254166666666</v>
      </c>
      <c r="B225" s="131" t="s">
        <v>729</v>
      </c>
      <c r="C225" s="131" t="s">
        <v>375</v>
      </c>
      <c r="D225" s="131" t="s">
        <v>376</v>
      </c>
      <c r="E225" s="131" t="s">
        <v>122</v>
      </c>
      <c r="F225" s="145" t="s">
        <v>930</v>
      </c>
      <c r="G225" s="145"/>
      <c r="H225" s="145"/>
      <c r="I225" s="145"/>
      <c r="J225" s="131" t="s">
        <v>974</v>
      </c>
      <c r="K225" s="146">
        <v>29</v>
      </c>
      <c r="L225" s="130">
        <v>45473.583333333336</v>
      </c>
      <c r="M225" s="130"/>
      <c r="N225" s="130"/>
      <c r="O225" s="130"/>
      <c r="P225" s="131">
        <v>1</v>
      </c>
      <c r="Q225" s="131"/>
      <c r="R225" s="131" t="s">
        <v>970</v>
      </c>
      <c r="S225" s="131" t="s">
        <v>733</v>
      </c>
      <c r="T225" s="131">
        <v>27</v>
      </c>
      <c r="U225" s="131" t="s">
        <v>375</v>
      </c>
      <c r="V225" s="131" t="s">
        <v>376</v>
      </c>
      <c r="W225" s="131" t="s">
        <v>122</v>
      </c>
      <c r="X225" s="131"/>
      <c r="Y225" s="131"/>
      <c r="Z225" s="131"/>
      <c r="AA225" s="131"/>
      <c r="AB225" s="131"/>
      <c r="AC225" s="131"/>
      <c r="AD225" s="126">
        <f t="shared" si="22"/>
        <v>29</v>
      </c>
      <c r="AE225" s="123" t="str">
        <f t="shared" si="20"/>
        <v>Blockbuster: Sargent &amp;amp; Fashion at Tate Britain - followed by pub drinks</v>
      </c>
      <c r="AF225" s="124">
        <f t="shared" si="23"/>
        <v>45473.583333333336</v>
      </c>
      <c r="AG225" s="123">
        <f t="shared" si="21"/>
        <v>6</v>
      </c>
      <c r="AH225" s="123">
        <f t="shared" si="18"/>
        <v>0</v>
      </c>
      <c r="AI225" s="123" t="s">
        <v>917</v>
      </c>
      <c r="AJ225" s="123"/>
      <c r="AK225">
        <f>VLOOKUP(AD225,Sessions!A:K,11,FALSE)</f>
        <v>1</v>
      </c>
      <c r="AL225">
        <v>1</v>
      </c>
    </row>
    <row r="226" spans="1:38" ht="15.95" customHeight="1">
      <c r="A226" s="130">
        <v>45459.527083333334</v>
      </c>
      <c r="B226" s="131" t="s">
        <v>729</v>
      </c>
      <c r="C226" s="131" t="s">
        <v>656</v>
      </c>
      <c r="D226" s="131" t="s">
        <v>657</v>
      </c>
      <c r="E226" s="131" t="s">
        <v>655</v>
      </c>
      <c r="F226" s="131">
        <v>7815759788</v>
      </c>
      <c r="G226" s="131"/>
      <c r="H226" s="131"/>
      <c r="I226" s="131"/>
      <c r="J226" s="131" t="s">
        <v>974</v>
      </c>
      <c r="K226" s="146">
        <v>29</v>
      </c>
      <c r="L226" s="130">
        <v>45473.583333333336</v>
      </c>
      <c r="M226" s="130"/>
      <c r="N226" s="130"/>
      <c r="O226" s="130"/>
      <c r="P226" s="131">
        <v>1</v>
      </c>
      <c r="Q226" s="131"/>
      <c r="R226" s="131" t="s">
        <v>970</v>
      </c>
      <c r="S226" s="131" t="s">
        <v>733</v>
      </c>
      <c r="T226" s="131">
        <v>27</v>
      </c>
      <c r="U226" s="131" t="s">
        <v>656</v>
      </c>
      <c r="V226" s="131" t="s">
        <v>657</v>
      </c>
      <c r="W226" s="131" t="s">
        <v>655</v>
      </c>
      <c r="X226" s="131"/>
      <c r="Y226" s="131"/>
      <c r="Z226" s="131"/>
      <c r="AA226" s="131"/>
      <c r="AB226" s="131" t="s">
        <v>936</v>
      </c>
      <c r="AC226" s="131"/>
      <c r="AD226" s="126">
        <f t="shared" si="22"/>
        <v>29</v>
      </c>
      <c r="AE226" s="123" t="str">
        <f t="shared" si="20"/>
        <v>Blockbuster: Sargent &amp;amp; Fashion at Tate Britain - followed by pub drinks</v>
      </c>
      <c r="AF226" s="124">
        <f t="shared" si="23"/>
        <v>45473.583333333336</v>
      </c>
      <c r="AG226" s="123">
        <f t="shared" si="21"/>
        <v>6</v>
      </c>
      <c r="AH226" s="123" t="str">
        <f t="shared" si="18"/>
        <v>erelexpmlt</v>
      </c>
      <c r="AI226" s="123" t="s">
        <v>917</v>
      </c>
      <c r="AJ226" s="123"/>
      <c r="AK226">
        <f>VLOOKUP(AD226,Sessions!A:K,11,FALSE)</f>
        <v>1</v>
      </c>
      <c r="AL226">
        <v>1</v>
      </c>
    </row>
    <row r="227" spans="1:38" ht="15.95" customHeight="1">
      <c r="A227" s="130">
        <v>45473.249305555553</v>
      </c>
      <c r="B227" s="131" t="s">
        <v>729</v>
      </c>
      <c r="C227" s="131" t="s">
        <v>572</v>
      </c>
      <c r="D227" s="131" t="s">
        <v>573</v>
      </c>
      <c r="E227" s="131" t="s">
        <v>571</v>
      </c>
      <c r="F227" s="131">
        <v>7301979131</v>
      </c>
      <c r="G227" s="131"/>
      <c r="H227" s="131"/>
      <c r="I227" s="131"/>
      <c r="J227" s="131" t="s">
        <v>974</v>
      </c>
      <c r="K227" s="146">
        <v>29</v>
      </c>
      <c r="L227" s="130">
        <v>45473.583333333336</v>
      </c>
      <c r="M227" s="130"/>
      <c r="N227" s="130"/>
      <c r="O227" s="130"/>
      <c r="P227" s="131">
        <v>1</v>
      </c>
      <c r="Q227" s="131"/>
      <c r="R227" s="131" t="s">
        <v>970</v>
      </c>
      <c r="S227" s="131" t="s">
        <v>733</v>
      </c>
      <c r="T227" s="131">
        <v>27</v>
      </c>
      <c r="U227" s="131" t="s">
        <v>572</v>
      </c>
      <c r="V227" s="131" t="s">
        <v>573</v>
      </c>
      <c r="W227" s="131" t="s">
        <v>571</v>
      </c>
      <c r="X227" s="131"/>
      <c r="Y227" s="131"/>
      <c r="Z227" s="131"/>
      <c r="AA227" s="131"/>
      <c r="AB227" s="131" t="s">
        <v>817</v>
      </c>
      <c r="AC227" s="131"/>
      <c r="AD227" s="126">
        <f t="shared" si="22"/>
        <v>29</v>
      </c>
      <c r="AE227" s="123" t="str">
        <f t="shared" si="20"/>
        <v>Blockbuster: Sargent &amp;amp; Fashion at Tate Britain - followed by pub drinks</v>
      </c>
      <c r="AF227" s="124">
        <f t="shared" si="23"/>
        <v>45473.583333333336</v>
      </c>
      <c r="AG227" s="123">
        <f t="shared" si="21"/>
        <v>6</v>
      </c>
      <c r="AH227" s="123" t="str">
        <f t="shared" si="18"/>
        <v>WhatsApp</v>
      </c>
      <c r="AI227" s="123" t="s">
        <v>917</v>
      </c>
      <c r="AJ227" s="123"/>
      <c r="AK227">
        <f>VLOOKUP(AD227,Sessions!A:K,11,FALSE)</f>
        <v>1</v>
      </c>
      <c r="AL227">
        <v>1</v>
      </c>
    </row>
    <row r="228" spans="1:38" ht="15.95" customHeight="1">
      <c r="A228" s="130">
        <v>45472.127083333333</v>
      </c>
      <c r="B228" s="131" t="s">
        <v>729</v>
      </c>
      <c r="C228" s="131" t="s">
        <v>659</v>
      </c>
      <c r="D228" s="131" t="s">
        <v>660</v>
      </c>
      <c r="E228" s="131" t="s">
        <v>658</v>
      </c>
      <c r="F228" s="131">
        <v>7896634620</v>
      </c>
      <c r="G228" s="131"/>
      <c r="H228" s="131"/>
      <c r="I228" s="131"/>
      <c r="J228" s="131" t="s">
        <v>974</v>
      </c>
      <c r="K228" s="146">
        <v>29</v>
      </c>
      <c r="L228" s="130">
        <v>45473.583333333336</v>
      </c>
      <c r="M228" s="130"/>
      <c r="N228" s="130"/>
      <c r="O228" s="130"/>
      <c r="P228" s="131">
        <v>1</v>
      </c>
      <c r="Q228" s="131"/>
      <c r="R228" s="131" t="s">
        <v>970</v>
      </c>
      <c r="S228" s="131" t="s">
        <v>733</v>
      </c>
      <c r="T228" s="131">
        <v>27</v>
      </c>
      <c r="U228" s="131" t="s">
        <v>659</v>
      </c>
      <c r="V228" s="131" t="s">
        <v>660</v>
      </c>
      <c r="W228" s="131" t="s">
        <v>658</v>
      </c>
      <c r="X228" s="131"/>
      <c r="Y228" s="131"/>
      <c r="Z228" s="131"/>
      <c r="AA228" s="131"/>
      <c r="AB228" s="131" t="s">
        <v>817</v>
      </c>
      <c r="AC228" s="131"/>
      <c r="AD228" s="126">
        <f t="shared" si="22"/>
        <v>29</v>
      </c>
      <c r="AE228" s="123" t="str">
        <f t="shared" si="20"/>
        <v>Blockbuster: Sargent &amp;amp; Fashion at Tate Britain - followed by pub drinks</v>
      </c>
      <c r="AF228" s="124">
        <f t="shared" si="23"/>
        <v>45473.583333333336</v>
      </c>
      <c r="AG228" s="123">
        <f t="shared" si="21"/>
        <v>6</v>
      </c>
      <c r="AH228" s="123" t="str">
        <f t="shared" si="18"/>
        <v>WhatsApp</v>
      </c>
      <c r="AI228" s="123" t="s">
        <v>917</v>
      </c>
      <c r="AJ228" s="123"/>
      <c r="AK228">
        <f>VLOOKUP(AD228,Sessions!A:K,11,FALSE)</f>
        <v>1</v>
      </c>
      <c r="AL228">
        <v>1</v>
      </c>
    </row>
    <row r="229" spans="1:38" ht="15.95" customHeight="1">
      <c r="A229" s="130">
        <v>45472.26666666667</v>
      </c>
      <c r="B229" s="131" t="s">
        <v>729</v>
      </c>
      <c r="C229" s="131" t="s">
        <v>659</v>
      </c>
      <c r="D229" s="131" t="s">
        <v>660</v>
      </c>
      <c r="E229" s="131" t="s">
        <v>658</v>
      </c>
      <c r="F229" s="131"/>
      <c r="G229" s="131"/>
      <c r="H229" s="131"/>
      <c r="I229" s="131"/>
      <c r="J229" s="131" t="s">
        <v>974</v>
      </c>
      <c r="K229" s="146">
        <v>29</v>
      </c>
      <c r="L229" s="130">
        <v>45473.583333333336</v>
      </c>
      <c r="M229" s="130"/>
      <c r="N229" s="130"/>
      <c r="O229" s="130"/>
      <c r="P229" s="131">
        <v>1</v>
      </c>
      <c r="Q229" s="131"/>
      <c r="R229" s="131" t="s">
        <v>970</v>
      </c>
      <c r="S229" s="131" t="s">
        <v>733</v>
      </c>
      <c r="T229" s="131">
        <v>27</v>
      </c>
      <c r="U229" s="131" t="s">
        <v>659</v>
      </c>
      <c r="V229" s="131" t="s">
        <v>660</v>
      </c>
      <c r="W229" s="131" t="s">
        <v>658</v>
      </c>
      <c r="X229" s="131"/>
      <c r="Y229" s="131"/>
      <c r="Z229" s="131"/>
      <c r="AA229" s="131"/>
      <c r="AB229" s="131" t="s">
        <v>817</v>
      </c>
      <c r="AC229" s="131"/>
      <c r="AD229" s="126">
        <f t="shared" si="22"/>
        <v>29</v>
      </c>
      <c r="AE229" s="123" t="str">
        <f t="shared" si="20"/>
        <v>Blockbuster: Sargent &amp;amp; Fashion at Tate Britain - followed by pub drinks</v>
      </c>
      <c r="AF229" s="124">
        <f t="shared" si="23"/>
        <v>45473.583333333336</v>
      </c>
      <c r="AG229" s="123">
        <f t="shared" si="21"/>
        <v>6</v>
      </c>
      <c r="AH229" s="123" t="str">
        <f t="shared" si="18"/>
        <v>WhatsApp</v>
      </c>
      <c r="AI229" s="123" t="s">
        <v>917</v>
      </c>
      <c r="AJ229" s="123"/>
      <c r="AK229">
        <f>VLOOKUP(AD229,Sessions!A:K,11,FALSE)</f>
        <v>1</v>
      </c>
      <c r="AL229">
        <v>1</v>
      </c>
    </row>
    <row r="230" spans="1:38" ht="15.75" customHeight="1">
      <c r="A230" s="130">
        <v>45471.54583333333</v>
      </c>
      <c r="B230" s="131" t="s">
        <v>729</v>
      </c>
      <c r="C230" s="131" t="s">
        <v>375</v>
      </c>
      <c r="D230" s="131" t="s">
        <v>376</v>
      </c>
      <c r="E230" s="131" t="s">
        <v>122</v>
      </c>
      <c r="F230" s="145" t="s">
        <v>930</v>
      </c>
      <c r="G230" s="145"/>
      <c r="H230" s="145"/>
      <c r="I230" s="145"/>
      <c r="J230" s="131" t="s">
        <v>975</v>
      </c>
      <c r="K230" s="146">
        <v>32</v>
      </c>
      <c r="L230" s="130">
        <v>45480.583333333336</v>
      </c>
      <c r="M230" s="130"/>
      <c r="N230" s="130"/>
      <c r="O230" s="130"/>
      <c r="P230" s="131">
        <v>1</v>
      </c>
      <c r="Q230" s="131"/>
      <c r="R230" s="131" t="s">
        <v>976</v>
      </c>
      <c r="S230" s="131" t="s">
        <v>733</v>
      </c>
      <c r="T230" s="131">
        <v>30</v>
      </c>
      <c r="U230" s="131" t="s">
        <v>375</v>
      </c>
      <c r="V230" s="131" t="s">
        <v>376</v>
      </c>
      <c r="W230" s="131" t="s">
        <v>122</v>
      </c>
      <c r="X230" s="131"/>
      <c r="Y230" s="131"/>
      <c r="Z230" s="131"/>
      <c r="AA230" s="131"/>
      <c r="AB230" s="131"/>
      <c r="AC230" s="131"/>
      <c r="AD230" s="126">
        <f t="shared" si="22"/>
        <v>32</v>
      </c>
      <c r="AE230" s="123" t="str">
        <f t="shared" si="20"/>
        <v>Visit the Royal Academy's  Summer Exhibition</v>
      </c>
      <c r="AF230" s="124">
        <f t="shared" si="23"/>
        <v>45480.583333333336</v>
      </c>
      <c r="AG230" s="123">
        <f t="shared" si="21"/>
        <v>7</v>
      </c>
      <c r="AH230" s="123">
        <f t="shared" si="18"/>
        <v>0</v>
      </c>
      <c r="AI230" s="123" t="s">
        <v>917</v>
      </c>
      <c r="AJ230" s="123"/>
      <c r="AK230">
        <f>VLOOKUP(AD230,Sessions!A:K,11,FALSE)</f>
        <v>1</v>
      </c>
      <c r="AL230">
        <v>1</v>
      </c>
    </row>
    <row r="231" spans="1:38" ht="15.75" customHeight="1">
      <c r="A231" s="130">
        <v>45473.270833333336</v>
      </c>
      <c r="B231" s="131" t="s">
        <v>729</v>
      </c>
      <c r="C231" s="131" t="s">
        <v>668</v>
      </c>
      <c r="D231" s="131" t="s">
        <v>669</v>
      </c>
      <c r="E231" s="131" t="s">
        <v>667</v>
      </c>
      <c r="F231" s="131">
        <v>7940537644</v>
      </c>
      <c r="G231" s="131"/>
      <c r="H231" s="131"/>
      <c r="I231" s="131"/>
      <c r="J231" s="131" t="s">
        <v>975</v>
      </c>
      <c r="K231" s="146">
        <v>32</v>
      </c>
      <c r="L231" s="130">
        <v>45480.583333333336</v>
      </c>
      <c r="M231" s="130"/>
      <c r="N231" s="130"/>
      <c r="O231" s="130"/>
      <c r="P231" s="131">
        <v>1</v>
      </c>
      <c r="Q231" s="131"/>
      <c r="R231" s="131" t="s">
        <v>976</v>
      </c>
      <c r="S231" s="131" t="s">
        <v>733</v>
      </c>
      <c r="T231" s="131">
        <v>30</v>
      </c>
      <c r="U231" s="131" t="s">
        <v>668</v>
      </c>
      <c r="V231" s="131" t="s">
        <v>669</v>
      </c>
      <c r="W231" s="131" t="s">
        <v>667</v>
      </c>
      <c r="X231" s="131"/>
      <c r="Y231" s="131"/>
      <c r="Z231" s="131"/>
      <c r="AA231" s="131"/>
      <c r="AB231" s="131" t="s">
        <v>874</v>
      </c>
      <c r="AC231" s="131"/>
      <c r="AD231" s="126">
        <f t="shared" si="22"/>
        <v>32</v>
      </c>
      <c r="AE231" s="123" t="str">
        <f t="shared" si="20"/>
        <v>Visit the Royal Academy's  Summer Exhibition</v>
      </c>
      <c r="AF231" s="124">
        <f t="shared" si="23"/>
        <v>45480.583333333336</v>
      </c>
      <c r="AG231" s="123">
        <f t="shared" si="21"/>
        <v>7</v>
      </c>
      <c r="AH231" s="123" t="str">
        <f t="shared" si="18"/>
        <v>ebesessearch</v>
      </c>
      <c r="AI231" s="123" t="s">
        <v>917</v>
      </c>
      <c r="AJ231" s="123"/>
      <c r="AK231">
        <f>VLOOKUP(AD231,Sessions!A:K,11,FALSE)</f>
        <v>1</v>
      </c>
      <c r="AL231">
        <v>1</v>
      </c>
    </row>
    <row r="232" spans="1:38" ht="15.75" customHeight="1">
      <c r="A232" s="130">
        <v>45474.531944444447</v>
      </c>
      <c r="B232" s="131" t="s">
        <v>729</v>
      </c>
      <c r="C232" s="131" t="s">
        <v>447</v>
      </c>
      <c r="D232" s="131" t="s">
        <v>448</v>
      </c>
      <c r="E232" s="131" t="s">
        <v>446</v>
      </c>
      <c r="F232" s="145" t="s">
        <v>932</v>
      </c>
      <c r="G232" s="145"/>
      <c r="H232" s="145"/>
      <c r="I232" s="145"/>
      <c r="J232" s="131" t="s">
        <v>975</v>
      </c>
      <c r="K232" s="146">
        <v>32</v>
      </c>
      <c r="L232" s="130">
        <v>45480.583333333336</v>
      </c>
      <c r="M232" s="130"/>
      <c r="N232" s="130"/>
      <c r="O232" s="130"/>
      <c r="P232" s="131">
        <v>1</v>
      </c>
      <c r="Q232" s="131"/>
      <c r="R232" s="131" t="s">
        <v>976</v>
      </c>
      <c r="S232" s="131" t="s">
        <v>733</v>
      </c>
      <c r="T232" s="131">
        <v>30</v>
      </c>
      <c r="U232" s="131" t="s">
        <v>447</v>
      </c>
      <c r="V232" s="131" t="s">
        <v>448</v>
      </c>
      <c r="W232" s="131" t="s">
        <v>446</v>
      </c>
      <c r="X232" s="131"/>
      <c r="Y232" s="131"/>
      <c r="Z232" s="131"/>
      <c r="AA232" s="131"/>
      <c r="AB232" s="131"/>
      <c r="AC232" s="131"/>
      <c r="AD232" s="126">
        <f t="shared" si="22"/>
        <v>32</v>
      </c>
      <c r="AE232" s="123" t="str">
        <f t="shared" si="20"/>
        <v>Visit the Royal Academy's  Summer Exhibition</v>
      </c>
      <c r="AF232" s="124">
        <f t="shared" si="23"/>
        <v>45480.583333333336</v>
      </c>
      <c r="AG232" s="123">
        <f t="shared" ref="AG232:AG263" si="24">MONTH(AF232)</f>
        <v>7</v>
      </c>
      <c r="AH232" s="123">
        <f t="shared" ref="AH232:AH290" si="25">AB232</f>
        <v>0</v>
      </c>
      <c r="AI232" s="123" t="s">
        <v>917</v>
      </c>
      <c r="AJ232" s="123"/>
      <c r="AK232">
        <f>VLOOKUP(AD232,Sessions!A:K,11,FALSE)</f>
        <v>1</v>
      </c>
      <c r="AL232">
        <v>1</v>
      </c>
    </row>
    <row r="233" spans="1:38" ht="15.75" customHeight="1">
      <c r="A233" s="130">
        <v>45474.544444444444</v>
      </c>
      <c r="B233" s="131" t="s">
        <v>729</v>
      </c>
      <c r="C233" s="131" t="s">
        <v>310</v>
      </c>
      <c r="D233" s="131" t="s">
        <v>311</v>
      </c>
      <c r="E233" s="131" t="s">
        <v>125</v>
      </c>
      <c r="F233" s="145" t="s">
        <v>967</v>
      </c>
      <c r="G233" s="145"/>
      <c r="H233" s="145"/>
      <c r="I233" s="145"/>
      <c r="J233" s="131" t="s">
        <v>975</v>
      </c>
      <c r="K233" s="146">
        <v>32</v>
      </c>
      <c r="L233" s="130">
        <v>45480.583333333336</v>
      </c>
      <c r="M233" s="130"/>
      <c r="N233" s="130"/>
      <c r="O233" s="130"/>
      <c r="P233" s="131">
        <v>1</v>
      </c>
      <c r="Q233" s="131"/>
      <c r="R233" s="131" t="s">
        <v>976</v>
      </c>
      <c r="S233" s="131" t="s">
        <v>733</v>
      </c>
      <c r="T233" s="131">
        <v>30</v>
      </c>
      <c r="U233" s="131" t="s">
        <v>310</v>
      </c>
      <c r="V233" s="131" t="s">
        <v>311</v>
      </c>
      <c r="W233" s="131" t="s">
        <v>125</v>
      </c>
      <c r="X233" s="131"/>
      <c r="Y233" s="131"/>
      <c r="Z233" s="131"/>
      <c r="AA233" s="131"/>
      <c r="AB233" s="131"/>
      <c r="AC233" s="131"/>
      <c r="AD233" s="126">
        <f t="shared" si="22"/>
        <v>32</v>
      </c>
      <c r="AE233" s="123" t="str">
        <f t="shared" si="20"/>
        <v>Visit the Royal Academy's  Summer Exhibition</v>
      </c>
      <c r="AF233" s="124">
        <f t="shared" si="23"/>
        <v>45480.583333333336</v>
      </c>
      <c r="AG233" s="123">
        <f t="shared" si="24"/>
        <v>7</v>
      </c>
      <c r="AH233" s="123">
        <f t="shared" si="25"/>
        <v>0</v>
      </c>
      <c r="AI233" s="123" t="s">
        <v>917</v>
      </c>
      <c r="AJ233" s="123"/>
      <c r="AK233">
        <f>VLOOKUP(AD233,Sessions!A:K,11,FALSE)</f>
        <v>1</v>
      </c>
      <c r="AL233">
        <v>1</v>
      </c>
    </row>
    <row r="234" spans="1:38" ht="15.75" customHeight="1">
      <c r="A234" s="130">
        <v>45477.147222222222</v>
      </c>
      <c r="B234" s="131" t="s">
        <v>729</v>
      </c>
      <c r="C234" s="131" t="s">
        <v>977</v>
      </c>
      <c r="D234" s="131" t="s">
        <v>568</v>
      </c>
      <c r="E234" s="131" t="s">
        <v>567</v>
      </c>
      <c r="F234" s="131">
        <v>7925774705</v>
      </c>
      <c r="G234" s="131"/>
      <c r="H234" s="131"/>
      <c r="I234" s="131"/>
      <c r="J234" s="131" t="s">
        <v>975</v>
      </c>
      <c r="K234" s="146">
        <v>32</v>
      </c>
      <c r="L234" s="130">
        <v>45480.583333333336</v>
      </c>
      <c r="M234" s="130"/>
      <c r="N234" s="130"/>
      <c r="O234" s="130"/>
      <c r="P234" s="131">
        <v>1</v>
      </c>
      <c r="Q234" s="131"/>
      <c r="R234" s="131" t="s">
        <v>976</v>
      </c>
      <c r="S234" s="131" t="s">
        <v>733</v>
      </c>
      <c r="T234" s="131">
        <v>30</v>
      </c>
      <c r="U234" s="131" t="s">
        <v>977</v>
      </c>
      <c r="V234" s="131" t="s">
        <v>568</v>
      </c>
      <c r="W234" s="131" t="s">
        <v>567</v>
      </c>
      <c r="X234" s="131"/>
      <c r="Y234" s="131"/>
      <c r="Z234" s="131"/>
      <c r="AA234" s="131"/>
      <c r="AB234" s="131" t="s">
        <v>817</v>
      </c>
      <c r="AC234" s="131"/>
      <c r="AD234" s="126">
        <f t="shared" si="22"/>
        <v>32</v>
      </c>
      <c r="AE234" s="123" t="str">
        <f t="shared" si="20"/>
        <v>Visit the Royal Academy's  Summer Exhibition</v>
      </c>
      <c r="AF234" s="124">
        <f t="shared" si="23"/>
        <v>45480.583333333336</v>
      </c>
      <c r="AG234" s="123">
        <f t="shared" si="24"/>
        <v>7</v>
      </c>
      <c r="AH234" s="123" t="str">
        <f t="shared" si="25"/>
        <v>WhatsApp</v>
      </c>
      <c r="AI234" s="123" t="s">
        <v>917</v>
      </c>
      <c r="AJ234" s="123"/>
      <c r="AK234">
        <f>VLOOKUP(AD234,Sessions!A:K,11,FALSE)</f>
        <v>1</v>
      </c>
      <c r="AL234">
        <v>1</v>
      </c>
    </row>
    <row r="235" spans="1:38" ht="15.75" customHeight="1">
      <c r="A235" s="130">
        <v>45478.279166666667</v>
      </c>
      <c r="B235" s="131" t="s">
        <v>729</v>
      </c>
      <c r="C235" s="131" t="s">
        <v>417</v>
      </c>
      <c r="D235" s="131" t="s">
        <v>418</v>
      </c>
      <c r="E235" s="131" t="s">
        <v>148</v>
      </c>
      <c r="F235" s="145" t="s">
        <v>946</v>
      </c>
      <c r="G235" s="145"/>
      <c r="H235" s="145"/>
      <c r="I235" s="145"/>
      <c r="J235" s="131" t="s">
        <v>975</v>
      </c>
      <c r="K235" s="146">
        <v>32</v>
      </c>
      <c r="L235" s="130">
        <v>45480.583333333336</v>
      </c>
      <c r="M235" s="130"/>
      <c r="N235" s="130"/>
      <c r="O235" s="130"/>
      <c r="P235" s="131">
        <v>1</v>
      </c>
      <c r="Q235" s="131"/>
      <c r="R235" s="131" t="s">
        <v>976</v>
      </c>
      <c r="S235" s="131" t="s">
        <v>733</v>
      </c>
      <c r="T235" s="131">
        <v>30</v>
      </c>
      <c r="U235" s="131" t="s">
        <v>417</v>
      </c>
      <c r="V235" s="131" t="s">
        <v>418</v>
      </c>
      <c r="W235" s="131" t="s">
        <v>148</v>
      </c>
      <c r="X235" s="131"/>
      <c r="Y235" s="131"/>
      <c r="Z235" s="131"/>
      <c r="AA235" s="131"/>
      <c r="AB235" s="131"/>
      <c r="AC235" s="131"/>
      <c r="AD235" s="126">
        <f t="shared" si="22"/>
        <v>32</v>
      </c>
      <c r="AE235" s="123" t="str">
        <f t="shared" si="20"/>
        <v>Visit the Royal Academy's  Summer Exhibition</v>
      </c>
      <c r="AF235" s="124">
        <f t="shared" si="23"/>
        <v>45480.583333333336</v>
      </c>
      <c r="AG235" s="123">
        <f t="shared" si="24"/>
        <v>7</v>
      </c>
      <c r="AH235" s="123">
        <f t="shared" si="25"/>
        <v>0</v>
      </c>
      <c r="AI235" s="123" t="s">
        <v>917</v>
      </c>
      <c r="AJ235" s="123"/>
      <c r="AK235">
        <f>VLOOKUP(AD235,Sessions!A:K,11,FALSE)</f>
        <v>1</v>
      </c>
      <c r="AL235">
        <v>1</v>
      </c>
    </row>
    <row r="236" spans="1:38" ht="15.75" customHeight="1">
      <c r="A236" s="130">
        <v>45478.311111111114</v>
      </c>
      <c r="B236" s="131" t="s">
        <v>729</v>
      </c>
      <c r="C236" s="131" t="s">
        <v>538</v>
      </c>
      <c r="D236" s="131" t="s">
        <v>539</v>
      </c>
      <c r="E236" s="131" t="s">
        <v>128</v>
      </c>
      <c r="F236" s="145" t="s">
        <v>961</v>
      </c>
      <c r="G236" s="145"/>
      <c r="H236" s="145"/>
      <c r="I236" s="145"/>
      <c r="J236" s="131" t="s">
        <v>975</v>
      </c>
      <c r="K236" s="146">
        <v>32</v>
      </c>
      <c r="L236" s="130">
        <v>45480.583333333336</v>
      </c>
      <c r="M236" s="130"/>
      <c r="N236" s="130"/>
      <c r="O236" s="130"/>
      <c r="P236" s="131">
        <v>1</v>
      </c>
      <c r="Q236" s="131"/>
      <c r="R236" s="131" t="s">
        <v>976</v>
      </c>
      <c r="S236" s="131" t="s">
        <v>733</v>
      </c>
      <c r="T236" s="131">
        <v>30</v>
      </c>
      <c r="U236" s="131" t="s">
        <v>538</v>
      </c>
      <c r="V236" s="131" t="s">
        <v>539</v>
      </c>
      <c r="W236" s="131" t="s">
        <v>128</v>
      </c>
      <c r="X236" s="131"/>
      <c r="Y236" s="131"/>
      <c r="Z236" s="131"/>
      <c r="AA236" s="131"/>
      <c r="AB236" s="131"/>
      <c r="AC236" s="131"/>
      <c r="AD236" s="126">
        <f t="shared" ref="AD236:AD267" si="26">K236</f>
        <v>32</v>
      </c>
      <c r="AE236" s="123" t="str">
        <f t="shared" si="20"/>
        <v>Visit the Royal Academy's  Summer Exhibition</v>
      </c>
      <c r="AF236" s="124">
        <f t="shared" si="23"/>
        <v>45480.583333333336</v>
      </c>
      <c r="AG236" s="123">
        <f t="shared" si="24"/>
        <v>7</v>
      </c>
      <c r="AH236" s="123">
        <f t="shared" si="25"/>
        <v>0</v>
      </c>
      <c r="AI236" s="123" t="s">
        <v>917</v>
      </c>
      <c r="AJ236" s="123"/>
      <c r="AK236">
        <f>VLOOKUP(AD236,Sessions!A:K,11,FALSE)</f>
        <v>1</v>
      </c>
      <c r="AL236">
        <v>1</v>
      </c>
    </row>
    <row r="237" spans="1:38" ht="15.75" customHeight="1">
      <c r="A237" s="130">
        <v>45478.355555555558</v>
      </c>
      <c r="B237" s="131" t="s">
        <v>729</v>
      </c>
      <c r="C237" s="131" t="s">
        <v>554</v>
      </c>
      <c r="D237" s="131" t="s">
        <v>555</v>
      </c>
      <c r="E237" s="131" t="s">
        <v>124</v>
      </c>
      <c r="F237" s="145" t="s">
        <v>953</v>
      </c>
      <c r="G237" s="145"/>
      <c r="H237" s="145"/>
      <c r="I237" s="145"/>
      <c r="J237" s="131" t="s">
        <v>975</v>
      </c>
      <c r="K237" s="146">
        <v>32</v>
      </c>
      <c r="L237" s="130">
        <v>45480.583333333336</v>
      </c>
      <c r="M237" s="130"/>
      <c r="N237" s="130"/>
      <c r="O237" s="130"/>
      <c r="P237" s="131">
        <v>1</v>
      </c>
      <c r="Q237" s="131"/>
      <c r="R237" s="131" t="s">
        <v>976</v>
      </c>
      <c r="S237" s="131" t="s">
        <v>733</v>
      </c>
      <c r="T237" s="131">
        <v>30</v>
      </c>
      <c r="U237" s="131" t="s">
        <v>554</v>
      </c>
      <c r="V237" s="131" t="s">
        <v>555</v>
      </c>
      <c r="W237" s="131" t="s">
        <v>124</v>
      </c>
      <c r="X237" s="131"/>
      <c r="Y237" s="131"/>
      <c r="Z237" s="131"/>
      <c r="AA237" s="131"/>
      <c r="AB237" s="131"/>
      <c r="AC237" s="131"/>
      <c r="AD237" s="126">
        <f t="shared" si="26"/>
        <v>32</v>
      </c>
      <c r="AE237" s="123" t="str">
        <f t="shared" si="20"/>
        <v>Visit the Royal Academy's  Summer Exhibition</v>
      </c>
      <c r="AF237" s="124">
        <f t="shared" si="23"/>
        <v>45480.583333333336</v>
      </c>
      <c r="AG237" s="123">
        <f t="shared" si="24"/>
        <v>7</v>
      </c>
      <c r="AH237" s="123">
        <f t="shared" si="25"/>
        <v>0</v>
      </c>
      <c r="AI237" s="123" t="s">
        <v>917</v>
      </c>
      <c r="AJ237" s="123"/>
      <c r="AK237">
        <f>VLOOKUP(AD237,Sessions!A:K,11,FALSE)</f>
        <v>1</v>
      </c>
      <c r="AL237">
        <v>1</v>
      </c>
    </row>
    <row r="238" spans="1:38" ht="15.75" customHeight="1">
      <c r="A238" s="130">
        <v>45478.452777777777</v>
      </c>
      <c r="B238" s="131" t="s">
        <v>729</v>
      </c>
      <c r="C238" s="131" t="s">
        <v>346</v>
      </c>
      <c r="D238" s="131" t="s">
        <v>347</v>
      </c>
      <c r="E238" s="131" t="s">
        <v>956</v>
      </c>
      <c r="F238" s="131">
        <v>7873956356</v>
      </c>
      <c r="G238" s="131"/>
      <c r="H238" s="131"/>
      <c r="I238" s="131"/>
      <c r="J238" s="131" t="s">
        <v>975</v>
      </c>
      <c r="K238" s="146">
        <v>32</v>
      </c>
      <c r="L238" s="130">
        <v>45480.583333333336</v>
      </c>
      <c r="M238" s="130"/>
      <c r="N238" s="130"/>
      <c r="O238" s="130"/>
      <c r="P238" s="131">
        <v>1</v>
      </c>
      <c r="Q238" s="131"/>
      <c r="R238" s="131" t="s">
        <v>976</v>
      </c>
      <c r="S238" s="131" t="s">
        <v>733</v>
      </c>
      <c r="T238" s="131">
        <v>30</v>
      </c>
      <c r="U238" s="131" t="s">
        <v>346</v>
      </c>
      <c r="V238" s="131" t="s">
        <v>347</v>
      </c>
      <c r="W238" s="131" t="s">
        <v>956</v>
      </c>
      <c r="X238" s="131"/>
      <c r="Y238" s="131"/>
      <c r="Z238" s="131"/>
      <c r="AA238" s="131"/>
      <c r="AB238" s="131" t="s">
        <v>817</v>
      </c>
      <c r="AC238" s="131"/>
      <c r="AD238" s="126">
        <f t="shared" si="26"/>
        <v>32</v>
      </c>
      <c r="AE238" s="123" t="str">
        <f t="shared" si="20"/>
        <v>Visit the Royal Academy's  Summer Exhibition</v>
      </c>
      <c r="AF238" s="124">
        <f t="shared" si="23"/>
        <v>45480.583333333336</v>
      </c>
      <c r="AG238" s="123">
        <f t="shared" si="24"/>
        <v>7</v>
      </c>
      <c r="AH238" s="123" t="str">
        <f t="shared" si="25"/>
        <v>WhatsApp</v>
      </c>
      <c r="AI238" s="123" t="s">
        <v>917</v>
      </c>
      <c r="AJ238" s="123"/>
      <c r="AK238">
        <f>VLOOKUP(AD238,Sessions!A:K,11,FALSE)</f>
        <v>1</v>
      </c>
      <c r="AL238">
        <v>1</v>
      </c>
    </row>
    <row r="239" spans="1:38" ht="15.75" customHeight="1">
      <c r="A239" s="130">
        <v>45480.106944444444</v>
      </c>
      <c r="B239" s="131" t="s">
        <v>729</v>
      </c>
      <c r="C239" s="131" t="s">
        <v>671</v>
      </c>
      <c r="D239" s="131" t="s">
        <v>672</v>
      </c>
      <c r="E239" s="131" t="s">
        <v>670</v>
      </c>
      <c r="F239" s="131">
        <v>8615811312125</v>
      </c>
      <c r="G239" s="131"/>
      <c r="H239" s="131"/>
      <c r="I239" s="131"/>
      <c r="J239" s="131" t="s">
        <v>975</v>
      </c>
      <c r="K239" s="146">
        <v>32</v>
      </c>
      <c r="L239" s="130">
        <v>45480.583333333336</v>
      </c>
      <c r="M239" s="130"/>
      <c r="N239" s="130"/>
      <c r="O239" s="130"/>
      <c r="P239" s="131">
        <v>1</v>
      </c>
      <c r="Q239" s="131"/>
      <c r="R239" s="131" t="s">
        <v>976</v>
      </c>
      <c r="S239" s="131" t="s">
        <v>733</v>
      </c>
      <c r="T239" s="131">
        <v>30</v>
      </c>
      <c r="U239" s="131" t="s">
        <v>671</v>
      </c>
      <c r="V239" s="131" t="s">
        <v>672</v>
      </c>
      <c r="W239" s="131" t="s">
        <v>670</v>
      </c>
      <c r="X239" s="131"/>
      <c r="Y239" s="131"/>
      <c r="Z239" s="131"/>
      <c r="AA239" s="131"/>
      <c r="AB239" s="131" t="s">
        <v>874</v>
      </c>
      <c r="AC239" s="131"/>
      <c r="AD239" s="126">
        <f t="shared" si="26"/>
        <v>32</v>
      </c>
      <c r="AE239" s="123" t="str">
        <f t="shared" si="20"/>
        <v>Visit the Royal Academy's  Summer Exhibition</v>
      </c>
      <c r="AF239" s="124">
        <f t="shared" si="23"/>
        <v>45480.583333333336</v>
      </c>
      <c r="AG239" s="123">
        <f t="shared" si="24"/>
        <v>7</v>
      </c>
      <c r="AH239" s="123" t="str">
        <f t="shared" si="25"/>
        <v>ebesessearch</v>
      </c>
      <c r="AI239" s="123" t="s">
        <v>917</v>
      </c>
      <c r="AJ239" s="123"/>
      <c r="AK239">
        <f>VLOOKUP(AD239,Sessions!A:K,11,FALSE)</f>
        <v>1</v>
      </c>
      <c r="AL239">
        <v>1</v>
      </c>
    </row>
    <row r="240" spans="1:38" ht="15.75" customHeight="1">
      <c r="A240" s="130">
        <v>45480.292361111111</v>
      </c>
      <c r="B240" s="131" t="s">
        <v>729</v>
      </c>
      <c r="C240" s="131" t="s">
        <v>674</v>
      </c>
      <c r="D240" s="131" t="s">
        <v>675</v>
      </c>
      <c r="E240" s="131" t="s">
        <v>673</v>
      </c>
      <c r="F240" s="131">
        <v>7983779098</v>
      </c>
      <c r="G240" s="131"/>
      <c r="H240" s="131"/>
      <c r="I240" s="131"/>
      <c r="J240" s="131" t="s">
        <v>975</v>
      </c>
      <c r="K240" s="146">
        <v>32</v>
      </c>
      <c r="L240" s="130">
        <v>45480.583333333336</v>
      </c>
      <c r="M240" s="130"/>
      <c r="N240" s="130"/>
      <c r="O240" s="130"/>
      <c r="P240" s="131">
        <v>1</v>
      </c>
      <c r="Q240" s="131"/>
      <c r="R240" s="131" t="s">
        <v>978</v>
      </c>
      <c r="S240" s="131" t="s">
        <v>733</v>
      </c>
      <c r="T240" s="131">
        <v>5</v>
      </c>
      <c r="U240" s="131" t="s">
        <v>674</v>
      </c>
      <c r="V240" s="131" t="s">
        <v>675</v>
      </c>
      <c r="W240" s="131" t="s">
        <v>673</v>
      </c>
      <c r="X240" s="131"/>
      <c r="Y240" s="131"/>
      <c r="Z240" s="131"/>
      <c r="AA240" s="131"/>
      <c r="AB240" s="131" t="s">
        <v>979</v>
      </c>
      <c r="AC240" s="131"/>
      <c r="AD240" s="126">
        <f t="shared" si="26"/>
        <v>32</v>
      </c>
      <c r="AE240" s="123" t="str">
        <f t="shared" si="20"/>
        <v>Visit the Royal Academy's  Summer Exhibition</v>
      </c>
      <c r="AF240" s="124">
        <f t="shared" si="23"/>
        <v>45480.583333333336</v>
      </c>
      <c r="AG240" s="123">
        <f t="shared" si="24"/>
        <v>7</v>
      </c>
      <c r="AH240" s="123" t="str">
        <f t="shared" si="25"/>
        <v>ebdsoporgprofile</v>
      </c>
      <c r="AI240" s="123" t="s">
        <v>917</v>
      </c>
      <c r="AJ240" s="123"/>
      <c r="AK240">
        <f>VLOOKUP(AD240,Sessions!A:K,11,FALSE)</f>
        <v>1</v>
      </c>
      <c r="AL240">
        <v>1</v>
      </c>
    </row>
    <row r="241" spans="2:38" ht="15.75" customHeight="1">
      <c r="B241" s="131" t="s">
        <v>729</v>
      </c>
      <c r="C241" t="s">
        <v>408</v>
      </c>
      <c r="D241" t="s">
        <v>409</v>
      </c>
      <c r="E241" t="s">
        <v>407</v>
      </c>
      <c r="F241" t="s">
        <v>971</v>
      </c>
      <c r="G241" t="s">
        <v>980</v>
      </c>
      <c r="H241" t="s">
        <v>981</v>
      </c>
      <c r="I241" t="s">
        <v>982</v>
      </c>
      <c r="J241" t="s">
        <v>290</v>
      </c>
      <c r="K241">
        <v>33</v>
      </c>
      <c r="L241" s="1">
        <v>45484</v>
      </c>
      <c r="M241" t="s">
        <v>983</v>
      </c>
      <c r="N241" t="s">
        <v>984</v>
      </c>
      <c r="O241" t="s">
        <v>985</v>
      </c>
      <c r="P241" t="s">
        <v>986</v>
      </c>
      <c r="Q241" t="s">
        <v>987</v>
      </c>
      <c r="R241" t="s">
        <v>988</v>
      </c>
      <c r="S241" t="s">
        <v>733</v>
      </c>
      <c r="T241" t="s">
        <v>989</v>
      </c>
      <c r="U241" t="s">
        <v>408</v>
      </c>
      <c r="V241" t="s">
        <v>409</v>
      </c>
      <c r="W241" t="s">
        <v>407</v>
      </c>
      <c r="X241" t="s">
        <v>987</v>
      </c>
      <c r="Y241" t="s">
        <v>987</v>
      </c>
      <c r="Z241" t="s">
        <v>987</v>
      </c>
      <c r="AA241" t="s">
        <v>990</v>
      </c>
      <c r="AD241" s="126">
        <f t="shared" si="26"/>
        <v>33</v>
      </c>
      <c r="AE241" s="123" t="str">
        <f t="shared" si="20"/>
        <v>Open Garden Evening with Live Jazz at The Charterhouse</v>
      </c>
      <c r="AF241" s="124">
        <f t="shared" si="23"/>
        <v>45484</v>
      </c>
      <c r="AG241" s="123">
        <f t="shared" si="24"/>
        <v>7</v>
      </c>
      <c r="AH241" s="123">
        <f t="shared" si="25"/>
        <v>0</v>
      </c>
      <c r="AI241" s="123" t="s">
        <v>917</v>
      </c>
      <c r="AJ241" s="123"/>
      <c r="AK241">
        <f>VLOOKUP(AD241,Sessions!A:K,11,FALSE)</f>
        <v>1</v>
      </c>
      <c r="AL241">
        <v>1</v>
      </c>
    </row>
    <row r="242" spans="2:38" ht="15.75" customHeight="1">
      <c r="B242" s="131" t="s">
        <v>729</v>
      </c>
      <c r="C242" t="s">
        <v>367</v>
      </c>
      <c r="D242" t="s">
        <v>368</v>
      </c>
      <c r="E242" t="s">
        <v>130</v>
      </c>
      <c r="F242" t="s">
        <v>941</v>
      </c>
      <c r="G242" t="s">
        <v>980</v>
      </c>
      <c r="H242" t="s">
        <v>981</v>
      </c>
      <c r="I242" t="s">
        <v>982</v>
      </c>
      <c r="J242" t="s">
        <v>290</v>
      </c>
      <c r="K242">
        <v>33</v>
      </c>
      <c r="L242" s="1">
        <v>45484</v>
      </c>
      <c r="M242" t="s">
        <v>983</v>
      </c>
      <c r="N242" t="s">
        <v>984</v>
      </c>
      <c r="O242" t="s">
        <v>985</v>
      </c>
      <c r="P242" t="s">
        <v>986</v>
      </c>
      <c r="Q242" t="s">
        <v>987</v>
      </c>
      <c r="R242" t="s">
        <v>988</v>
      </c>
      <c r="S242" t="s">
        <v>733</v>
      </c>
      <c r="T242" t="s">
        <v>989</v>
      </c>
      <c r="U242" t="s">
        <v>367</v>
      </c>
      <c r="V242" t="s">
        <v>368</v>
      </c>
      <c r="W242" t="s">
        <v>130</v>
      </c>
      <c r="X242" t="s">
        <v>987</v>
      </c>
      <c r="Y242" t="s">
        <v>987</v>
      </c>
      <c r="Z242" t="s">
        <v>987</v>
      </c>
      <c r="AA242" t="s">
        <v>991</v>
      </c>
      <c r="AD242" s="126">
        <f t="shared" si="26"/>
        <v>33</v>
      </c>
      <c r="AE242" s="123" t="str">
        <f t="shared" si="20"/>
        <v>Open Garden Evening with Live Jazz at The Charterhouse</v>
      </c>
      <c r="AF242" s="124">
        <f t="shared" si="23"/>
        <v>45484</v>
      </c>
      <c r="AG242" s="123">
        <f t="shared" si="24"/>
        <v>7</v>
      </c>
      <c r="AH242" s="123">
        <f t="shared" si="25"/>
        <v>0</v>
      </c>
      <c r="AI242" s="123" t="s">
        <v>917</v>
      </c>
      <c r="AJ242" s="123"/>
      <c r="AK242">
        <f>VLOOKUP(AD242,Sessions!A:K,11,FALSE)</f>
        <v>1</v>
      </c>
      <c r="AL242">
        <v>1</v>
      </c>
    </row>
    <row r="243" spans="2:38" ht="15.75" customHeight="1">
      <c r="B243" s="131" t="s">
        <v>729</v>
      </c>
      <c r="C243" t="s">
        <v>662</v>
      </c>
      <c r="D243" t="s">
        <v>663</v>
      </c>
      <c r="E243" t="s">
        <v>661</v>
      </c>
      <c r="F243" t="s">
        <v>992</v>
      </c>
      <c r="G243" t="s">
        <v>993</v>
      </c>
      <c r="H243" t="s">
        <v>994</v>
      </c>
      <c r="I243" t="s">
        <v>995</v>
      </c>
      <c r="J243" t="s">
        <v>290</v>
      </c>
      <c r="K243">
        <v>33</v>
      </c>
      <c r="L243" s="1">
        <v>45484</v>
      </c>
      <c r="M243" t="s">
        <v>983</v>
      </c>
      <c r="N243" t="s">
        <v>984</v>
      </c>
      <c r="O243" t="s">
        <v>985</v>
      </c>
      <c r="P243" t="s">
        <v>986</v>
      </c>
      <c r="Q243" t="s">
        <v>987</v>
      </c>
      <c r="R243" t="s">
        <v>988</v>
      </c>
      <c r="S243" t="s">
        <v>733</v>
      </c>
      <c r="T243" t="s">
        <v>989</v>
      </c>
      <c r="U243" t="s">
        <v>662</v>
      </c>
      <c r="V243" t="s">
        <v>663</v>
      </c>
      <c r="W243" t="s">
        <v>661</v>
      </c>
      <c r="X243" t="s">
        <v>987</v>
      </c>
      <c r="Y243" t="s">
        <v>987</v>
      </c>
      <c r="Z243" t="s">
        <v>987</v>
      </c>
      <c r="AA243" t="s">
        <v>996</v>
      </c>
      <c r="AD243" s="126">
        <f t="shared" si="26"/>
        <v>33</v>
      </c>
      <c r="AE243" s="123" t="str">
        <f t="shared" si="20"/>
        <v>Open Garden Evening with Live Jazz at The Charterhouse</v>
      </c>
      <c r="AF243" s="124">
        <f t="shared" si="23"/>
        <v>45484</v>
      </c>
      <c r="AG243" s="123">
        <f t="shared" si="24"/>
        <v>7</v>
      </c>
      <c r="AH243" s="123">
        <f t="shared" si="25"/>
        <v>0</v>
      </c>
      <c r="AI243" s="123" t="s">
        <v>917</v>
      </c>
      <c r="AJ243" s="123"/>
      <c r="AK243">
        <f>VLOOKUP(AD243,Sessions!A:K,11,FALSE)</f>
        <v>1</v>
      </c>
      <c r="AL243">
        <v>1</v>
      </c>
    </row>
    <row r="244" spans="2:38" ht="15.75" customHeight="1">
      <c r="B244" s="131" t="s">
        <v>729</v>
      </c>
      <c r="C244" t="s">
        <v>592</v>
      </c>
      <c r="D244" t="s">
        <v>593</v>
      </c>
      <c r="E244" t="s">
        <v>168</v>
      </c>
      <c r="F244" t="s">
        <v>937</v>
      </c>
      <c r="G244" t="s">
        <v>980</v>
      </c>
      <c r="H244" t="s">
        <v>981</v>
      </c>
      <c r="I244" t="s">
        <v>982</v>
      </c>
      <c r="J244" t="s">
        <v>290</v>
      </c>
      <c r="K244">
        <v>33</v>
      </c>
      <c r="L244" s="1">
        <v>45484</v>
      </c>
      <c r="M244" t="s">
        <v>983</v>
      </c>
      <c r="N244" t="s">
        <v>984</v>
      </c>
      <c r="O244" t="s">
        <v>985</v>
      </c>
      <c r="P244" t="s">
        <v>986</v>
      </c>
      <c r="Q244" t="s">
        <v>987</v>
      </c>
      <c r="R244" t="s">
        <v>988</v>
      </c>
      <c r="S244" t="s">
        <v>733</v>
      </c>
      <c r="T244" t="s">
        <v>989</v>
      </c>
      <c r="U244" t="s">
        <v>592</v>
      </c>
      <c r="V244" t="s">
        <v>593</v>
      </c>
      <c r="W244" t="s">
        <v>168</v>
      </c>
      <c r="X244" t="s">
        <v>987</v>
      </c>
      <c r="Y244" t="s">
        <v>987</v>
      </c>
      <c r="Z244" t="s">
        <v>987</v>
      </c>
      <c r="AA244" t="s">
        <v>997</v>
      </c>
      <c r="AD244" s="126">
        <f t="shared" si="26"/>
        <v>33</v>
      </c>
      <c r="AE244" s="123" t="str">
        <f t="shared" si="20"/>
        <v>Open Garden Evening with Live Jazz at The Charterhouse</v>
      </c>
      <c r="AF244" s="124">
        <f t="shared" si="23"/>
        <v>45484</v>
      </c>
      <c r="AG244" s="123">
        <f t="shared" si="24"/>
        <v>7</v>
      </c>
      <c r="AH244" s="123">
        <f t="shared" si="25"/>
        <v>0</v>
      </c>
      <c r="AI244" s="123" t="s">
        <v>917</v>
      </c>
      <c r="AJ244" s="123"/>
      <c r="AK244">
        <f>VLOOKUP(AD244,Sessions!A:K,11,FALSE)</f>
        <v>1</v>
      </c>
      <c r="AL244">
        <v>1</v>
      </c>
    </row>
    <row r="245" spans="2:38" ht="15.75" customHeight="1">
      <c r="B245" s="131" t="s">
        <v>729</v>
      </c>
      <c r="C245" t="s">
        <v>463</v>
      </c>
      <c r="D245" t="s">
        <v>464</v>
      </c>
      <c r="E245" t="s">
        <v>462</v>
      </c>
      <c r="F245" t="s">
        <v>465</v>
      </c>
      <c r="G245" t="s">
        <v>980</v>
      </c>
      <c r="H245" t="s">
        <v>981</v>
      </c>
      <c r="I245" t="s">
        <v>982</v>
      </c>
      <c r="J245" t="s">
        <v>290</v>
      </c>
      <c r="K245">
        <v>33</v>
      </c>
      <c r="L245" s="1">
        <v>45484</v>
      </c>
      <c r="M245" t="s">
        <v>983</v>
      </c>
      <c r="N245" t="s">
        <v>984</v>
      </c>
      <c r="O245" t="s">
        <v>985</v>
      </c>
      <c r="P245" t="s">
        <v>986</v>
      </c>
      <c r="Q245" t="s">
        <v>987</v>
      </c>
      <c r="R245" t="s">
        <v>988</v>
      </c>
      <c r="S245" t="s">
        <v>733</v>
      </c>
      <c r="T245" t="s">
        <v>989</v>
      </c>
      <c r="U245" t="s">
        <v>463</v>
      </c>
      <c r="V245" t="s">
        <v>464</v>
      </c>
      <c r="W245" t="s">
        <v>462</v>
      </c>
      <c r="X245" t="s">
        <v>987</v>
      </c>
      <c r="Y245" t="s">
        <v>987</v>
      </c>
      <c r="Z245" t="s">
        <v>987</v>
      </c>
      <c r="AA245" t="s">
        <v>998</v>
      </c>
      <c r="AD245" s="126">
        <f t="shared" si="26"/>
        <v>33</v>
      </c>
      <c r="AE245" s="123" t="str">
        <f t="shared" si="20"/>
        <v>Open Garden Evening with Live Jazz at The Charterhouse</v>
      </c>
      <c r="AF245" s="124">
        <f t="shared" si="23"/>
        <v>45484</v>
      </c>
      <c r="AG245" s="123">
        <f t="shared" si="24"/>
        <v>7</v>
      </c>
      <c r="AH245" s="123">
        <f t="shared" si="25"/>
        <v>0</v>
      </c>
      <c r="AI245" s="123" t="s">
        <v>917</v>
      </c>
      <c r="AJ245" s="123"/>
      <c r="AK245">
        <f>VLOOKUP(AD245,Sessions!A:K,11,FALSE)</f>
        <v>1</v>
      </c>
      <c r="AL245">
        <v>1</v>
      </c>
    </row>
    <row r="246" spans="2:38" ht="15.75" customHeight="1">
      <c r="B246" s="131" t="s">
        <v>729</v>
      </c>
      <c r="C246" t="s">
        <v>665</v>
      </c>
      <c r="D246" t="s">
        <v>666</v>
      </c>
      <c r="E246" t="s">
        <v>664</v>
      </c>
      <c r="F246" t="s">
        <v>999</v>
      </c>
      <c r="G246" t="s">
        <v>987</v>
      </c>
      <c r="H246" t="s">
        <v>987</v>
      </c>
      <c r="I246" t="s">
        <v>995</v>
      </c>
      <c r="J246" t="s">
        <v>290</v>
      </c>
      <c r="K246">
        <v>33</v>
      </c>
      <c r="L246" s="1">
        <v>45484</v>
      </c>
      <c r="M246" t="s">
        <v>983</v>
      </c>
      <c r="N246" t="s">
        <v>984</v>
      </c>
      <c r="O246" t="s">
        <v>985</v>
      </c>
      <c r="P246" t="s">
        <v>986</v>
      </c>
      <c r="Q246" t="s">
        <v>987</v>
      </c>
      <c r="R246" t="s">
        <v>988</v>
      </c>
      <c r="S246" t="s">
        <v>733</v>
      </c>
      <c r="T246" t="s">
        <v>989</v>
      </c>
      <c r="U246" t="s">
        <v>665</v>
      </c>
      <c r="V246" t="s">
        <v>666</v>
      </c>
      <c r="W246" t="s">
        <v>664</v>
      </c>
      <c r="X246" t="s">
        <v>987</v>
      </c>
      <c r="Y246" t="s">
        <v>987</v>
      </c>
      <c r="Z246" t="s">
        <v>987</v>
      </c>
      <c r="AA246" t="s">
        <v>1000</v>
      </c>
      <c r="AD246" s="126">
        <f t="shared" si="26"/>
        <v>33</v>
      </c>
      <c r="AE246" s="123" t="str">
        <f t="shared" si="20"/>
        <v>Open Garden Evening with Live Jazz at The Charterhouse</v>
      </c>
      <c r="AF246" s="124">
        <f t="shared" si="23"/>
        <v>45484</v>
      </c>
      <c r="AG246" s="123">
        <f t="shared" si="24"/>
        <v>7</v>
      </c>
      <c r="AH246" s="123">
        <f t="shared" si="25"/>
        <v>0</v>
      </c>
      <c r="AI246" s="123" t="s">
        <v>917</v>
      </c>
      <c r="AJ246" s="123"/>
      <c r="AK246">
        <f>VLOOKUP(AD246,Sessions!A:K,11,FALSE)</f>
        <v>1</v>
      </c>
      <c r="AL246">
        <v>1</v>
      </c>
    </row>
    <row r="247" spans="2:38" ht="15.75" customHeight="1">
      <c r="B247" s="131" t="s">
        <v>729</v>
      </c>
      <c r="C247" t="s">
        <v>1001</v>
      </c>
      <c r="D247" t="s">
        <v>1002</v>
      </c>
      <c r="E247" t="s">
        <v>1003</v>
      </c>
      <c r="J247" t="s">
        <v>1004</v>
      </c>
      <c r="K247" s="121">
        <v>33</v>
      </c>
      <c r="L247" s="1">
        <v>45484</v>
      </c>
      <c r="AD247" s="126">
        <f t="shared" si="26"/>
        <v>33</v>
      </c>
      <c r="AE247" s="123" t="str">
        <f t="shared" si="20"/>
        <v>Charterhouse</v>
      </c>
      <c r="AF247" s="124">
        <f t="shared" si="23"/>
        <v>45484</v>
      </c>
      <c r="AG247" s="123">
        <f t="shared" si="24"/>
        <v>7</v>
      </c>
      <c r="AH247" s="123">
        <f t="shared" si="25"/>
        <v>0</v>
      </c>
      <c r="AI247" s="123" t="s">
        <v>917</v>
      </c>
      <c r="AJ247" s="123"/>
      <c r="AK247">
        <f>VLOOKUP(AD247,Sessions!A:K,11,FALSE)</f>
        <v>1</v>
      </c>
      <c r="AL247">
        <v>1</v>
      </c>
    </row>
    <row r="248" spans="2:38" ht="15.75" customHeight="1">
      <c r="B248" s="131" t="s">
        <v>729</v>
      </c>
      <c r="C248" t="s">
        <v>482</v>
      </c>
      <c r="D248" t="s">
        <v>483</v>
      </c>
      <c r="E248" t="s">
        <v>136</v>
      </c>
      <c r="F248" t="s">
        <v>972</v>
      </c>
      <c r="G248" t="s">
        <v>980</v>
      </c>
      <c r="H248" t="s">
        <v>981</v>
      </c>
      <c r="I248" t="s">
        <v>982</v>
      </c>
      <c r="J248" t="s">
        <v>1005</v>
      </c>
      <c r="K248">
        <v>34</v>
      </c>
      <c r="L248" s="1">
        <v>45487</v>
      </c>
      <c r="M248" t="s">
        <v>1006</v>
      </c>
      <c r="N248" t="s">
        <v>984</v>
      </c>
      <c r="O248" t="s">
        <v>1007</v>
      </c>
      <c r="P248" t="s">
        <v>986</v>
      </c>
      <c r="Q248" t="s">
        <v>987</v>
      </c>
      <c r="R248" t="s">
        <v>752</v>
      </c>
      <c r="S248" t="s">
        <v>733</v>
      </c>
      <c r="T248" t="s">
        <v>1008</v>
      </c>
      <c r="U248" t="s">
        <v>482</v>
      </c>
      <c r="V248" t="s">
        <v>483</v>
      </c>
      <c r="W248" t="s">
        <v>136</v>
      </c>
      <c r="X248" t="s">
        <v>987</v>
      </c>
      <c r="Y248" t="s">
        <v>987</v>
      </c>
      <c r="Z248" t="s">
        <v>987</v>
      </c>
      <c r="AA248" t="s">
        <v>1009</v>
      </c>
      <c r="AD248" s="126">
        <f t="shared" si="26"/>
        <v>34</v>
      </c>
      <c r="AE248" s="123" t="str">
        <f t="shared" si="20"/>
        <v>Art and Coastal Charm: A Day in Eastbourne with Nimi</v>
      </c>
      <c r="AF248" s="124">
        <f t="shared" si="23"/>
        <v>45487</v>
      </c>
      <c r="AG248" s="123">
        <f t="shared" si="24"/>
        <v>7</v>
      </c>
      <c r="AH248" s="123">
        <f t="shared" si="25"/>
        <v>0</v>
      </c>
      <c r="AI248" s="123" t="s">
        <v>917</v>
      </c>
      <c r="AJ248" s="123"/>
      <c r="AK248">
        <f>VLOOKUP(AD248,Sessions!A:K,11,FALSE)</f>
        <v>1</v>
      </c>
      <c r="AL248">
        <v>1</v>
      </c>
    </row>
    <row r="249" spans="2:38" ht="15.75" customHeight="1">
      <c r="B249" s="131" t="s">
        <v>729</v>
      </c>
      <c r="C249" t="s">
        <v>506</v>
      </c>
      <c r="D249" t="s">
        <v>1010</v>
      </c>
      <c r="E249" t="s">
        <v>423</v>
      </c>
      <c r="F249" t="s">
        <v>906</v>
      </c>
      <c r="G249" t="s">
        <v>1011</v>
      </c>
      <c r="H249" t="s">
        <v>1012</v>
      </c>
      <c r="I249" t="s">
        <v>995</v>
      </c>
      <c r="J249" t="s">
        <v>1005</v>
      </c>
      <c r="K249">
        <v>34</v>
      </c>
      <c r="L249" s="1">
        <v>45487</v>
      </c>
      <c r="M249" t="s">
        <v>1006</v>
      </c>
      <c r="N249" t="s">
        <v>984</v>
      </c>
      <c r="O249" t="s">
        <v>1007</v>
      </c>
      <c r="P249" t="s">
        <v>986</v>
      </c>
      <c r="Q249" t="s">
        <v>987</v>
      </c>
      <c r="R249" t="s">
        <v>752</v>
      </c>
      <c r="S249" t="s">
        <v>733</v>
      </c>
      <c r="T249" t="s">
        <v>1008</v>
      </c>
      <c r="U249" t="s">
        <v>506</v>
      </c>
      <c r="V249" t="s">
        <v>1010</v>
      </c>
      <c r="W249" t="s">
        <v>423</v>
      </c>
      <c r="X249" t="s">
        <v>987</v>
      </c>
      <c r="Y249" t="s">
        <v>987</v>
      </c>
      <c r="Z249" t="s">
        <v>987</v>
      </c>
      <c r="AA249" t="s">
        <v>1013</v>
      </c>
      <c r="AD249" s="126">
        <f t="shared" si="26"/>
        <v>34</v>
      </c>
      <c r="AE249" s="123" t="str">
        <f t="shared" si="20"/>
        <v>Art and Coastal Charm: A Day in Eastbourne with Nimi</v>
      </c>
      <c r="AF249" s="124">
        <f t="shared" si="23"/>
        <v>45487</v>
      </c>
      <c r="AG249" s="123">
        <f t="shared" si="24"/>
        <v>7</v>
      </c>
      <c r="AH249" s="123">
        <f t="shared" si="25"/>
        <v>0</v>
      </c>
      <c r="AI249" s="123" t="s">
        <v>917</v>
      </c>
      <c r="AJ249" s="123"/>
      <c r="AK249">
        <f>VLOOKUP(AD249,Sessions!A:K,11,FALSE)</f>
        <v>1</v>
      </c>
      <c r="AL249">
        <v>1</v>
      </c>
    </row>
    <row r="250" spans="2:38" ht="15.75" customHeight="1">
      <c r="B250" s="131" t="s">
        <v>729</v>
      </c>
      <c r="C250" t="s">
        <v>572</v>
      </c>
      <c r="D250" t="s">
        <v>573</v>
      </c>
      <c r="E250" t="s">
        <v>571</v>
      </c>
      <c r="F250" t="s">
        <v>987</v>
      </c>
      <c r="G250" t="s">
        <v>1014</v>
      </c>
      <c r="H250" t="s">
        <v>1015</v>
      </c>
      <c r="I250" t="s">
        <v>995</v>
      </c>
      <c r="J250" t="s">
        <v>1005</v>
      </c>
      <c r="K250">
        <v>34</v>
      </c>
      <c r="L250" s="1">
        <v>45487</v>
      </c>
      <c r="M250" t="s">
        <v>1006</v>
      </c>
      <c r="N250" t="s">
        <v>984</v>
      </c>
      <c r="O250" t="s">
        <v>1007</v>
      </c>
      <c r="P250" t="s">
        <v>986</v>
      </c>
      <c r="Q250" t="s">
        <v>987</v>
      </c>
      <c r="R250" t="s">
        <v>752</v>
      </c>
      <c r="S250" t="s">
        <v>733</v>
      </c>
      <c r="T250" t="s">
        <v>1008</v>
      </c>
      <c r="U250" t="s">
        <v>572</v>
      </c>
      <c r="V250" t="s">
        <v>573</v>
      </c>
      <c r="W250" t="s">
        <v>571</v>
      </c>
      <c r="X250" t="s">
        <v>987</v>
      </c>
      <c r="Y250" t="s">
        <v>987</v>
      </c>
      <c r="Z250" t="s">
        <v>987</v>
      </c>
      <c r="AA250" t="s">
        <v>1016</v>
      </c>
      <c r="AD250" s="126">
        <f t="shared" si="26"/>
        <v>34</v>
      </c>
      <c r="AE250" s="123" t="str">
        <f t="shared" si="20"/>
        <v>Art and Coastal Charm: A Day in Eastbourne with Nimi</v>
      </c>
      <c r="AF250" s="124">
        <f t="shared" ref="AF250:AF281" si="27">L250</f>
        <v>45487</v>
      </c>
      <c r="AG250" s="123">
        <f t="shared" si="24"/>
        <v>7</v>
      </c>
      <c r="AH250" s="123">
        <f t="shared" si="25"/>
        <v>0</v>
      </c>
      <c r="AI250" s="123" t="s">
        <v>917</v>
      </c>
      <c r="AJ250" s="123"/>
      <c r="AK250">
        <f>VLOOKUP(AD250,Sessions!A:K,11,FALSE)</f>
        <v>1</v>
      </c>
      <c r="AL250">
        <v>1</v>
      </c>
    </row>
    <row r="251" spans="2:38" ht="15.75" customHeight="1">
      <c r="B251" s="131" t="s">
        <v>729</v>
      </c>
      <c r="C251" t="s">
        <v>650</v>
      </c>
      <c r="D251" t="s">
        <v>651</v>
      </c>
      <c r="E251" t="s">
        <v>649</v>
      </c>
      <c r="F251" t="s">
        <v>1017</v>
      </c>
      <c r="G251" t="s">
        <v>1018</v>
      </c>
      <c r="H251" t="s">
        <v>1019</v>
      </c>
      <c r="I251" t="s">
        <v>995</v>
      </c>
      <c r="J251" t="s">
        <v>1005</v>
      </c>
      <c r="K251">
        <v>34</v>
      </c>
      <c r="L251" s="1">
        <v>45487</v>
      </c>
      <c r="M251" t="s">
        <v>1006</v>
      </c>
      <c r="N251" t="s">
        <v>984</v>
      </c>
      <c r="O251" t="s">
        <v>1007</v>
      </c>
      <c r="P251" t="s">
        <v>986</v>
      </c>
      <c r="Q251" t="s">
        <v>987</v>
      </c>
      <c r="R251" t="s">
        <v>759</v>
      </c>
      <c r="S251" t="s">
        <v>733</v>
      </c>
      <c r="T251" t="s">
        <v>1020</v>
      </c>
      <c r="U251" t="s">
        <v>650</v>
      </c>
      <c r="V251" t="s">
        <v>651</v>
      </c>
      <c r="W251" t="s">
        <v>649</v>
      </c>
      <c r="X251" t="s">
        <v>987</v>
      </c>
      <c r="Y251" t="s">
        <v>987</v>
      </c>
      <c r="Z251" t="s">
        <v>987</v>
      </c>
      <c r="AA251" t="s">
        <v>1021</v>
      </c>
      <c r="AD251" s="126">
        <f t="shared" si="26"/>
        <v>34</v>
      </c>
      <c r="AE251" s="123" t="str">
        <f t="shared" si="20"/>
        <v>Art and Coastal Charm: A Day in Eastbourne with Nimi</v>
      </c>
      <c r="AF251" s="124">
        <f t="shared" si="27"/>
        <v>45487</v>
      </c>
      <c r="AG251" s="123">
        <f t="shared" si="24"/>
        <v>7</v>
      </c>
      <c r="AH251" s="123">
        <f t="shared" si="25"/>
        <v>0</v>
      </c>
      <c r="AI251" s="123" t="s">
        <v>917</v>
      </c>
      <c r="AJ251" s="123"/>
      <c r="AK251">
        <f>VLOOKUP(AD251,Sessions!A:K,11,FALSE)</f>
        <v>1</v>
      </c>
      <c r="AL251">
        <v>1</v>
      </c>
    </row>
    <row r="252" spans="2:38" ht="15.75" customHeight="1">
      <c r="B252" s="131" t="s">
        <v>729</v>
      </c>
      <c r="C252" t="s">
        <v>473</v>
      </c>
      <c r="D252" t="s">
        <v>474</v>
      </c>
      <c r="E252" t="s">
        <v>131</v>
      </c>
      <c r="F252" t="s">
        <v>475</v>
      </c>
      <c r="G252" t="s">
        <v>993</v>
      </c>
      <c r="H252" t="s">
        <v>994</v>
      </c>
      <c r="I252" t="s">
        <v>995</v>
      </c>
      <c r="J252" t="s">
        <v>1005</v>
      </c>
      <c r="K252">
        <v>34</v>
      </c>
      <c r="L252" s="1">
        <v>45487</v>
      </c>
      <c r="M252" t="s">
        <v>1006</v>
      </c>
      <c r="N252" t="s">
        <v>984</v>
      </c>
      <c r="O252" t="s">
        <v>1007</v>
      </c>
      <c r="P252" t="s">
        <v>986</v>
      </c>
      <c r="Q252" t="s">
        <v>987</v>
      </c>
      <c r="R252" t="s">
        <v>759</v>
      </c>
      <c r="S252" t="s">
        <v>733</v>
      </c>
      <c r="T252" t="s">
        <v>1020</v>
      </c>
      <c r="U252" t="s">
        <v>473</v>
      </c>
      <c r="V252" t="s">
        <v>474</v>
      </c>
      <c r="W252" t="s">
        <v>131</v>
      </c>
      <c r="X252" t="s">
        <v>987</v>
      </c>
      <c r="Y252" t="s">
        <v>987</v>
      </c>
      <c r="Z252" t="s">
        <v>987</v>
      </c>
      <c r="AA252" t="s">
        <v>1022</v>
      </c>
      <c r="AD252" s="126">
        <f t="shared" si="26"/>
        <v>34</v>
      </c>
      <c r="AE252" s="123" t="str">
        <f t="shared" si="20"/>
        <v>Art and Coastal Charm: A Day in Eastbourne with Nimi</v>
      </c>
      <c r="AF252" s="124">
        <f t="shared" si="27"/>
        <v>45487</v>
      </c>
      <c r="AG252" s="123">
        <f t="shared" si="24"/>
        <v>7</v>
      </c>
      <c r="AH252" s="123">
        <f t="shared" si="25"/>
        <v>0</v>
      </c>
      <c r="AI252" s="123" t="s">
        <v>917</v>
      </c>
      <c r="AJ252" s="123"/>
      <c r="AK252">
        <f>VLOOKUP(AD252,Sessions!A:K,11,FALSE)</f>
        <v>1</v>
      </c>
      <c r="AL252">
        <v>1</v>
      </c>
    </row>
    <row r="253" spans="2:38" ht="15.75" customHeight="1">
      <c r="B253" s="131" t="s">
        <v>729</v>
      </c>
      <c r="C253" t="s">
        <v>677</v>
      </c>
      <c r="D253" t="s">
        <v>678</v>
      </c>
      <c r="E253" t="s">
        <v>676</v>
      </c>
      <c r="F253" t="s">
        <v>679</v>
      </c>
      <c r="G253" t="s">
        <v>1023</v>
      </c>
      <c r="H253" t="s">
        <v>1024</v>
      </c>
      <c r="I253" t="s">
        <v>995</v>
      </c>
      <c r="J253" t="s">
        <v>294</v>
      </c>
      <c r="K253">
        <v>35</v>
      </c>
      <c r="L253" s="1">
        <v>45492</v>
      </c>
      <c r="M253" t="s">
        <v>1025</v>
      </c>
      <c r="N253" t="s">
        <v>984</v>
      </c>
      <c r="O253" t="s">
        <v>1026</v>
      </c>
      <c r="P253" t="s">
        <v>986</v>
      </c>
      <c r="Q253" t="s">
        <v>987</v>
      </c>
      <c r="R253" t="s">
        <v>759</v>
      </c>
      <c r="S253" t="s">
        <v>733</v>
      </c>
      <c r="T253" t="s">
        <v>1027</v>
      </c>
      <c r="U253" t="s">
        <v>677</v>
      </c>
      <c r="V253" t="s">
        <v>678</v>
      </c>
      <c r="W253" t="s">
        <v>676</v>
      </c>
      <c r="X253" t="s">
        <v>987</v>
      </c>
      <c r="Y253" t="s">
        <v>987</v>
      </c>
      <c r="Z253" t="s">
        <v>987</v>
      </c>
      <c r="AA253" t="s">
        <v>1028</v>
      </c>
      <c r="AD253" s="126">
        <f t="shared" si="26"/>
        <v>35</v>
      </c>
      <c r="AE253" s="123" t="str">
        <f t="shared" si="20"/>
        <v>Friday Lates life drawing at National Gallery</v>
      </c>
      <c r="AF253" s="124">
        <f t="shared" si="27"/>
        <v>45492</v>
      </c>
      <c r="AG253" s="123">
        <f t="shared" si="24"/>
        <v>7</v>
      </c>
      <c r="AH253" s="123">
        <f t="shared" si="25"/>
        <v>0</v>
      </c>
      <c r="AI253" s="123" t="s">
        <v>918</v>
      </c>
      <c r="AJ253" s="88"/>
      <c r="AK253">
        <f>VLOOKUP(AD253,Sessions!A:K,11,FALSE)</f>
        <v>1</v>
      </c>
      <c r="AL253">
        <v>1</v>
      </c>
    </row>
    <row r="254" spans="2:38" ht="15.75" customHeight="1">
      <c r="B254" s="131" t="s">
        <v>729</v>
      </c>
      <c r="C254" t="s">
        <v>367</v>
      </c>
      <c r="D254" t="s">
        <v>368</v>
      </c>
      <c r="E254" t="s">
        <v>130</v>
      </c>
      <c r="F254" t="s">
        <v>941</v>
      </c>
      <c r="G254" t="s">
        <v>1029</v>
      </c>
      <c r="H254" t="s">
        <v>1030</v>
      </c>
      <c r="I254" t="s">
        <v>1031</v>
      </c>
      <c r="J254" t="s">
        <v>294</v>
      </c>
      <c r="K254">
        <v>35</v>
      </c>
      <c r="L254" s="1">
        <v>45492</v>
      </c>
      <c r="M254" t="s">
        <v>1025</v>
      </c>
      <c r="N254" t="s">
        <v>984</v>
      </c>
      <c r="O254" t="s">
        <v>1026</v>
      </c>
      <c r="P254" t="s">
        <v>986</v>
      </c>
      <c r="Q254" t="s">
        <v>987</v>
      </c>
      <c r="R254" t="s">
        <v>759</v>
      </c>
      <c r="S254" t="s">
        <v>733</v>
      </c>
      <c r="T254" t="s">
        <v>1027</v>
      </c>
      <c r="U254" t="s">
        <v>367</v>
      </c>
      <c r="V254" t="s">
        <v>368</v>
      </c>
      <c r="W254" t="s">
        <v>130</v>
      </c>
      <c r="X254" t="s">
        <v>987</v>
      </c>
      <c r="Y254" t="s">
        <v>987</v>
      </c>
      <c r="Z254" t="s">
        <v>987</v>
      </c>
      <c r="AA254" t="s">
        <v>1032</v>
      </c>
      <c r="AD254" s="126">
        <f t="shared" si="26"/>
        <v>35</v>
      </c>
      <c r="AE254" s="88" t="str">
        <f t="shared" si="20"/>
        <v>Friday Lates life drawing at National Gallery</v>
      </c>
      <c r="AF254" s="124">
        <f t="shared" si="27"/>
        <v>45492</v>
      </c>
      <c r="AG254" s="123">
        <f t="shared" si="24"/>
        <v>7</v>
      </c>
      <c r="AH254" s="123">
        <f t="shared" si="25"/>
        <v>0</v>
      </c>
      <c r="AI254" s="123" t="s">
        <v>917</v>
      </c>
      <c r="AJ254" s="123"/>
      <c r="AK254">
        <f>VLOOKUP(AD254,Sessions!A:K,11,FALSE)</f>
        <v>1</v>
      </c>
      <c r="AL254">
        <v>1</v>
      </c>
    </row>
    <row r="255" spans="2:38" ht="15.75" customHeight="1">
      <c r="B255" s="131" t="s">
        <v>729</v>
      </c>
      <c r="C255" t="s">
        <v>606</v>
      </c>
      <c r="D255" t="s">
        <v>607</v>
      </c>
      <c r="E255" t="s">
        <v>605</v>
      </c>
      <c r="F255" t="s">
        <v>962</v>
      </c>
      <c r="G255" t="s">
        <v>1029</v>
      </c>
      <c r="H255" t="s">
        <v>1030</v>
      </c>
      <c r="I255" t="s">
        <v>1031</v>
      </c>
      <c r="J255" t="s">
        <v>294</v>
      </c>
      <c r="K255">
        <v>35</v>
      </c>
      <c r="L255" s="1">
        <v>45492</v>
      </c>
      <c r="M255" t="s">
        <v>1025</v>
      </c>
      <c r="N255" t="s">
        <v>984</v>
      </c>
      <c r="O255" t="s">
        <v>1026</v>
      </c>
      <c r="P255" t="s">
        <v>986</v>
      </c>
      <c r="Q255" t="s">
        <v>987</v>
      </c>
      <c r="R255" t="s">
        <v>759</v>
      </c>
      <c r="S255" t="s">
        <v>733</v>
      </c>
      <c r="T255" t="s">
        <v>1027</v>
      </c>
      <c r="U255" t="s">
        <v>606</v>
      </c>
      <c r="V255" t="s">
        <v>607</v>
      </c>
      <c r="W255" t="s">
        <v>605</v>
      </c>
      <c r="X255" t="s">
        <v>987</v>
      </c>
      <c r="Y255" t="s">
        <v>987</v>
      </c>
      <c r="Z255" t="s">
        <v>987</v>
      </c>
      <c r="AA255" t="s">
        <v>1033</v>
      </c>
      <c r="AD255" s="126">
        <f t="shared" si="26"/>
        <v>35</v>
      </c>
      <c r="AE255" s="123" t="str">
        <f t="shared" si="20"/>
        <v>Friday Lates life drawing at National Gallery</v>
      </c>
      <c r="AF255" s="124">
        <f t="shared" si="27"/>
        <v>45492</v>
      </c>
      <c r="AG255" s="123">
        <f t="shared" si="24"/>
        <v>7</v>
      </c>
      <c r="AH255" s="123">
        <f t="shared" si="25"/>
        <v>0</v>
      </c>
      <c r="AI255" s="123" t="s">
        <v>917</v>
      </c>
      <c r="AJ255" s="123"/>
      <c r="AK255">
        <f>VLOOKUP(AD255,Sessions!A:K,11,FALSE)</f>
        <v>1</v>
      </c>
      <c r="AL255">
        <v>1</v>
      </c>
    </row>
    <row r="256" spans="2:38" ht="15.75" customHeight="1">
      <c r="B256" s="131" t="s">
        <v>729</v>
      </c>
      <c r="C256" t="s">
        <v>346</v>
      </c>
      <c r="D256" t="s">
        <v>347</v>
      </c>
      <c r="E256" t="s">
        <v>345</v>
      </c>
      <c r="F256" t="s">
        <v>348</v>
      </c>
      <c r="G256" t="s">
        <v>1029</v>
      </c>
      <c r="H256" t="s">
        <v>1030</v>
      </c>
      <c r="I256" t="s">
        <v>1031</v>
      </c>
      <c r="J256" t="s">
        <v>294</v>
      </c>
      <c r="K256">
        <v>35</v>
      </c>
      <c r="L256" s="1">
        <v>45492</v>
      </c>
      <c r="M256" t="s">
        <v>1025</v>
      </c>
      <c r="N256" t="s">
        <v>984</v>
      </c>
      <c r="O256" t="s">
        <v>1026</v>
      </c>
      <c r="P256" t="s">
        <v>986</v>
      </c>
      <c r="Q256" t="s">
        <v>987</v>
      </c>
      <c r="R256" t="s">
        <v>759</v>
      </c>
      <c r="S256" t="s">
        <v>733</v>
      </c>
      <c r="T256" t="s">
        <v>1027</v>
      </c>
      <c r="U256" t="s">
        <v>346</v>
      </c>
      <c r="V256" t="s">
        <v>347</v>
      </c>
      <c r="W256" t="s">
        <v>345</v>
      </c>
      <c r="X256" t="s">
        <v>987</v>
      </c>
      <c r="Y256" t="s">
        <v>987</v>
      </c>
      <c r="Z256" t="s">
        <v>987</v>
      </c>
      <c r="AA256" t="s">
        <v>1034</v>
      </c>
      <c r="AD256" s="126">
        <f t="shared" si="26"/>
        <v>35</v>
      </c>
      <c r="AE256" s="123" t="str">
        <f t="shared" si="20"/>
        <v>Friday Lates life drawing at National Gallery</v>
      </c>
      <c r="AF256" s="124">
        <f t="shared" si="27"/>
        <v>45492</v>
      </c>
      <c r="AG256" s="123">
        <f t="shared" si="24"/>
        <v>7</v>
      </c>
      <c r="AH256" s="123">
        <f t="shared" si="25"/>
        <v>0</v>
      </c>
      <c r="AI256" s="123" t="s">
        <v>917</v>
      </c>
      <c r="AJ256" s="123"/>
      <c r="AK256">
        <f>VLOOKUP(AD256,Sessions!A:K,11,FALSE)</f>
        <v>1</v>
      </c>
      <c r="AL256">
        <v>1</v>
      </c>
    </row>
    <row r="257" spans="2:38" ht="15.75" customHeight="1">
      <c r="B257" s="131" t="s">
        <v>729</v>
      </c>
      <c r="C257" t="s">
        <v>492</v>
      </c>
      <c r="D257" t="s">
        <v>493</v>
      </c>
      <c r="E257" t="s">
        <v>118</v>
      </c>
      <c r="F257" t="s">
        <v>1035</v>
      </c>
      <c r="G257" t="s">
        <v>1029</v>
      </c>
      <c r="H257" t="s">
        <v>1030</v>
      </c>
      <c r="I257" t="s">
        <v>1031</v>
      </c>
      <c r="J257" t="s">
        <v>294</v>
      </c>
      <c r="K257">
        <v>35</v>
      </c>
      <c r="L257" s="1">
        <v>45492</v>
      </c>
      <c r="M257" t="s">
        <v>1025</v>
      </c>
      <c r="N257" t="s">
        <v>984</v>
      </c>
      <c r="O257" t="s">
        <v>1026</v>
      </c>
      <c r="P257" t="s">
        <v>986</v>
      </c>
      <c r="Q257" t="s">
        <v>987</v>
      </c>
      <c r="R257" t="s">
        <v>759</v>
      </c>
      <c r="S257" t="s">
        <v>733</v>
      </c>
      <c r="T257" t="s">
        <v>1027</v>
      </c>
      <c r="U257" t="s">
        <v>492</v>
      </c>
      <c r="V257" t="s">
        <v>493</v>
      </c>
      <c r="W257" t="s">
        <v>118</v>
      </c>
      <c r="X257" t="s">
        <v>987</v>
      </c>
      <c r="Y257" t="s">
        <v>987</v>
      </c>
      <c r="Z257" t="s">
        <v>987</v>
      </c>
      <c r="AA257" t="s">
        <v>1036</v>
      </c>
      <c r="AD257" s="126">
        <f t="shared" si="26"/>
        <v>35</v>
      </c>
      <c r="AE257" s="123" t="str">
        <f t="shared" si="20"/>
        <v>Friday Lates life drawing at National Gallery</v>
      </c>
      <c r="AF257" s="124">
        <f t="shared" si="27"/>
        <v>45492</v>
      </c>
      <c r="AG257" s="123">
        <f t="shared" si="24"/>
        <v>7</v>
      </c>
      <c r="AH257" s="123">
        <f t="shared" si="25"/>
        <v>0</v>
      </c>
      <c r="AI257" s="123" t="s">
        <v>917</v>
      </c>
      <c r="AJ257" s="123"/>
      <c r="AK257">
        <f>VLOOKUP(AD257,Sessions!A:K,11,FALSE)</f>
        <v>1</v>
      </c>
      <c r="AL257">
        <v>1</v>
      </c>
    </row>
    <row r="258" spans="2:38" ht="15.75" customHeight="1">
      <c r="B258" s="131" t="s">
        <v>729</v>
      </c>
      <c r="C258" t="s">
        <v>541</v>
      </c>
      <c r="D258" t="s">
        <v>542</v>
      </c>
      <c r="E258" t="s">
        <v>123</v>
      </c>
      <c r="F258" t="s">
        <v>919</v>
      </c>
      <c r="G258" t="s">
        <v>1029</v>
      </c>
      <c r="H258" t="s">
        <v>1030</v>
      </c>
      <c r="I258" t="s">
        <v>1031</v>
      </c>
      <c r="J258" t="s">
        <v>294</v>
      </c>
      <c r="K258">
        <v>35</v>
      </c>
      <c r="L258" s="1">
        <v>45492</v>
      </c>
      <c r="M258" t="s">
        <v>1025</v>
      </c>
      <c r="N258" t="s">
        <v>984</v>
      </c>
      <c r="O258" t="s">
        <v>1026</v>
      </c>
      <c r="P258" t="s">
        <v>986</v>
      </c>
      <c r="Q258" t="s">
        <v>987</v>
      </c>
      <c r="R258" t="s">
        <v>759</v>
      </c>
      <c r="S258" t="s">
        <v>733</v>
      </c>
      <c r="T258" t="s">
        <v>1027</v>
      </c>
      <c r="U258" t="s">
        <v>541</v>
      </c>
      <c r="V258" t="s">
        <v>542</v>
      </c>
      <c r="W258" t="s">
        <v>123</v>
      </c>
      <c r="X258" t="s">
        <v>987</v>
      </c>
      <c r="Y258" t="s">
        <v>987</v>
      </c>
      <c r="Z258" t="s">
        <v>987</v>
      </c>
      <c r="AA258" t="s">
        <v>1037</v>
      </c>
      <c r="AD258" s="126">
        <f t="shared" si="26"/>
        <v>35</v>
      </c>
      <c r="AE258" s="123" t="str">
        <f t="shared" si="20"/>
        <v>Friday Lates life drawing at National Gallery</v>
      </c>
      <c r="AF258" s="124">
        <f t="shared" si="27"/>
        <v>45492</v>
      </c>
      <c r="AG258" s="123">
        <f t="shared" si="24"/>
        <v>7</v>
      </c>
      <c r="AH258" s="123">
        <f t="shared" si="25"/>
        <v>0</v>
      </c>
      <c r="AI258" s="123" t="s">
        <v>917</v>
      </c>
      <c r="AJ258" s="123"/>
      <c r="AK258">
        <f>VLOOKUP(AD258,Sessions!A:K,11,FALSE)</f>
        <v>1</v>
      </c>
      <c r="AL258">
        <v>1</v>
      </c>
    </row>
    <row r="259" spans="2:38" ht="15.75" customHeight="1">
      <c r="B259" s="131" t="s">
        <v>729</v>
      </c>
      <c r="C259" t="s">
        <v>623</v>
      </c>
      <c r="D259" t="s">
        <v>624</v>
      </c>
      <c r="E259" t="s">
        <v>622</v>
      </c>
      <c r="F259" t="s">
        <v>1038</v>
      </c>
      <c r="G259" t="s">
        <v>1029</v>
      </c>
      <c r="H259" t="s">
        <v>1030</v>
      </c>
      <c r="I259" t="s">
        <v>1031</v>
      </c>
      <c r="J259" t="s">
        <v>294</v>
      </c>
      <c r="K259">
        <v>35</v>
      </c>
      <c r="L259" s="1">
        <v>45492</v>
      </c>
      <c r="M259" t="s">
        <v>1025</v>
      </c>
      <c r="N259" t="s">
        <v>984</v>
      </c>
      <c r="O259" t="s">
        <v>1026</v>
      </c>
      <c r="P259" t="s">
        <v>986</v>
      </c>
      <c r="Q259" t="s">
        <v>987</v>
      </c>
      <c r="R259" t="s">
        <v>759</v>
      </c>
      <c r="S259" t="s">
        <v>733</v>
      </c>
      <c r="T259" t="s">
        <v>1027</v>
      </c>
      <c r="U259" t="s">
        <v>623</v>
      </c>
      <c r="V259" t="s">
        <v>624</v>
      </c>
      <c r="W259" t="s">
        <v>622</v>
      </c>
      <c r="X259" t="s">
        <v>987</v>
      </c>
      <c r="Y259" t="s">
        <v>987</v>
      </c>
      <c r="Z259" t="s">
        <v>987</v>
      </c>
      <c r="AA259" t="s">
        <v>1039</v>
      </c>
      <c r="AD259" s="126">
        <f t="shared" si="26"/>
        <v>35</v>
      </c>
      <c r="AE259" s="123" t="str">
        <f t="shared" si="20"/>
        <v>Friday Lates life drawing at National Gallery</v>
      </c>
      <c r="AF259" s="124">
        <f t="shared" si="27"/>
        <v>45492</v>
      </c>
      <c r="AG259" s="123">
        <f t="shared" si="24"/>
        <v>7</v>
      </c>
      <c r="AH259" s="123">
        <f t="shared" si="25"/>
        <v>0</v>
      </c>
      <c r="AI259" s="123" t="s">
        <v>929</v>
      </c>
      <c r="AJ259" s="149" t="s">
        <v>123</v>
      </c>
      <c r="AK259">
        <f>VLOOKUP(AD259,Sessions!A:K,11,FALSE)</f>
        <v>1</v>
      </c>
      <c r="AL259">
        <v>1</v>
      </c>
    </row>
    <row r="260" spans="2:38" ht="15.75" customHeight="1">
      <c r="B260" s="131" t="s">
        <v>729</v>
      </c>
      <c r="C260" t="s">
        <v>554</v>
      </c>
      <c r="D260" t="s">
        <v>555</v>
      </c>
      <c r="E260" t="s">
        <v>124</v>
      </c>
      <c r="F260" t="s">
        <v>953</v>
      </c>
      <c r="G260" t="s">
        <v>1029</v>
      </c>
      <c r="H260" t="s">
        <v>1030</v>
      </c>
      <c r="I260" t="s">
        <v>1031</v>
      </c>
      <c r="J260" t="s">
        <v>294</v>
      </c>
      <c r="K260">
        <v>35</v>
      </c>
      <c r="L260" s="1">
        <v>45492</v>
      </c>
      <c r="M260" t="s">
        <v>1025</v>
      </c>
      <c r="N260" t="s">
        <v>984</v>
      </c>
      <c r="O260" t="s">
        <v>1026</v>
      </c>
      <c r="P260" t="s">
        <v>986</v>
      </c>
      <c r="Q260" t="s">
        <v>987</v>
      </c>
      <c r="R260" t="s">
        <v>759</v>
      </c>
      <c r="S260" t="s">
        <v>733</v>
      </c>
      <c r="T260" t="s">
        <v>1027</v>
      </c>
      <c r="U260" t="s">
        <v>554</v>
      </c>
      <c r="V260" t="s">
        <v>555</v>
      </c>
      <c r="W260" t="s">
        <v>124</v>
      </c>
      <c r="X260" t="s">
        <v>987</v>
      </c>
      <c r="Y260" t="s">
        <v>987</v>
      </c>
      <c r="Z260" t="s">
        <v>987</v>
      </c>
      <c r="AA260" t="s">
        <v>1040</v>
      </c>
      <c r="AD260" s="126">
        <f t="shared" si="26"/>
        <v>35</v>
      </c>
      <c r="AE260" s="150" t="s">
        <v>1041</v>
      </c>
      <c r="AF260" s="124">
        <f t="shared" si="27"/>
        <v>45492</v>
      </c>
      <c r="AG260" s="123">
        <f t="shared" si="24"/>
        <v>7</v>
      </c>
      <c r="AH260" s="123">
        <f t="shared" si="25"/>
        <v>0</v>
      </c>
      <c r="AI260" s="123" t="s">
        <v>917</v>
      </c>
      <c r="AJ260" s="123"/>
      <c r="AK260">
        <f>VLOOKUP(AD260,Sessions!A:K,11,FALSE)</f>
        <v>1</v>
      </c>
      <c r="AL260">
        <v>1</v>
      </c>
    </row>
    <row r="261" spans="2:38" ht="15.75" customHeight="1">
      <c r="B261" s="131" t="s">
        <v>729</v>
      </c>
      <c r="C261" t="s">
        <v>592</v>
      </c>
      <c r="D261" t="s">
        <v>593</v>
      </c>
      <c r="E261" t="s">
        <v>168</v>
      </c>
      <c r="F261" t="s">
        <v>937</v>
      </c>
      <c r="G261" t="s">
        <v>1029</v>
      </c>
      <c r="H261" t="s">
        <v>1030</v>
      </c>
      <c r="I261" t="s">
        <v>1031</v>
      </c>
      <c r="J261" t="s">
        <v>294</v>
      </c>
      <c r="K261">
        <v>35</v>
      </c>
      <c r="L261" s="1">
        <v>45492</v>
      </c>
      <c r="M261" t="s">
        <v>1025</v>
      </c>
      <c r="N261" t="s">
        <v>984</v>
      </c>
      <c r="O261" t="s">
        <v>1026</v>
      </c>
      <c r="P261" t="s">
        <v>986</v>
      </c>
      <c r="Q261" t="s">
        <v>987</v>
      </c>
      <c r="R261" t="s">
        <v>759</v>
      </c>
      <c r="S261" t="s">
        <v>733</v>
      </c>
      <c r="T261" t="s">
        <v>1027</v>
      </c>
      <c r="U261" t="s">
        <v>592</v>
      </c>
      <c r="V261" t="s">
        <v>593</v>
      </c>
      <c r="W261" t="s">
        <v>168</v>
      </c>
      <c r="X261" t="s">
        <v>987</v>
      </c>
      <c r="Y261" t="s">
        <v>987</v>
      </c>
      <c r="Z261" t="s">
        <v>987</v>
      </c>
      <c r="AA261" t="s">
        <v>1042</v>
      </c>
      <c r="AD261" s="126">
        <f t="shared" si="26"/>
        <v>35</v>
      </c>
      <c r="AE261" s="123" t="str">
        <f t="shared" ref="AE261:AE290" si="28">J261</f>
        <v>Friday Lates life drawing at National Gallery</v>
      </c>
      <c r="AF261" s="124">
        <f t="shared" si="27"/>
        <v>45492</v>
      </c>
      <c r="AG261" s="123">
        <f t="shared" si="24"/>
        <v>7</v>
      </c>
      <c r="AH261" s="123">
        <f t="shared" si="25"/>
        <v>0</v>
      </c>
      <c r="AI261" s="123" t="s">
        <v>917</v>
      </c>
      <c r="AJ261" s="123"/>
      <c r="AK261">
        <f>VLOOKUP(AD261,Sessions!A:K,11,FALSE)</f>
        <v>1</v>
      </c>
      <c r="AL261">
        <v>1</v>
      </c>
    </row>
    <row r="262" spans="2:38" ht="15.75" customHeight="1">
      <c r="B262" s="131"/>
      <c r="C262" t="s">
        <v>681</v>
      </c>
      <c r="D262" t="s">
        <v>682</v>
      </c>
      <c r="E262" t="s">
        <v>680</v>
      </c>
      <c r="F262" t="s">
        <v>683</v>
      </c>
      <c r="G262" t="s">
        <v>1043</v>
      </c>
      <c r="H262" t="s">
        <v>1044</v>
      </c>
      <c r="I262" t="s">
        <v>1045</v>
      </c>
      <c r="J262" t="s">
        <v>294</v>
      </c>
      <c r="K262">
        <v>35</v>
      </c>
      <c r="L262" s="1">
        <v>45492</v>
      </c>
      <c r="M262" t="s">
        <v>1025</v>
      </c>
      <c r="N262" t="s">
        <v>984</v>
      </c>
      <c r="O262" t="s">
        <v>1026</v>
      </c>
      <c r="P262" t="s">
        <v>986</v>
      </c>
      <c r="Q262" t="s">
        <v>987</v>
      </c>
      <c r="R262" t="s">
        <v>759</v>
      </c>
      <c r="S262" t="s">
        <v>733</v>
      </c>
      <c r="T262" t="s">
        <v>1027</v>
      </c>
      <c r="U262" t="s">
        <v>681</v>
      </c>
      <c r="V262" t="s">
        <v>682</v>
      </c>
      <c r="W262" t="s">
        <v>680</v>
      </c>
      <c r="X262" t="s">
        <v>987</v>
      </c>
      <c r="Y262" t="s">
        <v>987</v>
      </c>
      <c r="Z262" t="s">
        <v>987</v>
      </c>
      <c r="AA262" t="s">
        <v>1046</v>
      </c>
      <c r="AD262" s="126">
        <f t="shared" si="26"/>
        <v>35</v>
      </c>
      <c r="AE262" s="123" t="str">
        <f t="shared" si="28"/>
        <v>Friday Lates life drawing at National Gallery</v>
      </c>
      <c r="AF262" s="124">
        <f t="shared" si="27"/>
        <v>45492</v>
      </c>
      <c r="AG262" s="123">
        <f t="shared" si="24"/>
        <v>7</v>
      </c>
      <c r="AH262" s="123">
        <f t="shared" si="25"/>
        <v>0</v>
      </c>
      <c r="AI262" s="123" t="s">
        <v>917</v>
      </c>
      <c r="AJ262" s="123"/>
      <c r="AK262">
        <f>VLOOKUP(AD262,Sessions!A:K,11,FALSE)</f>
        <v>1</v>
      </c>
      <c r="AL262">
        <v>1</v>
      </c>
    </row>
    <row r="263" spans="2:38" ht="15.75" customHeight="1">
      <c r="B263" s="131"/>
      <c r="C263" t="s">
        <v>681</v>
      </c>
      <c r="D263" t="s">
        <v>682</v>
      </c>
      <c r="E263" t="s">
        <v>680</v>
      </c>
      <c r="F263" t="s">
        <v>683</v>
      </c>
      <c r="G263" t="s">
        <v>1043</v>
      </c>
      <c r="H263" t="s">
        <v>1044</v>
      </c>
      <c r="I263" t="s">
        <v>1045</v>
      </c>
      <c r="J263" t="s">
        <v>294</v>
      </c>
      <c r="K263">
        <v>35</v>
      </c>
      <c r="L263" s="1">
        <v>45492</v>
      </c>
      <c r="M263" t="s">
        <v>1025</v>
      </c>
      <c r="N263" t="s">
        <v>984</v>
      </c>
      <c r="O263" t="s">
        <v>1026</v>
      </c>
      <c r="P263" t="s">
        <v>986</v>
      </c>
      <c r="Q263" t="s">
        <v>987</v>
      </c>
      <c r="R263" t="s">
        <v>759</v>
      </c>
      <c r="S263" t="s">
        <v>733</v>
      </c>
      <c r="T263" t="s">
        <v>1027</v>
      </c>
      <c r="U263" t="s">
        <v>681</v>
      </c>
      <c r="V263" t="s">
        <v>682</v>
      </c>
      <c r="W263" t="s">
        <v>680</v>
      </c>
      <c r="X263" t="s">
        <v>987</v>
      </c>
      <c r="Y263" t="s">
        <v>987</v>
      </c>
      <c r="Z263" t="s">
        <v>987</v>
      </c>
      <c r="AA263" t="s">
        <v>1047</v>
      </c>
      <c r="AD263" s="126">
        <f t="shared" si="26"/>
        <v>35</v>
      </c>
      <c r="AE263" s="123" t="str">
        <f t="shared" si="28"/>
        <v>Friday Lates life drawing at National Gallery</v>
      </c>
      <c r="AF263" s="124">
        <f t="shared" si="27"/>
        <v>45492</v>
      </c>
      <c r="AG263" s="123">
        <f t="shared" si="24"/>
        <v>7</v>
      </c>
      <c r="AH263" s="123">
        <f t="shared" si="25"/>
        <v>0</v>
      </c>
      <c r="AI263" s="123" t="s">
        <v>917</v>
      </c>
      <c r="AJ263" s="123"/>
      <c r="AK263">
        <f>VLOOKUP(AD263,Sessions!A:K,11,FALSE)</f>
        <v>1</v>
      </c>
      <c r="AL263">
        <v>1</v>
      </c>
    </row>
    <row r="264" spans="2:38" ht="15.75" customHeight="1">
      <c r="B264" s="131"/>
      <c r="C264" t="s">
        <v>681</v>
      </c>
      <c r="D264" t="s">
        <v>682</v>
      </c>
      <c r="E264" t="s">
        <v>680</v>
      </c>
      <c r="F264" t="s">
        <v>683</v>
      </c>
      <c r="G264" t="s">
        <v>1043</v>
      </c>
      <c r="H264" t="s">
        <v>1044</v>
      </c>
      <c r="I264" t="s">
        <v>1045</v>
      </c>
      <c r="J264" t="s">
        <v>294</v>
      </c>
      <c r="K264">
        <v>35</v>
      </c>
      <c r="L264" s="1">
        <v>45492</v>
      </c>
      <c r="M264" t="s">
        <v>1025</v>
      </c>
      <c r="N264" t="s">
        <v>984</v>
      </c>
      <c r="O264" t="s">
        <v>1026</v>
      </c>
      <c r="P264" t="s">
        <v>986</v>
      </c>
      <c r="Q264" t="s">
        <v>987</v>
      </c>
      <c r="R264" t="s">
        <v>759</v>
      </c>
      <c r="S264" t="s">
        <v>733</v>
      </c>
      <c r="T264" t="s">
        <v>1027</v>
      </c>
      <c r="U264" t="s">
        <v>681</v>
      </c>
      <c r="V264" t="s">
        <v>682</v>
      </c>
      <c r="W264" t="s">
        <v>680</v>
      </c>
      <c r="X264" t="s">
        <v>987</v>
      </c>
      <c r="Y264" t="s">
        <v>987</v>
      </c>
      <c r="Z264" t="s">
        <v>987</v>
      </c>
      <c r="AA264" t="s">
        <v>1048</v>
      </c>
      <c r="AD264" s="126">
        <f t="shared" si="26"/>
        <v>35</v>
      </c>
      <c r="AE264" s="123" t="str">
        <f t="shared" si="28"/>
        <v>Friday Lates life drawing at National Gallery</v>
      </c>
      <c r="AF264" s="124">
        <f t="shared" si="27"/>
        <v>45492</v>
      </c>
      <c r="AG264" s="123">
        <f t="shared" ref="AG264:AG295" si="29">MONTH(AF264)</f>
        <v>7</v>
      </c>
      <c r="AH264" s="123">
        <f t="shared" si="25"/>
        <v>0</v>
      </c>
      <c r="AI264" s="123" t="s">
        <v>917</v>
      </c>
      <c r="AJ264" s="123"/>
      <c r="AK264">
        <f>VLOOKUP(AD264,Sessions!A:K,11,FALSE)</f>
        <v>1</v>
      </c>
      <c r="AL264">
        <v>1</v>
      </c>
    </row>
    <row r="265" spans="2:38" ht="15.75" customHeight="1">
      <c r="B265" s="131"/>
      <c r="C265" t="s">
        <v>353</v>
      </c>
      <c r="D265" t="s">
        <v>354</v>
      </c>
      <c r="E265" t="s">
        <v>352</v>
      </c>
      <c r="F265" t="s">
        <v>355</v>
      </c>
      <c r="G265" t="s">
        <v>1049</v>
      </c>
      <c r="H265" t="s">
        <v>1050</v>
      </c>
      <c r="I265" t="s">
        <v>995</v>
      </c>
      <c r="J265" t="s">
        <v>1051</v>
      </c>
      <c r="K265">
        <v>37</v>
      </c>
      <c r="L265" s="1">
        <v>45499</v>
      </c>
      <c r="M265" t="s">
        <v>1052</v>
      </c>
      <c r="N265" t="s">
        <v>984</v>
      </c>
      <c r="O265" t="s">
        <v>1053</v>
      </c>
      <c r="P265" t="s">
        <v>986</v>
      </c>
      <c r="Q265" t="s">
        <v>987</v>
      </c>
      <c r="R265" t="s">
        <v>759</v>
      </c>
      <c r="S265" t="s">
        <v>733</v>
      </c>
      <c r="T265" t="s">
        <v>1054</v>
      </c>
      <c r="U265" t="s">
        <v>353</v>
      </c>
      <c r="V265" t="s">
        <v>354</v>
      </c>
      <c r="W265" t="s">
        <v>352</v>
      </c>
      <c r="X265" t="s">
        <v>987</v>
      </c>
      <c r="Y265" t="s">
        <v>987</v>
      </c>
      <c r="Z265" t="s">
        <v>987</v>
      </c>
      <c r="AA265" t="s">
        <v>1055</v>
      </c>
      <c r="AD265" s="126">
        <f t="shared" si="26"/>
        <v>37</v>
      </c>
      <c r="AE265" s="123" t="str">
        <f t="shared" si="28"/>
        <v>Nimi Scavenger Hunt at Tate Late</v>
      </c>
      <c r="AF265" s="124">
        <f t="shared" si="27"/>
        <v>45499</v>
      </c>
      <c r="AG265" s="123">
        <f t="shared" si="29"/>
        <v>7</v>
      </c>
      <c r="AH265" s="123">
        <f t="shared" si="25"/>
        <v>0</v>
      </c>
      <c r="AI265" s="123" t="s">
        <v>917</v>
      </c>
      <c r="AJ265" s="123"/>
      <c r="AK265">
        <f>VLOOKUP(AD265,Sessions!A:K,11,FALSE)</f>
        <v>1</v>
      </c>
      <c r="AL265">
        <v>1</v>
      </c>
    </row>
    <row r="266" spans="2:38" ht="15.75" customHeight="1">
      <c r="B266" s="131"/>
      <c r="C266" t="s">
        <v>503</v>
      </c>
      <c r="D266" t="s">
        <v>354</v>
      </c>
      <c r="E266" s="129" t="s">
        <v>502</v>
      </c>
      <c r="F266" t="s">
        <v>355</v>
      </c>
      <c r="G266" t="s">
        <v>1049</v>
      </c>
      <c r="H266" t="s">
        <v>1050</v>
      </c>
      <c r="I266" t="s">
        <v>995</v>
      </c>
      <c r="J266" t="s">
        <v>1051</v>
      </c>
      <c r="K266">
        <v>37</v>
      </c>
      <c r="L266" s="1">
        <v>45499</v>
      </c>
      <c r="M266" t="s">
        <v>1052</v>
      </c>
      <c r="N266" t="s">
        <v>984</v>
      </c>
      <c r="O266" t="s">
        <v>1053</v>
      </c>
      <c r="P266" t="s">
        <v>986</v>
      </c>
      <c r="Q266" t="s">
        <v>987</v>
      </c>
      <c r="R266" t="s">
        <v>759</v>
      </c>
      <c r="S266" t="s">
        <v>733</v>
      </c>
      <c r="T266" t="s">
        <v>1054</v>
      </c>
      <c r="U266" t="s">
        <v>353</v>
      </c>
      <c r="V266" t="s">
        <v>354</v>
      </c>
      <c r="W266" t="s">
        <v>352</v>
      </c>
      <c r="X266" t="s">
        <v>987</v>
      </c>
      <c r="Y266" t="s">
        <v>987</v>
      </c>
      <c r="Z266" t="s">
        <v>987</v>
      </c>
      <c r="AA266" t="s">
        <v>1056</v>
      </c>
      <c r="AD266" s="126">
        <f t="shared" si="26"/>
        <v>37</v>
      </c>
      <c r="AE266" s="123" t="str">
        <f t="shared" si="28"/>
        <v>Nimi Scavenger Hunt at Tate Late</v>
      </c>
      <c r="AF266" s="124">
        <f t="shared" si="27"/>
        <v>45499</v>
      </c>
      <c r="AG266" s="123">
        <f t="shared" si="29"/>
        <v>7</v>
      </c>
      <c r="AH266" s="123">
        <f t="shared" si="25"/>
        <v>0</v>
      </c>
      <c r="AI266" s="123" t="s">
        <v>917</v>
      </c>
      <c r="AJ266" s="123"/>
      <c r="AK266">
        <f>VLOOKUP(AD266,Sessions!A:K,11,FALSE)</f>
        <v>1</v>
      </c>
      <c r="AL266">
        <v>1</v>
      </c>
    </row>
    <row r="267" spans="2:38" ht="15.75" customHeight="1">
      <c r="B267" s="131" t="s">
        <v>729</v>
      </c>
      <c r="C267" t="s">
        <v>685</v>
      </c>
      <c r="D267" t="s">
        <v>686</v>
      </c>
      <c r="E267" t="s">
        <v>684</v>
      </c>
      <c r="F267" t="s">
        <v>687</v>
      </c>
      <c r="G267" t="s">
        <v>1057</v>
      </c>
      <c r="H267" t="s">
        <v>1058</v>
      </c>
      <c r="I267" t="s">
        <v>995</v>
      </c>
      <c r="J267" t="s">
        <v>1051</v>
      </c>
      <c r="K267">
        <v>37</v>
      </c>
      <c r="L267" s="1">
        <v>45499</v>
      </c>
      <c r="M267" t="s">
        <v>1052</v>
      </c>
      <c r="N267" t="s">
        <v>984</v>
      </c>
      <c r="O267" t="s">
        <v>1053</v>
      </c>
      <c r="P267" t="s">
        <v>986</v>
      </c>
      <c r="Q267" t="s">
        <v>987</v>
      </c>
      <c r="R267" t="s">
        <v>759</v>
      </c>
      <c r="S267" t="s">
        <v>733</v>
      </c>
      <c r="T267" t="s">
        <v>1054</v>
      </c>
      <c r="U267" t="s">
        <v>685</v>
      </c>
      <c r="V267" t="s">
        <v>686</v>
      </c>
      <c r="W267" t="s">
        <v>684</v>
      </c>
      <c r="X267" t="s">
        <v>987</v>
      </c>
      <c r="Y267" t="s">
        <v>987</v>
      </c>
      <c r="Z267" t="s">
        <v>987</v>
      </c>
      <c r="AA267" t="s">
        <v>1059</v>
      </c>
      <c r="AD267" s="126">
        <f t="shared" si="26"/>
        <v>37</v>
      </c>
      <c r="AE267" s="123" t="str">
        <f t="shared" si="28"/>
        <v>Nimi Scavenger Hunt at Tate Late</v>
      </c>
      <c r="AF267" s="124">
        <f t="shared" si="27"/>
        <v>45499</v>
      </c>
      <c r="AG267" s="123">
        <f t="shared" si="29"/>
        <v>7</v>
      </c>
      <c r="AH267" s="123">
        <f t="shared" si="25"/>
        <v>0</v>
      </c>
      <c r="AI267" s="123" t="s">
        <v>917</v>
      </c>
      <c r="AJ267" s="123"/>
      <c r="AK267">
        <f>VLOOKUP(AD267,Sessions!A:K,11,FALSE)</f>
        <v>1</v>
      </c>
      <c r="AL267">
        <v>1</v>
      </c>
    </row>
    <row r="268" spans="2:38" ht="15.75" customHeight="1">
      <c r="B268" s="131" t="s">
        <v>729</v>
      </c>
      <c r="C268" t="s">
        <v>677</v>
      </c>
      <c r="D268" t="s">
        <v>678</v>
      </c>
      <c r="E268" t="s">
        <v>676</v>
      </c>
      <c r="F268" t="s">
        <v>690</v>
      </c>
      <c r="G268" t="s">
        <v>1060</v>
      </c>
      <c r="H268" t="s">
        <v>1024</v>
      </c>
      <c r="I268" t="s">
        <v>995</v>
      </c>
      <c r="J268" t="s">
        <v>1051</v>
      </c>
      <c r="K268">
        <v>37</v>
      </c>
      <c r="L268" s="1">
        <v>45499</v>
      </c>
      <c r="M268" t="s">
        <v>1052</v>
      </c>
      <c r="N268" t="s">
        <v>984</v>
      </c>
      <c r="O268" t="s">
        <v>1053</v>
      </c>
      <c r="P268" t="s">
        <v>986</v>
      </c>
      <c r="Q268" t="s">
        <v>987</v>
      </c>
      <c r="R268" t="s">
        <v>759</v>
      </c>
      <c r="S268" t="s">
        <v>733</v>
      </c>
      <c r="T268" t="s">
        <v>1054</v>
      </c>
      <c r="U268" t="s">
        <v>677</v>
      </c>
      <c r="V268" t="s">
        <v>678</v>
      </c>
      <c r="W268" t="s">
        <v>676</v>
      </c>
      <c r="X268" t="s">
        <v>987</v>
      </c>
      <c r="Y268" t="s">
        <v>987</v>
      </c>
      <c r="Z268" t="s">
        <v>987</v>
      </c>
      <c r="AA268" t="s">
        <v>1061</v>
      </c>
      <c r="AD268" s="126">
        <f t="shared" ref="AD268:AD290" si="30">K268</f>
        <v>37</v>
      </c>
      <c r="AE268" s="123" t="str">
        <f t="shared" si="28"/>
        <v>Nimi Scavenger Hunt at Tate Late</v>
      </c>
      <c r="AF268" s="124">
        <f t="shared" si="27"/>
        <v>45499</v>
      </c>
      <c r="AG268" s="123">
        <f t="shared" si="29"/>
        <v>7</v>
      </c>
      <c r="AH268" s="123">
        <f t="shared" si="25"/>
        <v>0</v>
      </c>
      <c r="AI268" s="123" t="s">
        <v>917</v>
      </c>
      <c r="AJ268" s="88"/>
      <c r="AK268">
        <f>VLOOKUP(AD268,Sessions!A:K,11,FALSE)</f>
        <v>1</v>
      </c>
      <c r="AL268">
        <v>1</v>
      </c>
    </row>
    <row r="269" spans="2:38" ht="15.75" customHeight="1">
      <c r="B269" s="131" t="s">
        <v>729</v>
      </c>
      <c r="C269" t="s">
        <v>689</v>
      </c>
      <c r="D269"/>
      <c r="E269" t="s">
        <v>688</v>
      </c>
      <c r="F269" t="s">
        <v>690</v>
      </c>
      <c r="G269" t="s">
        <v>1060</v>
      </c>
      <c r="H269" t="s">
        <v>1024</v>
      </c>
      <c r="I269" t="s">
        <v>995</v>
      </c>
      <c r="J269" t="s">
        <v>1051</v>
      </c>
      <c r="K269">
        <v>37</v>
      </c>
      <c r="L269" s="1">
        <v>45499</v>
      </c>
      <c r="M269" t="s">
        <v>1052</v>
      </c>
      <c r="N269" t="s">
        <v>984</v>
      </c>
      <c r="O269" t="s">
        <v>1053</v>
      </c>
      <c r="P269" t="s">
        <v>986</v>
      </c>
      <c r="Q269" t="s">
        <v>987</v>
      </c>
      <c r="R269" t="s">
        <v>759</v>
      </c>
      <c r="S269" t="s">
        <v>733</v>
      </c>
      <c r="T269" t="s">
        <v>1054</v>
      </c>
      <c r="U269" t="s">
        <v>677</v>
      </c>
      <c r="V269" t="s">
        <v>678</v>
      </c>
      <c r="W269" t="s">
        <v>676</v>
      </c>
      <c r="X269" t="s">
        <v>987</v>
      </c>
      <c r="Y269" t="s">
        <v>987</v>
      </c>
      <c r="Z269" t="s">
        <v>987</v>
      </c>
      <c r="AA269" t="s">
        <v>1062</v>
      </c>
      <c r="AD269" s="126">
        <f t="shared" si="30"/>
        <v>37</v>
      </c>
      <c r="AE269" s="123" t="str">
        <f t="shared" si="28"/>
        <v>Nimi Scavenger Hunt at Tate Late</v>
      </c>
      <c r="AF269" s="124">
        <f t="shared" si="27"/>
        <v>45499</v>
      </c>
      <c r="AG269" s="123">
        <f t="shared" si="29"/>
        <v>7</v>
      </c>
      <c r="AH269" s="123">
        <f t="shared" si="25"/>
        <v>0</v>
      </c>
      <c r="AI269" s="123" t="s">
        <v>929</v>
      </c>
      <c r="AJ269" t="s">
        <v>676</v>
      </c>
      <c r="AK269">
        <f>VLOOKUP(AD269,Sessions!A:K,11,FALSE)</f>
        <v>1</v>
      </c>
      <c r="AL269">
        <v>1</v>
      </c>
    </row>
    <row r="270" spans="2:38" ht="15.75" customHeight="1">
      <c r="B270" s="131" t="s">
        <v>729</v>
      </c>
      <c r="C270" t="s">
        <v>692</v>
      </c>
      <c r="D270"/>
      <c r="E270" t="s">
        <v>691</v>
      </c>
      <c r="F270" t="s">
        <v>690</v>
      </c>
      <c r="G270" t="s">
        <v>1060</v>
      </c>
      <c r="H270" t="s">
        <v>1024</v>
      </c>
      <c r="I270" t="s">
        <v>995</v>
      </c>
      <c r="J270" t="s">
        <v>1051</v>
      </c>
      <c r="K270">
        <v>37</v>
      </c>
      <c r="L270" s="1">
        <v>45499</v>
      </c>
      <c r="M270" t="s">
        <v>1052</v>
      </c>
      <c r="N270" t="s">
        <v>984</v>
      </c>
      <c r="O270" t="s">
        <v>1053</v>
      </c>
      <c r="P270" t="s">
        <v>986</v>
      </c>
      <c r="Q270" t="s">
        <v>987</v>
      </c>
      <c r="R270" t="s">
        <v>759</v>
      </c>
      <c r="S270" t="s">
        <v>733</v>
      </c>
      <c r="T270" t="s">
        <v>1054</v>
      </c>
      <c r="U270" t="s">
        <v>677</v>
      </c>
      <c r="V270" t="s">
        <v>678</v>
      </c>
      <c r="W270" t="s">
        <v>676</v>
      </c>
      <c r="X270" t="s">
        <v>987</v>
      </c>
      <c r="Y270" t="s">
        <v>987</v>
      </c>
      <c r="Z270" t="s">
        <v>987</v>
      </c>
      <c r="AA270" t="s">
        <v>1063</v>
      </c>
      <c r="AD270" s="126">
        <f t="shared" si="30"/>
        <v>37</v>
      </c>
      <c r="AE270" s="123" t="str">
        <f t="shared" si="28"/>
        <v>Nimi Scavenger Hunt at Tate Late</v>
      </c>
      <c r="AF270" s="124">
        <f t="shared" si="27"/>
        <v>45499</v>
      </c>
      <c r="AG270" s="123">
        <f t="shared" si="29"/>
        <v>7</v>
      </c>
      <c r="AH270" s="123">
        <f t="shared" si="25"/>
        <v>0</v>
      </c>
      <c r="AI270" s="123" t="s">
        <v>929</v>
      </c>
      <c r="AJ270" s="149" t="s">
        <v>676</v>
      </c>
      <c r="AK270">
        <f>VLOOKUP(AD270,Sessions!A:K,11,FALSE)</f>
        <v>1</v>
      </c>
      <c r="AL270">
        <v>1</v>
      </c>
    </row>
    <row r="271" spans="2:38" ht="15.75" customHeight="1">
      <c r="B271" s="131" t="s">
        <v>729</v>
      </c>
      <c r="C271" t="s">
        <v>572</v>
      </c>
      <c r="D271" t="s">
        <v>573</v>
      </c>
      <c r="E271" t="s">
        <v>571</v>
      </c>
      <c r="F271" t="s">
        <v>1064</v>
      </c>
      <c r="G271" t="s">
        <v>1065</v>
      </c>
      <c r="H271" t="s">
        <v>1066</v>
      </c>
      <c r="I271" t="s">
        <v>995</v>
      </c>
      <c r="J271" t="s">
        <v>1051</v>
      </c>
      <c r="K271">
        <v>37</v>
      </c>
      <c r="L271" s="1">
        <v>45499</v>
      </c>
      <c r="M271" t="s">
        <v>1052</v>
      </c>
      <c r="N271" t="s">
        <v>984</v>
      </c>
      <c r="O271" t="s">
        <v>1053</v>
      </c>
      <c r="P271" t="s">
        <v>986</v>
      </c>
      <c r="Q271" t="s">
        <v>987</v>
      </c>
      <c r="R271" t="s">
        <v>759</v>
      </c>
      <c r="S271" t="s">
        <v>733</v>
      </c>
      <c r="T271" t="s">
        <v>1054</v>
      </c>
      <c r="U271" t="s">
        <v>572</v>
      </c>
      <c r="V271" t="s">
        <v>573</v>
      </c>
      <c r="W271" t="s">
        <v>571</v>
      </c>
      <c r="X271" t="s">
        <v>987</v>
      </c>
      <c r="Y271" t="s">
        <v>987</v>
      </c>
      <c r="Z271" t="s">
        <v>987</v>
      </c>
      <c r="AA271" t="s">
        <v>1067</v>
      </c>
      <c r="AD271" s="126">
        <f t="shared" si="30"/>
        <v>37</v>
      </c>
      <c r="AE271" s="123" t="str">
        <f t="shared" si="28"/>
        <v>Nimi Scavenger Hunt at Tate Late</v>
      </c>
      <c r="AF271" s="124">
        <f t="shared" si="27"/>
        <v>45499</v>
      </c>
      <c r="AG271" s="123">
        <f t="shared" si="29"/>
        <v>7</v>
      </c>
      <c r="AH271" s="123">
        <f t="shared" si="25"/>
        <v>0</v>
      </c>
      <c r="AI271" s="123" t="s">
        <v>917</v>
      </c>
      <c r="AJ271" s="123"/>
      <c r="AK271">
        <f>VLOOKUP(AD271,Sessions!A:K,11,FALSE)</f>
        <v>1</v>
      </c>
      <c r="AL271">
        <v>1</v>
      </c>
    </row>
    <row r="272" spans="2:38" ht="15.75" customHeight="1">
      <c r="B272" s="131" t="s">
        <v>729</v>
      </c>
      <c r="C272" t="s">
        <v>554</v>
      </c>
      <c r="D272" t="s">
        <v>555</v>
      </c>
      <c r="E272" t="s">
        <v>124</v>
      </c>
      <c r="F272" t="s">
        <v>953</v>
      </c>
      <c r="G272" t="s">
        <v>980</v>
      </c>
      <c r="H272" t="s">
        <v>981</v>
      </c>
      <c r="I272" t="s">
        <v>982</v>
      </c>
      <c r="J272" t="s">
        <v>1051</v>
      </c>
      <c r="K272">
        <v>37</v>
      </c>
      <c r="L272" s="1">
        <v>45499</v>
      </c>
      <c r="M272" t="s">
        <v>1052</v>
      </c>
      <c r="N272" t="s">
        <v>984</v>
      </c>
      <c r="O272" t="s">
        <v>1053</v>
      </c>
      <c r="P272" t="s">
        <v>986</v>
      </c>
      <c r="Q272" t="s">
        <v>987</v>
      </c>
      <c r="R272" t="s">
        <v>759</v>
      </c>
      <c r="S272" t="s">
        <v>733</v>
      </c>
      <c r="T272" t="s">
        <v>1054</v>
      </c>
      <c r="U272" t="s">
        <v>554</v>
      </c>
      <c r="V272" t="s">
        <v>555</v>
      </c>
      <c r="W272" t="s">
        <v>124</v>
      </c>
      <c r="X272" t="s">
        <v>987</v>
      </c>
      <c r="Y272" t="s">
        <v>987</v>
      </c>
      <c r="Z272" t="s">
        <v>987</v>
      </c>
      <c r="AA272" t="s">
        <v>1068</v>
      </c>
      <c r="AD272" s="126">
        <f t="shared" si="30"/>
        <v>37</v>
      </c>
      <c r="AE272" s="123" t="str">
        <f t="shared" si="28"/>
        <v>Nimi Scavenger Hunt at Tate Late</v>
      </c>
      <c r="AF272" s="124">
        <f t="shared" si="27"/>
        <v>45499</v>
      </c>
      <c r="AG272" s="123">
        <f t="shared" si="29"/>
        <v>7</v>
      </c>
      <c r="AH272" s="123">
        <f t="shared" si="25"/>
        <v>0</v>
      </c>
      <c r="AI272" s="123" t="s">
        <v>917</v>
      </c>
      <c r="AJ272" s="123"/>
      <c r="AK272">
        <f>VLOOKUP(AD272,Sessions!A:K,11,FALSE)</f>
        <v>1</v>
      </c>
      <c r="AL272">
        <v>1</v>
      </c>
    </row>
    <row r="273" spans="2:38" ht="15.75" customHeight="1">
      <c r="B273" s="131" t="s">
        <v>729</v>
      </c>
      <c r="C273" t="s">
        <v>694</v>
      </c>
      <c r="D273" t="s">
        <v>695</v>
      </c>
      <c r="E273" t="s">
        <v>693</v>
      </c>
      <c r="F273" t="s">
        <v>696</v>
      </c>
      <c r="G273" t="s">
        <v>1069</v>
      </c>
      <c r="H273" t="s">
        <v>1070</v>
      </c>
      <c r="I273" t="s">
        <v>995</v>
      </c>
      <c r="J273" t="s">
        <v>1051</v>
      </c>
      <c r="K273">
        <v>37</v>
      </c>
      <c r="L273" s="1">
        <v>45499</v>
      </c>
      <c r="M273" t="s">
        <v>1052</v>
      </c>
      <c r="N273" t="s">
        <v>984</v>
      </c>
      <c r="O273" t="s">
        <v>1053</v>
      </c>
      <c r="P273" t="s">
        <v>986</v>
      </c>
      <c r="Q273" t="s">
        <v>987</v>
      </c>
      <c r="R273" t="s">
        <v>759</v>
      </c>
      <c r="S273" t="s">
        <v>733</v>
      </c>
      <c r="T273" t="s">
        <v>1054</v>
      </c>
      <c r="U273" t="s">
        <v>694</v>
      </c>
      <c r="V273" t="s">
        <v>695</v>
      </c>
      <c r="W273" t="s">
        <v>693</v>
      </c>
      <c r="X273" t="s">
        <v>987</v>
      </c>
      <c r="Y273" t="s">
        <v>987</v>
      </c>
      <c r="Z273" t="s">
        <v>987</v>
      </c>
      <c r="AA273" t="s">
        <v>1071</v>
      </c>
      <c r="AD273" s="126">
        <f t="shared" si="30"/>
        <v>37</v>
      </c>
      <c r="AE273" s="123" t="str">
        <f t="shared" si="28"/>
        <v>Nimi Scavenger Hunt at Tate Late</v>
      </c>
      <c r="AF273" s="124">
        <f t="shared" si="27"/>
        <v>45499</v>
      </c>
      <c r="AG273" s="123">
        <f t="shared" si="29"/>
        <v>7</v>
      </c>
      <c r="AH273" s="123">
        <f t="shared" si="25"/>
        <v>0</v>
      </c>
      <c r="AI273" s="123" t="s">
        <v>917</v>
      </c>
      <c r="AJ273" s="123"/>
      <c r="AK273">
        <f>VLOOKUP(AD273,Sessions!A:K,11,FALSE)</f>
        <v>1</v>
      </c>
      <c r="AL273">
        <v>1</v>
      </c>
    </row>
    <row r="274" spans="2:38" ht="15.75" customHeight="1">
      <c r="B274" s="131" t="s">
        <v>729</v>
      </c>
      <c r="C274" t="s">
        <v>694</v>
      </c>
      <c r="D274" t="s">
        <v>695</v>
      </c>
      <c r="E274" t="s">
        <v>693</v>
      </c>
      <c r="F274" t="s">
        <v>696</v>
      </c>
      <c r="G274" t="s">
        <v>1069</v>
      </c>
      <c r="H274" t="s">
        <v>1070</v>
      </c>
      <c r="I274" t="s">
        <v>995</v>
      </c>
      <c r="J274" t="s">
        <v>1051</v>
      </c>
      <c r="K274">
        <v>37</v>
      </c>
      <c r="L274" s="1">
        <v>45499</v>
      </c>
      <c r="M274" t="s">
        <v>1052</v>
      </c>
      <c r="N274" t="s">
        <v>984</v>
      </c>
      <c r="O274" t="s">
        <v>1053</v>
      </c>
      <c r="P274" t="s">
        <v>986</v>
      </c>
      <c r="Q274" t="s">
        <v>987</v>
      </c>
      <c r="R274" t="s">
        <v>759</v>
      </c>
      <c r="S274" t="s">
        <v>733</v>
      </c>
      <c r="T274" t="s">
        <v>1054</v>
      </c>
      <c r="U274" t="s">
        <v>694</v>
      </c>
      <c r="V274" t="s">
        <v>695</v>
      </c>
      <c r="W274" t="s">
        <v>693</v>
      </c>
      <c r="X274" t="s">
        <v>987</v>
      </c>
      <c r="Y274" t="s">
        <v>987</v>
      </c>
      <c r="Z274" t="s">
        <v>987</v>
      </c>
      <c r="AA274" t="s">
        <v>1072</v>
      </c>
      <c r="AD274" s="126">
        <f t="shared" si="30"/>
        <v>37</v>
      </c>
      <c r="AE274" s="123" t="str">
        <f t="shared" si="28"/>
        <v>Nimi Scavenger Hunt at Tate Late</v>
      </c>
      <c r="AF274" s="124">
        <f t="shared" si="27"/>
        <v>45499</v>
      </c>
      <c r="AG274" s="123">
        <f t="shared" si="29"/>
        <v>7</v>
      </c>
      <c r="AH274" s="123">
        <f t="shared" si="25"/>
        <v>0</v>
      </c>
      <c r="AI274" s="123" t="s">
        <v>917</v>
      </c>
      <c r="AJ274" s="123"/>
      <c r="AK274">
        <f>VLOOKUP(AD274,Sessions!A:K,11,FALSE)</f>
        <v>1</v>
      </c>
      <c r="AL274">
        <v>1</v>
      </c>
    </row>
    <row r="275" spans="2:38" ht="15.75" customHeight="1">
      <c r="B275" s="131" t="s">
        <v>729</v>
      </c>
      <c r="C275" t="s">
        <v>586</v>
      </c>
      <c r="D275" t="s">
        <v>590</v>
      </c>
      <c r="E275" s="129" t="s">
        <v>589</v>
      </c>
      <c r="F275" t="s">
        <v>935</v>
      </c>
      <c r="G275" t="s">
        <v>1073</v>
      </c>
      <c r="H275" t="s">
        <v>1074</v>
      </c>
      <c r="I275" t="s">
        <v>995</v>
      </c>
      <c r="J275" t="s">
        <v>1051</v>
      </c>
      <c r="K275">
        <v>37</v>
      </c>
      <c r="L275" s="1">
        <v>45499</v>
      </c>
      <c r="M275" t="s">
        <v>1052</v>
      </c>
      <c r="N275" t="s">
        <v>984</v>
      </c>
      <c r="O275" t="s">
        <v>1053</v>
      </c>
      <c r="P275" t="s">
        <v>986</v>
      </c>
      <c r="Q275" t="s">
        <v>987</v>
      </c>
      <c r="R275" t="s">
        <v>759</v>
      </c>
      <c r="S275" t="s">
        <v>733</v>
      </c>
      <c r="T275" t="s">
        <v>1054</v>
      </c>
      <c r="U275" t="s">
        <v>586</v>
      </c>
      <c r="V275" t="s">
        <v>590</v>
      </c>
      <c r="W275" t="s">
        <v>1075</v>
      </c>
      <c r="X275" t="s">
        <v>987</v>
      </c>
      <c r="Y275" t="s">
        <v>987</v>
      </c>
      <c r="Z275" t="s">
        <v>987</v>
      </c>
      <c r="AA275" t="s">
        <v>1076</v>
      </c>
      <c r="AD275" s="126">
        <f t="shared" si="30"/>
        <v>37</v>
      </c>
      <c r="AE275" s="123" t="str">
        <f t="shared" si="28"/>
        <v>Nimi Scavenger Hunt at Tate Late</v>
      </c>
      <c r="AF275" s="124">
        <f t="shared" si="27"/>
        <v>45499</v>
      </c>
      <c r="AG275" s="123">
        <f t="shared" si="29"/>
        <v>7</v>
      </c>
      <c r="AH275" s="123">
        <f t="shared" si="25"/>
        <v>0</v>
      </c>
      <c r="AI275" s="123" t="s">
        <v>917</v>
      </c>
      <c r="AJ275" s="123"/>
      <c r="AK275">
        <f>VLOOKUP(AD275,Sessions!A:K,11,FALSE)</f>
        <v>1</v>
      </c>
      <c r="AL275">
        <v>1</v>
      </c>
    </row>
    <row r="276" spans="2:38" ht="15.75" customHeight="1">
      <c r="B276" s="131" t="s">
        <v>729</v>
      </c>
      <c r="C276" t="s">
        <v>609</v>
      </c>
      <c r="D276" t="s">
        <v>610</v>
      </c>
      <c r="E276" t="s">
        <v>170</v>
      </c>
      <c r="F276" t="s">
        <v>611</v>
      </c>
      <c r="G276" t="s">
        <v>1077</v>
      </c>
      <c r="H276" t="s">
        <v>1078</v>
      </c>
      <c r="I276" t="s">
        <v>995</v>
      </c>
      <c r="J276" t="s">
        <v>1051</v>
      </c>
      <c r="K276">
        <v>37</v>
      </c>
      <c r="L276" s="1">
        <v>45499</v>
      </c>
      <c r="M276" t="s">
        <v>1052</v>
      </c>
      <c r="N276" t="s">
        <v>984</v>
      </c>
      <c r="O276" t="s">
        <v>1053</v>
      </c>
      <c r="P276" t="s">
        <v>986</v>
      </c>
      <c r="Q276" t="s">
        <v>987</v>
      </c>
      <c r="R276" t="s">
        <v>759</v>
      </c>
      <c r="S276" t="s">
        <v>733</v>
      </c>
      <c r="T276" t="s">
        <v>1054</v>
      </c>
      <c r="U276" t="s">
        <v>609</v>
      </c>
      <c r="V276" t="s">
        <v>610</v>
      </c>
      <c r="W276" t="s">
        <v>170</v>
      </c>
      <c r="X276" t="s">
        <v>987</v>
      </c>
      <c r="Y276" t="s">
        <v>987</v>
      </c>
      <c r="Z276" t="s">
        <v>987</v>
      </c>
      <c r="AA276" t="s">
        <v>1079</v>
      </c>
      <c r="AD276" s="126">
        <f t="shared" si="30"/>
        <v>37</v>
      </c>
      <c r="AE276" s="123" t="str">
        <f t="shared" si="28"/>
        <v>Nimi Scavenger Hunt at Tate Late</v>
      </c>
      <c r="AF276" s="124">
        <f t="shared" si="27"/>
        <v>45499</v>
      </c>
      <c r="AG276" s="123">
        <f t="shared" si="29"/>
        <v>7</v>
      </c>
      <c r="AH276" s="123">
        <f t="shared" si="25"/>
        <v>0</v>
      </c>
      <c r="AI276" s="123" t="s">
        <v>917</v>
      </c>
      <c r="AJ276" s="123"/>
      <c r="AK276">
        <f>VLOOKUP(AD276,Sessions!A:K,11,FALSE)</f>
        <v>1</v>
      </c>
      <c r="AL276">
        <v>1</v>
      </c>
    </row>
    <row r="277" spans="2:38" ht="15.75" customHeight="1">
      <c r="B277" s="131" t="s">
        <v>729</v>
      </c>
      <c r="C277" t="s">
        <v>564</v>
      </c>
      <c r="D277" t="s">
        <v>565</v>
      </c>
      <c r="E277" t="s">
        <v>135</v>
      </c>
      <c r="F277" t="s">
        <v>954</v>
      </c>
      <c r="G277" t="s">
        <v>980</v>
      </c>
      <c r="H277" t="s">
        <v>981</v>
      </c>
      <c r="I277" t="s">
        <v>982</v>
      </c>
      <c r="J277" t="s">
        <v>1051</v>
      </c>
      <c r="K277">
        <v>37</v>
      </c>
      <c r="L277" s="1">
        <v>45499</v>
      </c>
      <c r="M277" t="s">
        <v>1052</v>
      </c>
      <c r="N277" t="s">
        <v>984</v>
      </c>
      <c r="O277" t="s">
        <v>1053</v>
      </c>
      <c r="P277" t="s">
        <v>986</v>
      </c>
      <c r="Q277" t="s">
        <v>987</v>
      </c>
      <c r="R277" t="s">
        <v>759</v>
      </c>
      <c r="S277" t="s">
        <v>733</v>
      </c>
      <c r="T277" t="s">
        <v>1054</v>
      </c>
      <c r="U277" t="s">
        <v>564</v>
      </c>
      <c r="V277" t="s">
        <v>565</v>
      </c>
      <c r="W277" t="s">
        <v>135</v>
      </c>
      <c r="X277" t="s">
        <v>987</v>
      </c>
      <c r="Y277" t="s">
        <v>987</v>
      </c>
      <c r="Z277" t="s">
        <v>987</v>
      </c>
      <c r="AA277" t="s">
        <v>1080</v>
      </c>
      <c r="AD277" s="126">
        <f t="shared" si="30"/>
        <v>37</v>
      </c>
      <c r="AE277" s="123" t="str">
        <f t="shared" si="28"/>
        <v>Nimi Scavenger Hunt at Tate Late</v>
      </c>
      <c r="AF277" s="124">
        <f t="shared" si="27"/>
        <v>45499</v>
      </c>
      <c r="AG277" s="123">
        <f t="shared" si="29"/>
        <v>7</v>
      </c>
      <c r="AH277" s="123">
        <f t="shared" si="25"/>
        <v>0</v>
      </c>
      <c r="AI277" s="123" t="s">
        <v>917</v>
      </c>
      <c r="AJ277" s="123"/>
      <c r="AK277">
        <f>VLOOKUP(AD277,Sessions!A:K,11,FALSE)</f>
        <v>1</v>
      </c>
      <c r="AL277">
        <v>1</v>
      </c>
    </row>
    <row r="278" spans="2:38" ht="15.75" customHeight="1">
      <c r="B278" s="131" t="s">
        <v>729</v>
      </c>
      <c r="C278" t="s">
        <v>381</v>
      </c>
      <c r="D278" t="s">
        <v>382</v>
      </c>
      <c r="E278" t="s">
        <v>147</v>
      </c>
      <c r="F278" t="s">
        <v>942</v>
      </c>
      <c r="G278" t="s">
        <v>980</v>
      </c>
      <c r="H278" t="s">
        <v>981</v>
      </c>
      <c r="I278" t="s">
        <v>982</v>
      </c>
      <c r="J278" t="s">
        <v>1051</v>
      </c>
      <c r="K278">
        <v>37</v>
      </c>
      <c r="L278" s="1">
        <v>45499</v>
      </c>
      <c r="M278" t="s">
        <v>1052</v>
      </c>
      <c r="N278" t="s">
        <v>984</v>
      </c>
      <c r="O278" t="s">
        <v>1053</v>
      </c>
      <c r="P278" t="s">
        <v>986</v>
      </c>
      <c r="Q278" t="s">
        <v>987</v>
      </c>
      <c r="R278" t="s">
        <v>759</v>
      </c>
      <c r="S278" t="s">
        <v>733</v>
      </c>
      <c r="T278" t="s">
        <v>1054</v>
      </c>
      <c r="U278" t="s">
        <v>381</v>
      </c>
      <c r="V278" t="s">
        <v>382</v>
      </c>
      <c r="W278" t="s">
        <v>147</v>
      </c>
      <c r="X278" t="s">
        <v>987</v>
      </c>
      <c r="Y278" t="s">
        <v>987</v>
      </c>
      <c r="Z278" t="s">
        <v>987</v>
      </c>
      <c r="AA278" t="s">
        <v>1081</v>
      </c>
      <c r="AD278" s="126">
        <f t="shared" si="30"/>
        <v>37</v>
      </c>
      <c r="AE278" s="123" t="str">
        <f t="shared" si="28"/>
        <v>Nimi Scavenger Hunt at Tate Late</v>
      </c>
      <c r="AF278" s="124">
        <f t="shared" si="27"/>
        <v>45499</v>
      </c>
      <c r="AG278" s="123">
        <f t="shared" si="29"/>
        <v>7</v>
      </c>
      <c r="AH278" s="123">
        <f t="shared" si="25"/>
        <v>0</v>
      </c>
      <c r="AI278" s="123" t="s">
        <v>917</v>
      </c>
      <c r="AJ278" s="123"/>
      <c r="AK278">
        <f>VLOOKUP(AD278,Sessions!A:K,11,FALSE)</f>
        <v>1</v>
      </c>
      <c r="AL278">
        <v>1</v>
      </c>
    </row>
    <row r="279" spans="2:38" ht="15.75" customHeight="1">
      <c r="B279" s="131" t="s">
        <v>729</v>
      </c>
      <c r="C279" t="s">
        <v>698</v>
      </c>
      <c r="D279" t="s">
        <v>699</v>
      </c>
      <c r="E279" t="s">
        <v>697</v>
      </c>
      <c r="F279" t="s">
        <v>700</v>
      </c>
      <c r="G279" t="s">
        <v>1082</v>
      </c>
      <c r="H279" t="s">
        <v>1083</v>
      </c>
      <c r="I279" t="s">
        <v>995</v>
      </c>
      <c r="J279" t="s">
        <v>1051</v>
      </c>
      <c r="K279">
        <v>37</v>
      </c>
      <c r="L279" s="1">
        <v>45499</v>
      </c>
      <c r="M279" t="s">
        <v>1052</v>
      </c>
      <c r="N279" t="s">
        <v>984</v>
      </c>
      <c r="O279" t="s">
        <v>1053</v>
      </c>
      <c r="P279" t="s">
        <v>986</v>
      </c>
      <c r="Q279" t="s">
        <v>987</v>
      </c>
      <c r="R279" t="s">
        <v>759</v>
      </c>
      <c r="S279" t="s">
        <v>733</v>
      </c>
      <c r="T279" t="s">
        <v>1054</v>
      </c>
      <c r="U279" t="s">
        <v>698</v>
      </c>
      <c r="V279" t="s">
        <v>699</v>
      </c>
      <c r="W279" t="s">
        <v>697</v>
      </c>
      <c r="X279" t="s">
        <v>987</v>
      </c>
      <c r="Y279" t="s">
        <v>987</v>
      </c>
      <c r="Z279" t="s">
        <v>987</v>
      </c>
      <c r="AA279" t="s">
        <v>1084</v>
      </c>
      <c r="AD279" s="126">
        <f t="shared" si="30"/>
        <v>37</v>
      </c>
      <c r="AE279" s="123" t="str">
        <f t="shared" si="28"/>
        <v>Nimi Scavenger Hunt at Tate Late</v>
      </c>
      <c r="AF279" s="124">
        <f t="shared" si="27"/>
        <v>45499</v>
      </c>
      <c r="AG279" s="123">
        <f t="shared" si="29"/>
        <v>7</v>
      </c>
      <c r="AH279" s="123">
        <f t="shared" si="25"/>
        <v>0</v>
      </c>
      <c r="AI279" s="123" t="s">
        <v>917</v>
      </c>
      <c r="AJ279" s="123"/>
      <c r="AK279">
        <f>VLOOKUP(AD279,Sessions!A:K,11,FALSE)</f>
        <v>1</v>
      </c>
      <c r="AL279">
        <v>1</v>
      </c>
    </row>
    <row r="280" spans="2:38" ht="15.75" customHeight="1">
      <c r="B280" s="131" t="s">
        <v>729</v>
      </c>
      <c r="C280" t="s">
        <v>538</v>
      </c>
      <c r="D280" t="s">
        <v>539</v>
      </c>
      <c r="E280" t="s">
        <v>128</v>
      </c>
      <c r="F280" t="s">
        <v>540</v>
      </c>
      <c r="G280" t="s">
        <v>993</v>
      </c>
      <c r="H280" t="s">
        <v>994</v>
      </c>
      <c r="I280" t="s">
        <v>995</v>
      </c>
      <c r="J280" t="s">
        <v>1051</v>
      </c>
      <c r="K280">
        <v>37</v>
      </c>
      <c r="L280" s="1">
        <v>45499</v>
      </c>
      <c r="M280" t="s">
        <v>1052</v>
      </c>
      <c r="N280" t="s">
        <v>984</v>
      </c>
      <c r="O280" t="s">
        <v>1053</v>
      </c>
      <c r="P280" t="s">
        <v>986</v>
      </c>
      <c r="Q280" t="s">
        <v>987</v>
      </c>
      <c r="R280" t="s">
        <v>759</v>
      </c>
      <c r="S280" t="s">
        <v>733</v>
      </c>
      <c r="T280" t="s">
        <v>1054</v>
      </c>
      <c r="U280" t="s">
        <v>538</v>
      </c>
      <c r="V280" t="s">
        <v>539</v>
      </c>
      <c r="W280" t="s">
        <v>128</v>
      </c>
      <c r="X280" t="s">
        <v>987</v>
      </c>
      <c r="Y280" t="s">
        <v>987</v>
      </c>
      <c r="Z280" t="s">
        <v>987</v>
      </c>
      <c r="AA280" t="s">
        <v>1085</v>
      </c>
      <c r="AD280" s="126">
        <f t="shared" si="30"/>
        <v>37</v>
      </c>
      <c r="AE280" s="123" t="str">
        <f t="shared" si="28"/>
        <v>Nimi Scavenger Hunt at Tate Late</v>
      </c>
      <c r="AF280" s="124">
        <f t="shared" si="27"/>
        <v>45499</v>
      </c>
      <c r="AG280" s="123">
        <f t="shared" si="29"/>
        <v>7</v>
      </c>
      <c r="AH280" s="123">
        <f t="shared" si="25"/>
        <v>0</v>
      </c>
      <c r="AI280" s="123" t="s">
        <v>917</v>
      </c>
      <c r="AJ280" s="123"/>
      <c r="AK280">
        <f>VLOOKUP(AD280,Sessions!A:K,11,FALSE)</f>
        <v>1</v>
      </c>
      <c r="AL280">
        <v>1</v>
      </c>
    </row>
    <row r="281" spans="2:38" ht="15.75" customHeight="1">
      <c r="B281" s="131" t="s">
        <v>729</v>
      </c>
      <c r="C281" t="s">
        <v>1001</v>
      </c>
      <c r="D281" t="s">
        <v>1002</v>
      </c>
      <c r="E281" t="s">
        <v>1003</v>
      </c>
      <c r="F281" t="s">
        <v>1086</v>
      </c>
      <c r="G281" t="s">
        <v>1087</v>
      </c>
      <c r="H281" t="s">
        <v>1088</v>
      </c>
      <c r="I281" t="s">
        <v>995</v>
      </c>
      <c r="J281" t="s">
        <v>1051</v>
      </c>
      <c r="K281">
        <v>37</v>
      </c>
      <c r="L281" s="1">
        <v>45499</v>
      </c>
      <c r="M281" t="s">
        <v>1052</v>
      </c>
      <c r="N281" t="s">
        <v>984</v>
      </c>
      <c r="O281" t="s">
        <v>1053</v>
      </c>
      <c r="P281" t="s">
        <v>986</v>
      </c>
      <c r="Q281" t="s">
        <v>987</v>
      </c>
      <c r="R281" t="s">
        <v>759</v>
      </c>
      <c r="S281" t="s">
        <v>733</v>
      </c>
      <c r="T281" t="s">
        <v>1054</v>
      </c>
      <c r="U281" t="s">
        <v>1089</v>
      </c>
      <c r="V281" t="s">
        <v>1002</v>
      </c>
      <c r="W281" t="s">
        <v>1003</v>
      </c>
      <c r="X281" t="s">
        <v>987</v>
      </c>
      <c r="Y281" t="s">
        <v>987</v>
      </c>
      <c r="Z281" t="s">
        <v>987</v>
      </c>
      <c r="AA281" t="s">
        <v>1090</v>
      </c>
      <c r="AD281" s="126">
        <f t="shared" si="30"/>
        <v>37</v>
      </c>
      <c r="AE281" s="123" t="str">
        <f t="shared" si="28"/>
        <v>Nimi Scavenger Hunt at Tate Late</v>
      </c>
      <c r="AF281" s="124">
        <f t="shared" si="27"/>
        <v>45499</v>
      </c>
      <c r="AG281" s="123">
        <f t="shared" si="29"/>
        <v>7</v>
      </c>
      <c r="AH281" s="123">
        <f t="shared" si="25"/>
        <v>0</v>
      </c>
      <c r="AI281" s="123" t="s">
        <v>917</v>
      </c>
      <c r="AJ281" s="88"/>
      <c r="AK281">
        <f>VLOOKUP(AD281,Sessions!A:K,11,FALSE)</f>
        <v>1</v>
      </c>
      <c r="AL281">
        <v>1</v>
      </c>
    </row>
    <row r="282" spans="2:38" ht="15.75" customHeight="1">
      <c r="B282" s="131" t="s">
        <v>729</v>
      </c>
      <c r="C282" s="31" t="s">
        <v>702</v>
      </c>
      <c r="D282" s="31" t="s">
        <v>1091</v>
      </c>
      <c r="E282" s="147" t="s">
        <v>701</v>
      </c>
      <c r="J282" t="s">
        <v>1051</v>
      </c>
      <c r="K282">
        <v>37</v>
      </c>
      <c r="L282" s="1">
        <v>45499</v>
      </c>
      <c r="AD282" s="126">
        <f t="shared" si="30"/>
        <v>37</v>
      </c>
      <c r="AE282" s="123" t="str">
        <f t="shared" si="28"/>
        <v>Nimi Scavenger Hunt at Tate Late</v>
      </c>
      <c r="AF282" s="124">
        <f t="shared" ref="AF282:AF290" si="31">L282</f>
        <v>45499</v>
      </c>
      <c r="AG282" s="123">
        <f t="shared" si="29"/>
        <v>7</v>
      </c>
      <c r="AH282" s="123">
        <f t="shared" si="25"/>
        <v>0</v>
      </c>
      <c r="AI282" s="123" t="s">
        <v>929</v>
      </c>
      <c r="AJ282" t="s">
        <v>147</v>
      </c>
      <c r="AK282">
        <f>VLOOKUP(AD282,Sessions!A:K,11,FALSE)</f>
        <v>1</v>
      </c>
      <c r="AL282">
        <v>1</v>
      </c>
    </row>
    <row r="283" spans="2:38" ht="15.75" customHeight="1">
      <c r="B283" s="131" t="s">
        <v>729</v>
      </c>
      <c r="C283" s="31" t="s">
        <v>705</v>
      </c>
      <c r="D283" s="31" t="s">
        <v>706</v>
      </c>
      <c r="E283" s="147" t="s">
        <v>704</v>
      </c>
      <c r="J283" t="s">
        <v>1051</v>
      </c>
      <c r="K283">
        <v>37</v>
      </c>
      <c r="L283" s="1">
        <v>45499</v>
      </c>
      <c r="AD283" s="126">
        <f t="shared" si="30"/>
        <v>37</v>
      </c>
      <c r="AE283" s="123" t="str">
        <f t="shared" si="28"/>
        <v>Nimi Scavenger Hunt at Tate Late</v>
      </c>
      <c r="AF283" s="124">
        <f t="shared" si="31"/>
        <v>45499</v>
      </c>
      <c r="AG283" s="123">
        <f t="shared" si="29"/>
        <v>7</v>
      </c>
      <c r="AH283" s="123">
        <f t="shared" si="25"/>
        <v>0</v>
      </c>
      <c r="AI283" s="123" t="s">
        <v>929</v>
      </c>
      <c r="AJ283" s="149" t="s">
        <v>147</v>
      </c>
      <c r="AK283">
        <f>VLOOKUP(AD283,Sessions!A:K,11,FALSE)</f>
        <v>1</v>
      </c>
      <c r="AL283">
        <v>1</v>
      </c>
    </row>
    <row r="284" spans="2:38" ht="15.75" customHeight="1">
      <c r="B284" s="131" t="s">
        <v>729</v>
      </c>
      <c r="C284" s="31" t="s">
        <v>616</v>
      </c>
      <c r="D284" s="31" t="s">
        <v>617</v>
      </c>
      <c r="E284" s="14" t="s">
        <v>615</v>
      </c>
      <c r="J284" t="s">
        <v>1051</v>
      </c>
      <c r="K284">
        <v>38</v>
      </c>
      <c r="L284" s="1">
        <v>45500</v>
      </c>
      <c r="AD284" s="126">
        <f t="shared" si="30"/>
        <v>38</v>
      </c>
      <c r="AE284" s="123" t="str">
        <f t="shared" si="28"/>
        <v>Nimi Scavenger Hunt at Tate Late</v>
      </c>
      <c r="AF284" s="124">
        <f t="shared" si="31"/>
        <v>45500</v>
      </c>
      <c r="AG284" s="123">
        <f t="shared" si="29"/>
        <v>7</v>
      </c>
      <c r="AH284" s="123">
        <f t="shared" si="25"/>
        <v>0</v>
      </c>
      <c r="AI284" s="123" t="s">
        <v>929</v>
      </c>
      <c r="AJ284" s="149" t="s">
        <v>147</v>
      </c>
      <c r="AK284">
        <f>VLOOKUP(AD284,Sessions!A:K,11,FALSE)</f>
        <v>1</v>
      </c>
      <c r="AL284">
        <v>2</v>
      </c>
    </row>
    <row r="285" spans="2:38" ht="15.75" customHeight="1">
      <c r="B285" s="131" t="s">
        <v>729</v>
      </c>
      <c r="C285" s="31" t="s">
        <v>463</v>
      </c>
      <c r="D285" s="31" t="s">
        <v>464</v>
      </c>
      <c r="E285" s="148" t="s">
        <v>462</v>
      </c>
      <c r="J285" s="123" t="s">
        <v>1092</v>
      </c>
      <c r="K285" s="121">
        <v>40</v>
      </c>
      <c r="L285" s="124">
        <v>45501</v>
      </c>
      <c r="AD285" s="126">
        <f t="shared" si="30"/>
        <v>40</v>
      </c>
      <c r="AE285" s="123" t="str">
        <f t="shared" si="28"/>
        <v>Serpentine Gallery &amp; Picnic</v>
      </c>
      <c r="AF285" s="124">
        <f t="shared" si="31"/>
        <v>45501</v>
      </c>
      <c r="AG285" s="123">
        <f t="shared" si="29"/>
        <v>7</v>
      </c>
      <c r="AH285" s="123">
        <f t="shared" si="25"/>
        <v>0</v>
      </c>
      <c r="AI285" s="123" t="s">
        <v>917</v>
      </c>
      <c r="AJ285" s="123"/>
      <c r="AK285">
        <f>VLOOKUP(AD285,Sessions!A:K,11,FALSE)</f>
        <v>2</v>
      </c>
      <c r="AL285">
        <v>1</v>
      </c>
    </row>
    <row r="286" spans="2:38" ht="15.75" customHeight="1">
      <c r="B286" s="131" t="s">
        <v>729</v>
      </c>
      <c r="C286" s="31" t="s">
        <v>677</v>
      </c>
      <c r="D286" t="s">
        <v>678</v>
      </c>
      <c r="E286" t="s">
        <v>676</v>
      </c>
      <c r="J286" s="123" t="s">
        <v>1092</v>
      </c>
      <c r="K286" s="121">
        <v>40</v>
      </c>
      <c r="L286" s="124">
        <v>45501</v>
      </c>
      <c r="AD286" s="126">
        <f t="shared" si="30"/>
        <v>40</v>
      </c>
      <c r="AE286" s="123" t="str">
        <f t="shared" si="28"/>
        <v>Serpentine Gallery &amp; Picnic</v>
      </c>
      <c r="AF286" s="124">
        <f t="shared" si="31"/>
        <v>45501</v>
      </c>
      <c r="AG286" s="123">
        <f t="shared" si="29"/>
        <v>7</v>
      </c>
      <c r="AH286" s="123">
        <f t="shared" si="25"/>
        <v>0</v>
      </c>
      <c r="AI286" s="123" t="s">
        <v>917</v>
      </c>
      <c r="AJ286" s="123"/>
      <c r="AK286">
        <f>VLOOKUP(AD286,Sessions!A:K,11,FALSE)</f>
        <v>2</v>
      </c>
      <c r="AL286">
        <v>1</v>
      </c>
    </row>
    <row r="287" spans="2:38" ht="15.75" customHeight="1">
      <c r="B287" s="131" t="s">
        <v>729</v>
      </c>
      <c r="C287" s="31" t="s">
        <v>616</v>
      </c>
      <c r="D287" s="31" t="s">
        <v>617</v>
      </c>
      <c r="E287" t="s">
        <v>615</v>
      </c>
      <c r="J287" s="123" t="s">
        <v>1092</v>
      </c>
      <c r="K287" s="121">
        <v>40</v>
      </c>
      <c r="L287" s="124">
        <v>45501</v>
      </c>
      <c r="AD287" s="126">
        <f t="shared" si="30"/>
        <v>40</v>
      </c>
      <c r="AE287" s="123" t="str">
        <f t="shared" si="28"/>
        <v>Serpentine Gallery &amp; Picnic</v>
      </c>
      <c r="AF287" s="124">
        <f t="shared" si="31"/>
        <v>45501</v>
      </c>
      <c r="AG287" s="123">
        <f t="shared" si="29"/>
        <v>7</v>
      </c>
      <c r="AH287" s="123">
        <f t="shared" si="25"/>
        <v>0</v>
      </c>
      <c r="AI287" s="123" t="s">
        <v>917</v>
      </c>
      <c r="AJ287" s="123"/>
      <c r="AK287">
        <f>VLOOKUP(AD287,Sessions!A:K,11,FALSE)</f>
        <v>2</v>
      </c>
      <c r="AL287">
        <v>1</v>
      </c>
    </row>
    <row r="288" spans="2:38" ht="15.75" customHeight="1">
      <c r="B288" s="131" t="s">
        <v>729</v>
      </c>
      <c r="C288" s="31" t="s">
        <v>373</v>
      </c>
      <c r="D288" s="31" t="s">
        <v>374</v>
      </c>
      <c r="E288" s="129" t="s">
        <v>372</v>
      </c>
      <c r="J288" s="123" t="s">
        <v>1092</v>
      </c>
      <c r="K288" s="121">
        <v>40</v>
      </c>
      <c r="L288" s="124">
        <v>45501</v>
      </c>
      <c r="AD288" s="126">
        <f t="shared" si="30"/>
        <v>40</v>
      </c>
      <c r="AE288" s="123" t="str">
        <f t="shared" si="28"/>
        <v>Serpentine Gallery &amp; Picnic</v>
      </c>
      <c r="AF288" s="124">
        <f t="shared" si="31"/>
        <v>45501</v>
      </c>
      <c r="AG288" s="123">
        <f t="shared" si="29"/>
        <v>7</v>
      </c>
      <c r="AH288" s="123">
        <f t="shared" si="25"/>
        <v>0</v>
      </c>
      <c r="AI288" s="123" t="s">
        <v>929</v>
      </c>
      <c r="AJ288" s="148" t="s">
        <v>462</v>
      </c>
      <c r="AK288">
        <f>VLOOKUP(AD288,Sessions!A:K,11,FALSE)</f>
        <v>2</v>
      </c>
      <c r="AL288">
        <v>1</v>
      </c>
    </row>
    <row r="289" spans="2:38" ht="15.75" customHeight="1">
      <c r="B289" s="131" t="s">
        <v>729</v>
      </c>
      <c r="C289" s="31" t="s">
        <v>708</v>
      </c>
      <c r="E289" s="121" t="s">
        <v>707</v>
      </c>
      <c r="J289" s="123" t="s">
        <v>1092</v>
      </c>
      <c r="K289" s="121">
        <v>40</v>
      </c>
      <c r="L289" s="124">
        <v>45501</v>
      </c>
      <c r="AD289" s="126">
        <f t="shared" si="30"/>
        <v>40</v>
      </c>
      <c r="AE289" s="123" t="str">
        <f t="shared" si="28"/>
        <v>Serpentine Gallery &amp; Picnic</v>
      </c>
      <c r="AF289" s="124">
        <f t="shared" si="31"/>
        <v>45501</v>
      </c>
      <c r="AG289" s="123">
        <f t="shared" si="29"/>
        <v>7</v>
      </c>
      <c r="AH289" s="123">
        <f t="shared" si="25"/>
        <v>0</v>
      </c>
      <c r="AI289" s="123" t="s">
        <v>929</v>
      </c>
      <c r="AJ289" t="s">
        <v>676</v>
      </c>
      <c r="AK289">
        <f>VLOOKUP(AD289,Sessions!A:K,11,FALSE)</f>
        <v>2</v>
      </c>
      <c r="AL289">
        <v>1</v>
      </c>
    </row>
    <row r="290" spans="2:38" ht="15.75" customHeight="1">
      <c r="B290" s="131" t="s">
        <v>729</v>
      </c>
      <c r="C290" s="31" t="s">
        <v>1093</v>
      </c>
      <c r="E290" s="121" t="s">
        <v>709</v>
      </c>
      <c r="J290" s="123" t="s">
        <v>1092</v>
      </c>
      <c r="K290" s="121">
        <v>40</v>
      </c>
      <c r="L290" s="124">
        <v>45501</v>
      </c>
      <c r="AD290" s="126">
        <f t="shared" si="30"/>
        <v>40</v>
      </c>
      <c r="AE290" s="123" t="str">
        <f t="shared" si="28"/>
        <v>Serpentine Gallery &amp; Picnic</v>
      </c>
      <c r="AF290" s="124">
        <f t="shared" si="31"/>
        <v>45501</v>
      </c>
      <c r="AG290" s="123">
        <f t="shared" si="29"/>
        <v>7</v>
      </c>
      <c r="AH290" s="123">
        <f t="shared" si="25"/>
        <v>0</v>
      </c>
      <c r="AI290" s="123" t="s">
        <v>929</v>
      </c>
      <c r="AJ290" t="s">
        <v>676</v>
      </c>
      <c r="AK290">
        <f>VLOOKUP(AD290,Sessions!A:K,11,FALSE)</f>
        <v>2</v>
      </c>
      <c r="AL290">
        <v>1</v>
      </c>
    </row>
    <row r="291" spans="2:38" ht="15.75" customHeight="1">
      <c r="B291" s="31" t="s">
        <v>729</v>
      </c>
      <c r="C291" s="31" t="s">
        <v>583</v>
      </c>
      <c r="D291" s="31" t="s">
        <v>584</v>
      </c>
      <c r="E291" s="147" t="s">
        <v>145</v>
      </c>
      <c r="J291" s="31" t="s">
        <v>299</v>
      </c>
      <c r="K291" s="121">
        <v>38</v>
      </c>
      <c r="L291" s="152">
        <v>45506</v>
      </c>
      <c r="AD291" s="126">
        <f t="shared" ref="AD291:AD293" si="32">K291</f>
        <v>38</v>
      </c>
      <c r="AE291" s="123" t="str">
        <f t="shared" ref="AE291:AE293" si="33">J291</f>
        <v xml:space="preserve">Drop In and Draw at the RA </v>
      </c>
      <c r="AF291" s="124">
        <f t="shared" ref="AF291:AF293" si="34">L291</f>
        <v>45506</v>
      </c>
      <c r="AG291" s="123">
        <f t="shared" ref="AG291:AG293" si="35">MONTH(AF291)</f>
        <v>8</v>
      </c>
      <c r="AH291" s="123">
        <f t="shared" ref="AH291:AH293" si="36">AB291</f>
        <v>0</v>
      </c>
      <c r="AI291" s="123" t="s">
        <v>917</v>
      </c>
      <c r="AK291">
        <f>VLOOKUP(AD291,Sessions!A:K,11,FALSE)</f>
        <v>1</v>
      </c>
      <c r="AL291">
        <v>1</v>
      </c>
    </row>
    <row r="292" spans="2:38" ht="15.75" customHeight="1">
      <c r="B292" s="31" t="s">
        <v>729</v>
      </c>
      <c r="C292" s="31" t="s">
        <v>711</v>
      </c>
      <c r="E292" s="121" t="s">
        <v>710</v>
      </c>
      <c r="J292" s="31" t="s">
        <v>299</v>
      </c>
      <c r="K292" s="121">
        <v>38</v>
      </c>
      <c r="L292" s="152">
        <v>45506</v>
      </c>
      <c r="AD292" s="126">
        <f t="shared" si="32"/>
        <v>38</v>
      </c>
      <c r="AE292" s="123" t="str">
        <f t="shared" si="33"/>
        <v xml:space="preserve">Drop In and Draw at the RA </v>
      </c>
      <c r="AF292" s="124">
        <f t="shared" si="34"/>
        <v>45506</v>
      </c>
      <c r="AG292" s="123">
        <f t="shared" si="35"/>
        <v>8</v>
      </c>
      <c r="AH292" s="123">
        <f t="shared" si="36"/>
        <v>0</v>
      </c>
      <c r="AI292" s="123" t="s">
        <v>917</v>
      </c>
      <c r="AK292">
        <f>VLOOKUP(AD292,Sessions!A:K,11,FALSE)</f>
        <v>1</v>
      </c>
      <c r="AL292">
        <v>1</v>
      </c>
    </row>
    <row r="293" spans="2:38" ht="15.75" customHeight="1">
      <c r="B293" s="31" t="s">
        <v>729</v>
      </c>
      <c r="C293" s="31" t="s">
        <v>677</v>
      </c>
      <c r="D293" s="31" t="s">
        <v>678</v>
      </c>
      <c r="E293" s="147" t="s">
        <v>676</v>
      </c>
      <c r="J293" s="31" t="s">
        <v>299</v>
      </c>
      <c r="K293" s="121">
        <v>38</v>
      </c>
      <c r="L293" s="152">
        <v>45506</v>
      </c>
      <c r="AD293" s="126">
        <f t="shared" si="32"/>
        <v>38</v>
      </c>
      <c r="AE293" s="123" t="str">
        <f t="shared" si="33"/>
        <v xml:space="preserve">Drop In and Draw at the RA </v>
      </c>
      <c r="AF293" s="124">
        <f t="shared" si="34"/>
        <v>45506</v>
      </c>
      <c r="AG293" s="123">
        <f t="shared" si="35"/>
        <v>8</v>
      </c>
      <c r="AH293" s="123">
        <f t="shared" si="36"/>
        <v>0</v>
      </c>
      <c r="AI293" s="123" t="s">
        <v>917</v>
      </c>
      <c r="AK293">
        <f>VLOOKUP(AD293,Sessions!A:K,11,FALSE)</f>
        <v>1</v>
      </c>
      <c r="AL293">
        <v>1</v>
      </c>
    </row>
    <row r="294" spans="2:38" ht="15.75" customHeight="1">
      <c r="AJ294" s="123"/>
      <c r="AK294" t="e">
        <f>VLOOKUP(AD294,Sessions!A:K,11,FALSE)</f>
        <v>#N/A</v>
      </c>
      <c r="AL294">
        <v>1</v>
      </c>
    </row>
    <row r="295" spans="2:38" ht="15.75" customHeight="1">
      <c r="AJ295" s="123"/>
      <c r="AK295" t="e">
        <f>VLOOKUP(AD295,Sessions!A:K,11,FALSE)</f>
        <v>#N/A</v>
      </c>
      <c r="AL295">
        <v>1</v>
      </c>
    </row>
    <row r="296" spans="2:38" ht="15.75" customHeight="1">
      <c r="AJ296" s="123"/>
      <c r="AK296" t="e">
        <f>VLOOKUP(AD296,Sessions!A:K,11,FALSE)</f>
        <v>#N/A</v>
      </c>
      <c r="AL296">
        <v>1</v>
      </c>
    </row>
    <row r="297" spans="2:38" ht="15.75" customHeight="1">
      <c r="AJ297" s="123"/>
      <c r="AK297" t="e">
        <f>VLOOKUP(AD297,Sessions!A:K,11,FALSE)</f>
        <v>#N/A</v>
      </c>
      <c r="AL297">
        <v>1</v>
      </c>
    </row>
    <row r="298" spans="2:38" ht="15.75" customHeight="1">
      <c r="AJ298" s="123"/>
      <c r="AK298" t="e">
        <f>VLOOKUP(AD298,Sessions!A:K,11,FALSE)</f>
        <v>#N/A</v>
      </c>
      <c r="AL298">
        <v>1</v>
      </c>
    </row>
    <row r="299" spans="2:38" ht="15.75" customHeight="1">
      <c r="AJ299" s="123"/>
      <c r="AK299" t="e">
        <f>VLOOKUP(AD299,Sessions!A:K,11,FALSE)</f>
        <v>#N/A</v>
      </c>
      <c r="AL299">
        <v>1</v>
      </c>
    </row>
    <row r="300" spans="2:38" ht="15.75" customHeight="1">
      <c r="AJ300" s="123"/>
      <c r="AK300" t="e">
        <f>VLOOKUP(AD300,Sessions!A:K,11,FALSE)</f>
        <v>#N/A</v>
      </c>
      <c r="AL300">
        <v>1</v>
      </c>
    </row>
    <row r="301" spans="2:38" ht="15.75" customHeight="1">
      <c r="AJ301" s="123"/>
      <c r="AK301" t="e">
        <f>VLOOKUP(AD301,Sessions!A:K,11,FALSE)</f>
        <v>#N/A</v>
      </c>
      <c r="AL301">
        <v>1</v>
      </c>
    </row>
    <row r="302" spans="2:38" ht="15.75" customHeight="1">
      <c r="AJ302" s="123"/>
      <c r="AK302" t="e">
        <f>VLOOKUP(AD302,Sessions!A:K,11,FALSE)</f>
        <v>#N/A</v>
      </c>
      <c r="AL302">
        <v>1</v>
      </c>
    </row>
    <row r="303" spans="2:38" ht="15.75" customHeight="1">
      <c r="AJ303" s="123"/>
      <c r="AK303" t="e">
        <f>VLOOKUP(AD303,Sessions!A:K,11,FALSE)</f>
        <v>#N/A</v>
      </c>
      <c r="AL303">
        <v>1</v>
      </c>
    </row>
    <row r="304" spans="2:38" ht="15.75" customHeight="1">
      <c r="AJ304" s="123"/>
      <c r="AK304" t="e">
        <f>VLOOKUP(AD304,Sessions!A:K,11,FALSE)</f>
        <v>#N/A</v>
      </c>
      <c r="AL304">
        <v>1</v>
      </c>
    </row>
    <row r="305" spans="36:38" ht="15.75" customHeight="1">
      <c r="AJ305" s="123"/>
      <c r="AK305" t="e">
        <f>VLOOKUP(AD305,Sessions!A:K,11,FALSE)</f>
        <v>#N/A</v>
      </c>
      <c r="AL305">
        <v>1</v>
      </c>
    </row>
    <row r="306" spans="36:38" ht="15.75" customHeight="1">
      <c r="AJ306" s="123"/>
      <c r="AK306" t="e">
        <f>VLOOKUP(AD306,Sessions!A:K,11,FALSE)</f>
        <v>#N/A</v>
      </c>
      <c r="AL306">
        <v>1</v>
      </c>
    </row>
    <row r="307" spans="36:38" ht="15.75" customHeight="1">
      <c r="AJ307" s="123"/>
      <c r="AK307" t="e">
        <f>VLOOKUP(AD307,Sessions!A:K,11,FALSE)</f>
        <v>#N/A</v>
      </c>
      <c r="AL307">
        <v>1</v>
      </c>
    </row>
    <row r="308" spans="36:38" ht="15.75" customHeight="1">
      <c r="AJ308" s="123"/>
      <c r="AK308" t="e">
        <f>VLOOKUP(AD308,Sessions!A:K,11,FALSE)</f>
        <v>#N/A</v>
      </c>
      <c r="AL308">
        <v>1</v>
      </c>
    </row>
    <row r="309" spans="36:38" ht="15.75" customHeight="1">
      <c r="AJ309" s="123"/>
      <c r="AK309" t="e">
        <f>VLOOKUP(AD309,Sessions!A:K,11,FALSE)</f>
        <v>#N/A</v>
      </c>
      <c r="AL309">
        <v>1</v>
      </c>
    </row>
    <row r="310" spans="36:38" ht="15.75" customHeight="1">
      <c r="AJ310" s="123"/>
      <c r="AK310" t="e">
        <f>VLOOKUP(AD310,Sessions!A:K,11,FALSE)</f>
        <v>#N/A</v>
      </c>
      <c r="AL310">
        <v>1</v>
      </c>
    </row>
    <row r="311" spans="36:38" ht="15.75" customHeight="1">
      <c r="AJ311" s="123"/>
      <c r="AK311" t="e">
        <f>VLOOKUP(AD311,Sessions!A:K,11,FALSE)</f>
        <v>#N/A</v>
      </c>
      <c r="AL311">
        <v>1</v>
      </c>
    </row>
    <row r="312" spans="36:38" ht="15.75" customHeight="1">
      <c r="AJ312" s="123"/>
      <c r="AK312" t="e">
        <f>VLOOKUP(AD312,Sessions!A:K,11,FALSE)</f>
        <v>#N/A</v>
      </c>
      <c r="AL312">
        <v>1</v>
      </c>
    </row>
    <row r="313" spans="36:38" ht="15.75" customHeight="1">
      <c r="AJ313" s="123"/>
      <c r="AK313" t="e">
        <f>VLOOKUP(AD313,Sessions!A:K,11,FALSE)</f>
        <v>#N/A</v>
      </c>
      <c r="AL313">
        <v>1</v>
      </c>
    </row>
    <row r="314" spans="36:38" ht="15.75" customHeight="1">
      <c r="AJ314" s="123"/>
      <c r="AK314" t="e">
        <f>VLOOKUP(AD314,Sessions!A:K,11,FALSE)</f>
        <v>#N/A</v>
      </c>
      <c r="AL314">
        <v>1</v>
      </c>
    </row>
    <row r="315" spans="36:38" ht="15.75" customHeight="1">
      <c r="AJ315" s="123"/>
      <c r="AK315" t="e">
        <f>VLOOKUP(AD315,Sessions!A:K,11,FALSE)</f>
        <v>#N/A</v>
      </c>
      <c r="AL315">
        <v>1</v>
      </c>
    </row>
    <row r="316" spans="36:38" ht="15.75" customHeight="1">
      <c r="AJ316" s="123"/>
      <c r="AK316" t="e">
        <f>VLOOKUP(AD316,Sessions!A:K,11,FALSE)</f>
        <v>#N/A</v>
      </c>
      <c r="AL316">
        <v>1</v>
      </c>
    </row>
    <row r="317" spans="36:38" ht="15.75" customHeight="1">
      <c r="AJ317" s="123"/>
      <c r="AK317" t="e">
        <f>VLOOKUP(AD317,Sessions!A:K,11,FALSE)</f>
        <v>#N/A</v>
      </c>
      <c r="AL317">
        <v>1</v>
      </c>
    </row>
    <row r="318" spans="36:38" ht="15.75" customHeight="1">
      <c r="AJ318" s="123"/>
      <c r="AK318" t="e">
        <f>VLOOKUP(AD318,Sessions!A:K,11,FALSE)</f>
        <v>#N/A</v>
      </c>
      <c r="AL318">
        <v>1</v>
      </c>
    </row>
    <row r="319" spans="36:38" ht="15.75" customHeight="1">
      <c r="AJ319" s="123"/>
      <c r="AK319" t="e">
        <f>VLOOKUP(AD319,Sessions!A:K,11,FALSE)</f>
        <v>#N/A</v>
      </c>
      <c r="AL319">
        <v>1</v>
      </c>
    </row>
    <row r="320" spans="36:38" ht="15.75" customHeight="1">
      <c r="AJ320" s="123"/>
      <c r="AK320" t="e">
        <f>VLOOKUP(AD320,Sessions!A:K,11,FALSE)</f>
        <v>#N/A</v>
      </c>
      <c r="AL320">
        <v>1</v>
      </c>
    </row>
    <row r="321" spans="36:38" ht="15.75" customHeight="1">
      <c r="AJ321" s="123"/>
      <c r="AK321" t="e">
        <f>VLOOKUP(AD321,Sessions!A:K,11,FALSE)</f>
        <v>#N/A</v>
      </c>
      <c r="AL321">
        <v>1</v>
      </c>
    </row>
    <row r="322" spans="36:38" ht="15.75" customHeight="1">
      <c r="AJ322" s="123"/>
      <c r="AK322" t="e">
        <f>VLOOKUP(AD322,Sessions!A:K,11,FALSE)</f>
        <v>#N/A</v>
      </c>
      <c r="AL322">
        <v>1</v>
      </c>
    </row>
    <row r="323" spans="36:38" ht="15.75" customHeight="1">
      <c r="AJ323" s="123"/>
      <c r="AK323" t="e">
        <f>VLOOKUP(AD323,Sessions!A:K,11,FALSE)</f>
        <v>#N/A</v>
      </c>
      <c r="AL323">
        <v>1</v>
      </c>
    </row>
    <row r="324" spans="36:38" ht="15.75" customHeight="1">
      <c r="AJ324" s="123"/>
    </row>
    <row r="325" spans="36:38" ht="15.75" customHeight="1">
      <c r="AJ325" s="123"/>
    </row>
    <row r="326" spans="36:38" ht="15.75" customHeight="1">
      <c r="AJ326" s="123"/>
    </row>
    <row r="327" spans="36:38" ht="15.75" customHeight="1">
      <c r="AJ327" s="123"/>
    </row>
    <row r="328" spans="36:38" ht="15.75" customHeight="1">
      <c r="AJ328" s="123"/>
    </row>
    <row r="329" spans="36:38" ht="15.75" customHeight="1">
      <c r="AJ329" s="123"/>
    </row>
    <row r="330" spans="36:38" ht="15.75" customHeight="1">
      <c r="AJ330" s="123"/>
    </row>
    <row r="331" spans="36:38" ht="15.75" customHeight="1">
      <c r="AJ331" s="123"/>
    </row>
    <row r="332" spans="36:38" ht="15.75" customHeight="1">
      <c r="AJ332" s="123"/>
    </row>
    <row r="333" spans="36:38" ht="15.75" customHeight="1">
      <c r="AJ333" s="123"/>
    </row>
    <row r="334" spans="36:38" ht="15.75" customHeight="1">
      <c r="AJ334" s="123"/>
    </row>
    <row r="335" spans="36:38" ht="15.75" customHeight="1">
      <c r="AJ335" s="123"/>
    </row>
    <row r="336" spans="36:38" ht="15.75" customHeight="1">
      <c r="AJ336" s="123"/>
    </row>
    <row r="337" spans="36:36" ht="15.75" customHeight="1">
      <c r="AJ337" s="123"/>
    </row>
    <row r="338" spans="36:36" ht="15.75" customHeight="1">
      <c r="AJ338" s="123"/>
    </row>
    <row r="339" spans="36:36" ht="15.75" customHeight="1">
      <c r="AJ339" s="123"/>
    </row>
    <row r="340" spans="36:36" ht="15.75" customHeight="1">
      <c r="AJ340" s="123"/>
    </row>
    <row r="341" spans="36:36" ht="15.75" customHeight="1">
      <c r="AJ341" s="123"/>
    </row>
    <row r="342" spans="36:36" ht="15.75" customHeight="1">
      <c r="AJ342" s="123"/>
    </row>
    <row r="343" spans="36:36" ht="15.75" customHeight="1">
      <c r="AJ343" s="123"/>
    </row>
    <row r="344" spans="36:36" ht="15.75" customHeight="1">
      <c r="AJ344" s="123"/>
    </row>
    <row r="345" spans="36:36" ht="15.75" customHeight="1">
      <c r="AJ345" s="123"/>
    </row>
    <row r="346" spans="36:36" ht="15.75" customHeight="1">
      <c r="AJ346" s="123"/>
    </row>
    <row r="347" spans="36:36" ht="15.75" customHeight="1">
      <c r="AJ347" s="123"/>
    </row>
    <row r="348" spans="36:36" ht="15.75" customHeight="1">
      <c r="AJ348" s="123"/>
    </row>
    <row r="349" spans="36:36" ht="15.75" customHeight="1">
      <c r="AJ349" s="123"/>
    </row>
    <row r="350" spans="36:36" ht="15.75" customHeight="1">
      <c r="AJ350" s="123"/>
    </row>
    <row r="351" spans="36:36" ht="15.75" customHeight="1">
      <c r="AJ351" s="123"/>
    </row>
    <row r="352" spans="36:36" ht="15.75" customHeight="1">
      <c r="AJ352" s="123"/>
    </row>
    <row r="353" spans="36:36" ht="15.75" customHeight="1">
      <c r="AJ353" s="123"/>
    </row>
    <row r="354" spans="36:36" ht="15.75" customHeight="1">
      <c r="AJ354" s="123"/>
    </row>
    <row r="355" spans="36:36" ht="15.75" customHeight="1">
      <c r="AJ355" s="123"/>
    </row>
    <row r="356" spans="36:36" ht="15.75" customHeight="1">
      <c r="AJ356" s="123"/>
    </row>
    <row r="357" spans="36:36" ht="15.75" customHeight="1">
      <c r="AJ357" s="123"/>
    </row>
    <row r="358" spans="36:36" ht="15.75" customHeight="1">
      <c r="AJ358" s="123"/>
    </row>
    <row r="359" spans="36:36" ht="15.75" customHeight="1">
      <c r="AJ359" s="123"/>
    </row>
    <row r="360" spans="36:36" ht="15.75" customHeight="1">
      <c r="AJ360" s="123"/>
    </row>
    <row r="361" spans="36:36" ht="15.75" customHeight="1">
      <c r="AJ361" s="123"/>
    </row>
    <row r="362" spans="36:36" ht="15.75" customHeight="1">
      <c r="AJ362" s="123"/>
    </row>
    <row r="363" spans="36:36" ht="15.75" customHeight="1">
      <c r="AJ363" s="123"/>
    </row>
    <row r="364" spans="36:36" ht="15.75" customHeight="1">
      <c r="AJ364" s="123"/>
    </row>
    <row r="365" spans="36:36" ht="15.75" customHeight="1">
      <c r="AJ365" s="123"/>
    </row>
    <row r="366" spans="36:36" ht="15.75" customHeight="1">
      <c r="AJ366" s="123"/>
    </row>
    <row r="367" spans="36:36" ht="15.75" customHeight="1">
      <c r="AJ367" s="123"/>
    </row>
    <row r="368" spans="36:36" ht="15.75" customHeight="1">
      <c r="AJ368" s="123"/>
    </row>
    <row r="369" spans="36:36" ht="15.75" customHeight="1">
      <c r="AJ369" s="123"/>
    </row>
    <row r="370" spans="36:36" ht="15.75" customHeight="1">
      <c r="AJ370" s="123"/>
    </row>
    <row r="371" spans="36:36" ht="15.75" customHeight="1">
      <c r="AJ371" s="123"/>
    </row>
    <row r="372" spans="36:36" ht="15.75" customHeight="1">
      <c r="AJ372" s="123"/>
    </row>
    <row r="373" spans="36:36" ht="15.75" customHeight="1">
      <c r="AJ373" s="123"/>
    </row>
    <row r="374" spans="36:36" ht="15.75" customHeight="1">
      <c r="AJ374" s="123"/>
    </row>
    <row r="375" spans="36:36" ht="15.75" customHeight="1">
      <c r="AJ375" s="123"/>
    </row>
    <row r="376" spans="36:36" ht="15.75" customHeight="1">
      <c r="AJ376" s="123"/>
    </row>
    <row r="377" spans="36:36" ht="15.75" customHeight="1">
      <c r="AJ377" s="123"/>
    </row>
    <row r="378" spans="36:36" ht="15.75" customHeight="1">
      <c r="AJ378" s="123"/>
    </row>
    <row r="379" spans="36:36" ht="15.75" customHeight="1">
      <c r="AJ379" s="123"/>
    </row>
    <row r="380" spans="36:36" ht="15.75" customHeight="1">
      <c r="AJ380" s="123"/>
    </row>
    <row r="381" spans="36:36" ht="15.75" customHeight="1">
      <c r="AJ381" s="123"/>
    </row>
    <row r="382" spans="36:36" ht="15.75" customHeight="1">
      <c r="AJ382" s="123"/>
    </row>
    <row r="383" spans="36:36" ht="15.75" customHeight="1">
      <c r="AJ383" s="123"/>
    </row>
    <row r="384" spans="36:36" ht="15.75" customHeight="1">
      <c r="AJ384" s="123"/>
    </row>
    <row r="385" spans="36:36" ht="15.75" customHeight="1">
      <c r="AJ385" s="123"/>
    </row>
    <row r="386" spans="36:36" ht="15.75" customHeight="1">
      <c r="AJ386" s="123"/>
    </row>
    <row r="387" spans="36:36" ht="15.75" customHeight="1">
      <c r="AJ387" s="123"/>
    </row>
    <row r="388" spans="36:36" ht="15.75" customHeight="1">
      <c r="AJ388" s="123"/>
    </row>
    <row r="389" spans="36:36" ht="15.75" customHeight="1">
      <c r="AJ389" s="123"/>
    </row>
    <row r="390" spans="36:36" ht="15.75" customHeight="1">
      <c r="AJ390" s="123"/>
    </row>
    <row r="391" spans="36:36" ht="15.75" customHeight="1">
      <c r="AJ391" s="123"/>
    </row>
    <row r="392" spans="36:36" ht="15.75" customHeight="1">
      <c r="AJ392" s="123"/>
    </row>
    <row r="393" spans="36:36" ht="15.75" customHeight="1">
      <c r="AJ393" s="123"/>
    </row>
    <row r="394" spans="36:36" ht="15.75" customHeight="1">
      <c r="AJ394" s="123"/>
    </row>
    <row r="395" spans="36:36" ht="15.75" customHeight="1">
      <c r="AJ395" s="123"/>
    </row>
    <row r="396" spans="36:36" ht="15.75" customHeight="1">
      <c r="AJ396" s="123"/>
    </row>
    <row r="397" spans="36:36" ht="15.75" customHeight="1">
      <c r="AJ397" s="123"/>
    </row>
    <row r="398" spans="36:36" ht="15.75" customHeight="1">
      <c r="AJ398" s="123"/>
    </row>
    <row r="399" spans="36:36" ht="15.75" customHeight="1">
      <c r="AJ399" s="123"/>
    </row>
    <row r="400" spans="36:36" ht="15.75" customHeight="1">
      <c r="AJ400" s="123"/>
    </row>
    <row r="401" spans="36:36" ht="15.75" customHeight="1">
      <c r="AJ401" s="123"/>
    </row>
    <row r="402" spans="36:36" ht="15.75" customHeight="1">
      <c r="AJ402" s="123"/>
    </row>
    <row r="403" spans="36:36" ht="15.75" customHeight="1">
      <c r="AJ403" s="123"/>
    </row>
    <row r="404" spans="36:36" ht="15.75" customHeight="1">
      <c r="AJ404" s="123"/>
    </row>
    <row r="405" spans="36:36" ht="15.75" customHeight="1">
      <c r="AJ405" s="123"/>
    </row>
    <row r="406" spans="36:36" ht="15.75" customHeight="1">
      <c r="AJ406" s="123"/>
    </row>
    <row r="407" spans="36:36" ht="15.75" customHeight="1">
      <c r="AJ407" s="123"/>
    </row>
    <row r="408" spans="36:36" ht="15.75" customHeight="1">
      <c r="AJ408" s="123"/>
    </row>
    <row r="409" spans="36:36" ht="15.75" customHeight="1">
      <c r="AJ409" s="123"/>
    </row>
    <row r="410" spans="36:36" ht="15.75" customHeight="1">
      <c r="AJ410" s="123"/>
    </row>
    <row r="411" spans="36:36" ht="15.75" customHeight="1">
      <c r="AJ411" s="123"/>
    </row>
    <row r="412" spans="36:36" ht="15.75" customHeight="1">
      <c r="AJ412" s="123"/>
    </row>
    <row r="413" spans="36:36" ht="15.75" customHeight="1">
      <c r="AJ413" s="123"/>
    </row>
    <row r="414" spans="36:36" ht="15.75" customHeight="1">
      <c r="AJ414" s="123"/>
    </row>
    <row r="415" spans="36:36" ht="15.75" customHeight="1">
      <c r="AJ415" s="123"/>
    </row>
    <row r="416" spans="36:36" ht="15.75" customHeight="1">
      <c r="AJ416" s="123"/>
    </row>
    <row r="417" spans="36:36" ht="15.75" customHeight="1">
      <c r="AJ417" s="123"/>
    </row>
    <row r="418" spans="36:36" ht="15.75" customHeight="1">
      <c r="AJ418" s="123"/>
    </row>
    <row r="419" spans="36:36" ht="15.75" customHeight="1">
      <c r="AJ419" s="123"/>
    </row>
    <row r="420" spans="36:36" ht="15.75" customHeight="1">
      <c r="AJ420" s="123"/>
    </row>
    <row r="421" spans="36:36" ht="15.75" customHeight="1">
      <c r="AJ421" s="123"/>
    </row>
    <row r="422" spans="36:36" ht="15.75" customHeight="1">
      <c r="AJ422" s="123"/>
    </row>
    <row r="423" spans="36:36" ht="15.75" customHeight="1">
      <c r="AJ423" s="123"/>
    </row>
    <row r="424" spans="36:36" ht="15.75" customHeight="1">
      <c r="AJ424" s="123"/>
    </row>
    <row r="425" spans="36:36" ht="15.75" customHeight="1">
      <c r="AJ425" s="123"/>
    </row>
    <row r="426" spans="36:36" ht="15.75" customHeight="1">
      <c r="AJ426" s="123"/>
    </row>
    <row r="427" spans="36:36" ht="15.75" customHeight="1">
      <c r="AJ427" s="123"/>
    </row>
    <row r="428" spans="36:36" ht="15.75" customHeight="1">
      <c r="AJ428" s="123"/>
    </row>
    <row r="429" spans="36:36" ht="15.75" customHeight="1">
      <c r="AJ429" s="123"/>
    </row>
    <row r="430" spans="36:36" ht="15.75" customHeight="1">
      <c r="AJ430" s="123"/>
    </row>
    <row r="431" spans="36:36" ht="15.75" customHeight="1">
      <c r="AJ431" s="123"/>
    </row>
    <row r="432" spans="36:36" ht="15.75" customHeight="1">
      <c r="AJ432" s="123"/>
    </row>
    <row r="433" spans="36:36" ht="15.75" customHeight="1">
      <c r="AJ433" s="123"/>
    </row>
    <row r="434" spans="36:36" ht="15.75" customHeight="1">
      <c r="AJ434" s="123"/>
    </row>
    <row r="435" spans="36:36" ht="15.75" customHeight="1">
      <c r="AJ435" s="123"/>
    </row>
    <row r="436" spans="36:36" ht="15.75" customHeight="1">
      <c r="AJ436" s="123"/>
    </row>
    <row r="437" spans="36:36" ht="15.75" customHeight="1">
      <c r="AJ437" s="123"/>
    </row>
    <row r="438" spans="36:36" ht="15.75" customHeight="1">
      <c r="AJ438" s="123"/>
    </row>
    <row r="439" spans="36:36" ht="15.75" customHeight="1">
      <c r="AJ439" s="123"/>
    </row>
    <row r="440" spans="36:36" ht="15.75" customHeight="1">
      <c r="AJ440" s="123"/>
    </row>
    <row r="441" spans="36:36" ht="15.75" customHeight="1">
      <c r="AJ441" s="123"/>
    </row>
    <row r="442" spans="36:36" ht="15.75" customHeight="1">
      <c r="AJ442" s="123"/>
    </row>
    <row r="443" spans="36:36" ht="15.75" customHeight="1">
      <c r="AJ443" s="123"/>
    </row>
    <row r="444" spans="36:36" ht="15.75" customHeight="1">
      <c r="AJ444" s="123"/>
    </row>
    <row r="445" spans="36:36" ht="15.75" customHeight="1">
      <c r="AJ445" s="123"/>
    </row>
    <row r="446" spans="36:36" ht="15.75" customHeight="1">
      <c r="AJ446" s="123"/>
    </row>
    <row r="447" spans="36:36" ht="15.75" customHeight="1">
      <c r="AJ447" s="123"/>
    </row>
    <row r="448" spans="36:36" ht="15.75" customHeight="1">
      <c r="AJ448" s="123"/>
    </row>
    <row r="449" spans="36:36" ht="15.75" customHeight="1">
      <c r="AJ449" s="123"/>
    </row>
    <row r="450" spans="36:36" ht="15.75" customHeight="1">
      <c r="AJ450" s="123"/>
    </row>
    <row r="451" spans="36:36" ht="15.75" customHeight="1">
      <c r="AJ451" s="123"/>
    </row>
    <row r="452" spans="36:36" ht="15.75" customHeight="1">
      <c r="AJ452" s="123"/>
    </row>
  </sheetData>
  <autoFilter ref="A1:AM229" xr:uid="{37FBA19A-A2B1-3340-9D41-94F7497AB614}">
    <sortState xmlns:xlrd2="http://schemas.microsoft.com/office/spreadsheetml/2017/richdata2" ref="A2:AM322">
      <sortCondition ref="AF1:AF229"/>
    </sortState>
  </autoFilter>
  <phoneticPr fontId="2" type="noConversion"/>
  <hyperlinks>
    <hyperlink ref="E66" r:id="rId1" xr:uid="{4C031E9F-571E-4C73-8CD6-015F5BFEDE1A}"/>
    <hyperlink ref="E61" r:id="rId2" xr:uid="{90A7AB63-1361-4429-8B21-FB0653F59BF4}"/>
    <hyperlink ref="W66" r:id="rId3" xr:uid="{C65973AE-68C8-46D4-B647-7366E25AD242}"/>
    <hyperlink ref="E52" r:id="rId4" xr:uid="{905EBFE0-ACA3-4FE3-8C85-2CC87F4D038B}"/>
    <hyperlink ref="W52" r:id="rId5" xr:uid="{E7321098-F476-4208-8FAD-A0C8F7348C75}"/>
    <hyperlink ref="E152" r:id="rId6" xr:uid="{6E12962F-28AD-40A5-9D69-75E7E4DB4A32}"/>
    <hyperlink ref="E282" r:id="rId7" xr:uid="{29517C70-9A2C-794A-B5B3-7AA645CFFBB8}"/>
    <hyperlink ref="E283" r:id="rId8" xr:uid="{0E9A9A15-4A57-FE4B-A6B2-935612242D2A}"/>
    <hyperlink ref="E266" r:id="rId9" xr:uid="{AB012D7C-A468-5B4A-9FCF-790CC5D56D4F}"/>
    <hyperlink ref="E288" r:id="rId10" xr:uid="{E0B21DC1-D84C-4C4D-9F2A-702E9DD3699F}"/>
    <hyperlink ref="E275" r:id="rId11" xr:uid="{39C230EF-6CCA-F54B-A492-4546FC7F67D3}"/>
    <hyperlink ref="E284" r:id="rId12" xr:uid="{6FA9C6F7-3157-465D-823D-5D1E944C6484}"/>
    <hyperlink ref="E291" r:id="rId13" xr:uid="{FA1FC866-ADC7-4067-91A1-411BC9EEDAA7}"/>
    <hyperlink ref="E293" r:id="rId14" xr:uid="{6DD710F6-F569-4A4D-A6DC-C8363ADB55F7}"/>
  </hyperlinks>
  <pageMargins left="0.7" right="0.7" top="0.75" bottom="0.75" header="0.3" footer="0.3"/>
  <legacyDrawing r:id="rId1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DCA2-D1CF-4D33-A75F-F1DC1B33A52E}">
  <dimension ref="A1:C14"/>
  <sheetViews>
    <sheetView workbookViewId="0">
      <selection activeCell="C14" sqref="C14"/>
    </sheetView>
  </sheetViews>
  <sheetFormatPr defaultColWidth="8.875" defaultRowHeight="15.95"/>
  <sheetData>
    <row r="1" spans="1:3">
      <c r="A1" t="s">
        <v>1094</v>
      </c>
    </row>
    <row r="3" spans="1:3">
      <c r="A3" s="116">
        <v>1</v>
      </c>
      <c r="B3" s="116" t="s">
        <v>1095</v>
      </c>
    </row>
    <row r="4" spans="1:3">
      <c r="A4" s="116">
        <v>2</v>
      </c>
      <c r="B4" s="116" t="s">
        <v>1096</v>
      </c>
    </row>
    <row r="5" spans="1:3">
      <c r="A5" s="116">
        <v>3</v>
      </c>
      <c r="B5" s="116" t="s">
        <v>1097</v>
      </c>
    </row>
    <row r="6" spans="1:3">
      <c r="A6" s="116">
        <v>4</v>
      </c>
      <c r="B6" s="116" t="s">
        <v>1098</v>
      </c>
    </row>
    <row r="7" spans="1:3">
      <c r="A7" s="116">
        <v>5</v>
      </c>
      <c r="B7" s="116" t="s">
        <v>1099</v>
      </c>
    </row>
    <row r="8" spans="1:3">
      <c r="A8" s="116">
        <v>6</v>
      </c>
      <c r="B8" s="116" t="s">
        <v>1100</v>
      </c>
    </row>
    <row r="9" spans="1:3">
      <c r="A9" s="116">
        <v>7</v>
      </c>
      <c r="B9" s="116"/>
    </row>
    <row r="14" spans="1:3">
      <c r="C14" t="s">
        <v>1101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DD6AC-3E97-452D-AC66-A01EA503D9FA}">
  <sheetPr>
    <tabColor theme="0"/>
  </sheetPr>
  <dimension ref="A1:E205"/>
  <sheetViews>
    <sheetView topLeftCell="A110" workbookViewId="0">
      <selection activeCell="A122" sqref="A122:A126"/>
    </sheetView>
  </sheetViews>
  <sheetFormatPr defaultColWidth="11" defaultRowHeight="15.95"/>
  <cols>
    <col min="1" max="1" width="36" customWidth="1"/>
    <col min="2" max="2" width="13.125" customWidth="1"/>
    <col min="3" max="4" width="16" customWidth="1"/>
  </cols>
  <sheetData>
    <row r="1" spans="1:5">
      <c r="A1" t="str" cm="1">
        <f t="array" ref="A1:A126">_xlfn.UNIQUE(Visits!E:E)</f>
        <v>Email</v>
      </c>
    </row>
    <row r="2" spans="1:5">
      <c r="A2" t="str">
        <v>aidanakassymova@gmail.com</v>
      </c>
      <c r="B2" t="str">
        <f>VLOOKUP('Users from Visits'!A2,Visits!E:V,17,FALSE)</f>
        <v>Aidana</v>
      </c>
      <c r="C2" t="str">
        <f>VLOOKUP('Users from Visits'!A2,Visits!E:V,18,FALSE)</f>
        <v>Kassymova</v>
      </c>
      <c r="D2">
        <f>VLOOKUP('Users from Visits'!A2,Visits!E:V,2,FALSE)</f>
        <v>0</v>
      </c>
      <c r="E2" t="str">
        <f>VLOOKUP(A2,Users!A:A,1,FALSE)</f>
        <v>aidanakassymova@gmail.com</v>
      </c>
    </row>
    <row r="3" spans="1:5">
      <c r="A3" t="str">
        <v>alekseypleshkov17@gmail.com</v>
      </c>
      <c r="B3" t="str">
        <f>VLOOKUP('Users from Visits'!A3,Visits!E:V,17,FALSE)</f>
        <v>Aleksejs</v>
      </c>
      <c r="C3" t="str">
        <f>VLOOKUP('Users from Visits'!A3,Visits!E:V,18,FALSE)</f>
        <v>Pleskovs</v>
      </c>
      <c r="D3">
        <f>VLOOKUP('Users from Visits'!A3,Visits!E:V,2,FALSE)</f>
        <v>0</v>
      </c>
      <c r="E3" t="str">
        <f>VLOOKUP(A3,Users!A:A,1,FALSE)</f>
        <v>alekseypleshkov17@gmail.com</v>
      </c>
    </row>
    <row r="4" spans="1:5">
      <c r="A4" t="str">
        <v>daniel.lugg@yahoo.com</v>
      </c>
      <c r="B4" t="str">
        <f>VLOOKUP('Users from Visits'!A4,Visits!E:V,17,FALSE)</f>
        <v>Dan</v>
      </c>
      <c r="C4" t="str">
        <f>VLOOKUP('Users from Visits'!A4,Visits!E:V,18,FALSE)</f>
        <v>Lugg</v>
      </c>
      <c r="D4">
        <f>VLOOKUP('Users from Visits'!A4,Visits!E:V,2,FALSE)</f>
        <v>0</v>
      </c>
      <c r="E4" t="str">
        <f>VLOOKUP(A4,Users!A:A,1,FALSE)</f>
        <v>daniel.lugg@yahoo.com</v>
      </c>
    </row>
    <row r="5" spans="1:5">
      <c r="A5" t="str">
        <v>laurabrown148@gmail.com</v>
      </c>
      <c r="B5" t="str">
        <f>VLOOKUP('Users from Visits'!A5,Visits!E:V,17,FALSE)</f>
        <v>Laura</v>
      </c>
      <c r="C5" t="str">
        <f>VLOOKUP('Users from Visits'!A5,Visits!E:V,18,FALSE)</f>
        <v>Brown</v>
      </c>
      <c r="D5">
        <f>VLOOKUP('Users from Visits'!A5,Visits!E:V,2,FALSE)</f>
        <v>0</v>
      </c>
      <c r="E5" t="str">
        <f>VLOOKUP(A5,Users!A:A,1,FALSE)</f>
        <v>laurabrown148@gmail.com</v>
      </c>
    </row>
    <row r="6" spans="1:5">
      <c r="A6" t="str">
        <v>lucyzhou2@hotmail.com</v>
      </c>
      <c r="B6" t="str">
        <f>VLOOKUP('Users from Visits'!A6,Visits!E:V,17,FALSE)</f>
        <v>Lucy</v>
      </c>
      <c r="C6" t="str">
        <f>VLOOKUP('Users from Visits'!A6,Visits!E:V,18,FALSE)</f>
        <v>Zhou</v>
      </c>
      <c r="D6">
        <f>VLOOKUP('Users from Visits'!A6,Visits!E:V,2,FALSE)</f>
        <v>0</v>
      </c>
      <c r="E6" t="str">
        <f>VLOOKUP(A6,Users!A:A,1,FALSE)</f>
        <v>lucyzhou2@hotmail.com</v>
      </c>
    </row>
    <row r="7" spans="1:5">
      <c r="A7" t="str">
        <v>thefengshuistory@gmail.com</v>
      </c>
      <c r="B7" t="str">
        <f>VLOOKUP('Users from Visits'!A7,Visits!E:V,17,FALSE)</f>
        <v>Mouna</v>
      </c>
      <c r="C7" t="str">
        <f>VLOOKUP('Users from Visits'!A7,Visits!E:V,18,FALSE)</f>
        <v>Iraqi</v>
      </c>
      <c r="D7">
        <f>VLOOKUP('Users from Visits'!A7,Visits!E:V,2,FALSE)</f>
        <v>0</v>
      </c>
      <c r="E7" t="str">
        <f>VLOOKUP(A7,Users!A:A,1,FALSE)</f>
        <v>thefengshuistory@gmail.com</v>
      </c>
    </row>
    <row r="8" spans="1:5">
      <c r="A8" t="str">
        <v>ngg971@gmail.com</v>
      </c>
      <c r="B8" t="str">
        <f>VLOOKUP('Users from Visits'!A8,Visits!E:V,17,FALSE)</f>
        <v>Nathanael</v>
      </c>
      <c r="C8" t="str">
        <f>VLOOKUP('Users from Visits'!A8,Visits!E:V,18,FALSE)</f>
        <v>Geman</v>
      </c>
      <c r="D8">
        <f>VLOOKUP('Users from Visits'!A8,Visits!E:V,2,FALSE)</f>
        <v>0</v>
      </c>
      <c r="E8" t="str">
        <f>VLOOKUP(A8,Users!A:A,1,FALSE)</f>
        <v>ngg971@gmail.com</v>
      </c>
    </row>
    <row r="9" spans="1:5">
      <c r="A9" t="str">
        <v>walokunrin@yahoo.com</v>
      </c>
      <c r="B9" t="str">
        <f>VLOOKUP('Users from Visits'!A9,Visits!E:V,17,FALSE)</f>
        <v>olawale</v>
      </c>
      <c r="C9" t="str">
        <f>VLOOKUP('Users from Visits'!A9,Visits!E:V,18,FALSE)</f>
        <v>okunrinboye</v>
      </c>
      <c r="D9">
        <f>VLOOKUP('Users from Visits'!A9,Visits!E:V,2,FALSE)</f>
        <v>0</v>
      </c>
      <c r="E9" t="str">
        <f>VLOOKUP(A9,Users!A:A,1,FALSE)</f>
        <v>walokunrin@yahoo.com</v>
      </c>
    </row>
    <row r="10" spans="1:5">
      <c r="A10" t="str">
        <v>roberthchapman@hotmail.com</v>
      </c>
      <c r="B10" t="str">
        <f>VLOOKUP('Users from Visits'!A10,Visits!E:V,17,FALSE)</f>
        <v>Robert</v>
      </c>
      <c r="C10" t="str">
        <f>VLOOKUP('Users from Visits'!A10,Visits!E:V,18,FALSE)</f>
        <v>Chapman</v>
      </c>
      <c r="D10">
        <f>VLOOKUP('Users from Visits'!A10,Visits!E:V,2,FALSE)</f>
        <v>0</v>
      </c>
      <c r="E10" t="str">
        <f>VLOOKUP(A10,Users!A:A,1,FALSE)</f>
        <v>roberthchapman@hotmail.com</v>
      </c>
    </row>
    <row r="11" spans="1:5">
      <c r="A11" t="str">
        <v>srivaths.s@gmail.com</v>
      </c>
      <c r="B11" t="str">
        <f>VLOOKUP('Users from Visits'!A11,Visits!E:V,17,FALSE)</f>
        <v>Srivaths</v>
      </c>
      <c r="C11" t="str">
        <f>VLOOKUP('Users from Visits'!A11,Visits!E:V,18,FALSE)</f>
        <v>Swaminathan</v>
      </c>
      <c r="D11">
        <f>VLOOKUP('Users from Visits'!A11,Visits!E:V,2,FALSE)</f>
        <v>0</v>
      </c>
      <c r="E11" t="str">
        <f>VLOOKUP(A11,Users!A:A,1,FALSE)</f>
        <v>srivaths.s@gmail.com</v>
      </c>
    </row>
    <row r="12" spans="1:5">
      <c r="A12" t="str">
        <v>susandjackson01@gmail.com</v>
      </c>
      <c r="B12" t="str">
        <f>VLOOKUP('Users from Visits'!A12,Visits!E:V,17,FALSE)</f>
        <v>Susan</v>
      </c>
      <c r="C12" t="str">
        <f>VLOOKUP('Users from Visits'!A12,Visits!E:V,18,FALSE)</f>
        <v>Durkan Jackson</v>
      </c>
      <c r="D12">
        <f>VLOOKUP('Users from Visits'!A12,Visits!E:V,2,FALSE)</f>
        <v>0</v>
      </c>
      <c r="E12" t="str">
        <f>VLOOKUP(A12,Users!A:A,1,FALSE)</f>
        <v>susandjackson01@gmail.com</v>
      </c>
    </row>
    <row r="13" spans="1:5">
      <c r="A13" t="str">
        <v>rtranaita@gmail.com</v>
      </c>
      <c r="B13" t="str">
        <f>VLOOKUP('Users from Visits'!A13,Visits!E:V,17,FALSE)</f>
        <v>Anaita</v>
      </c>
      <c r="C13" t="str">
        <f>VLOOKUP('Users from Visits'!A13,Visits!E:V,18,FALSE)</f>
        <v>Agatic</v>
      </c>
      <c r="D13">
        <f>VLOOKUP('Users from Visits'!A13,Visits!E:V,2,FALSE)</f>
        <v>0</v>
      </c>
      <c r="E13" t="str">
        <f>VLOOKUP(A13,Users!A:A,1,FALSE)</f>
        <v>rtranaita@gmail.com</v>
      </c>
    </row>
    <row r="14" spans="1:5">
      <c r="A14" t="str">
        <v>Clairelouisecouchman@hotmail.com</v>
      </c>
      <c r="B14" t="str">
        <f>VLOOKUP('Users from Visits'!A14,Visits!E:V,17,FALSE)</f>
        <v>Claire</v>
      </c>
      <c r="C14" t="str">
        <f>VLOOKUP('Users from Visits'!A14,Visits!E:V,18,FALSE)</f>
        <v>Couchman</v>
      </c>
      <c r="D14">
        <f>VLOOKUP('Users from Visits'!A14,Visits!E:V,2,FALSE)</f>
        <v>0</v>
      </c>
      <c r="E14" t="str">
        <f>VLOOKUP(A14,Users!A:A,1,FALSE)</f>
        <v>Clairelouisecouchman@hotmail.com</v>
      </c>
    </row>
    <row r="15" spans="1:5">
      <c r="A15" t="str">
        <v>katherineyr.kim@gmail.com</v>
      </c>
      <c r="B15" t="str">
        <f>VLOOKUP('Users from Visits'!A15,Visits!E:V,17,FALSE)</f>
        <v>Katherine</v>
      </c>
      <c r="C15" t="str">
        <f>VLOOKUP('Users from Visits'!A15,Visits!E:V,18,FALSE)</f>
        <v>Kim</v>
      </c>
      <c r="D15">
        <f>VLOOKUP('Users from Visits'!A15,Visits!E:V,2,FALSE)</f>
        <v>0</v>
      </c>
      <c r="E15" t="str">
        <f>VLOOKUP(A15,Users!A:A,1,FALSE)</f>
        <v>katherineyr.kim@gmail.com</v>
      </c>
    </row>
    <row r="16" spans="1:5">
      <c r="A16" t="str">
        <v>audreyrebeccahutabarat@gmail.com</v>
      </c>
      <c r="B16" t="str">
        <f>VLOOKUP('Users from Visits'!A16,Visits!E:V,17,FALSE)</f>
        <v>Audrey</v>
      </c>
      <c r="C16" t="str">
        <f>VLOOKUP('Users from Visits'!A16,Visits!E:V,18,FALSE)</f>
        <v>Hutabarat</v>
      </c>
      <c r="D16">
        <f>VLOOKUP('Users from Visits'!A16,Visits!E:V,2,FALSE)</f>
        <v>0</v>
      </c>
      <c r="E16" t="str">
        <f>VLOOKUP(A16,Users!A:A,1,FALSE)</f>
        <v>audreyrebeccahutabarat@gmail.com</v>
      </c>
    </row>
    <row r="17" spans="1:5">
      <c r="A17" t="str">
        <v>dmbarden@hotmail.co.uk</v>
      </c>
      <c r="B17" t="str">
        <f>VLOOKUP('Users from Visits'!A17,Visits!E:V,17,FALSE)</f>
        <v>David</v>
      </c>
      <c r="C17" t="str">
        <f>VLOOKUP('Users from Visits'!A17,Visits!E:V,18,FALSE)</f>
        <v>Barden</v>
      </c>
      <c r="D17">
        <f>VLOOKUP('Users from Visits'!A17,Visits!E:V,2,FALSE)</f>
        <v>0</v>
      </c>
      <c r="E17" t="str">
        <f>VLOOKUP(A17,Users!A:A,1,FALSE)</f>
        <v>dmbarden@hotmail.co.uk</v>
      </c>
    </row>
    <row r="18" spans="1:5">
      <c r="A18" t="str">
        <v>ezgicaakmak@gmail.com</v>
      </c>
      <c r="B18" t="str">
        <f>VLOOKUP('Users from Visits'!A18,Visits!E:V,17,FALSE)</f>
        <v>ezgi</v>
      </c>
      <c r="C18" t="str">
        <f>VLOOKUP('Users from Visits'!A18,Visits!E:V,18,FALSE)</f>
        <v>çakmak</v>
      </c>
      <c r="D18">
        <f>VLOOKUP('Users from Visits'!A18,Visits!E:V,2,FALSE)</f>
        <v>0</v>
      </c>
      <c r="E18" t="str">
        <f>VLOOKUP(A18,Users!A:A,1,FALSE)</f>
        <v>ezgicaakmak@gmail.com</v>
      </c>
    </row>
    <row r="19" spans="1:5">
      <c r="A19" t="str">
        <v>hrational@gmail.com</v>
      </c>
      <c r="B19" t="str">
        <f>VLOOKUP('Users from Visits'!A19,Visits!E:V,17,FALSE)</f>
        <v>Kostas</v>
      </c>
      <c r="C19" t="str">
        <f>VLOOKUP('Users from Visits'!A19,Visits!E:V,18,FALSE)</f>
        <v>Palierakis</v>
      </c>
      <c r="D19">
        <f>VLOOKUP('Users from Visits'!A19,Visits!E:V,2,FALSE)</f>
        <v>0</v>
      </c>
      <c r="E19" t="str">
        <f>VLOOKUP(A19,Users!A:A,1,FALSE)</f>
        <v>hrational@gmail.com</v>
      </c>
    </row>
    <row r="20" spans="1:5">
      <c r="A20" t="str">
        <v>louise.ly.chow@gmail.com</v>
      </c>
      <c r="B20" t="str">
        <f>VLOOKUP('Users from Visits'!A20,Visits!E:V,17,FALSE)</f>
        <v>Louise</v>
      </c>
      <c r="C20" t="str">
        <f>VLOOKUP('Users from Visits'!A20,Visits!E:V,18,FALSE)</f>
        <v>Chow</v>
      </c>
      <c r="D20">
        <f>VLOOKUP('Users from Visits'!A20,Visits!E:V,2,FALSE)</f>
        <v>0</v>
      </c>
      <c r="E20" t="str">
        <f>VLOOKUP(A20,Users!A:A,1,FALSE)</f>
        <v>louise.ly.chow@gmail.com</v>
      </c>
    </row>
    <row r="21" spans="1:5">
      <c r="A21" t="str">
        <v>monique.blemur@gmail.com</v>
      </c>
      <c r="B21" t="str">
        <f>VLOOKUP('Users from Visits'!A21,Visits!E:V,17,FALSE)</f>
        <v>Monique</v>
      </c>
      <c r="C21" t="str">
        <f>VLOOKUP('Users from Visits'!A21,Visits!E:V,18,FALSE)</f>
        <v>Blemur</v>
      </c>
      <c r="D21">
        <f>VLOOKUP('Users from Visits'!A21,Visits!E:V,2,FALSE)</f>
        <v>0</v>
      </c>
      <c r="E21" t="str">
        <f>VLOOKUP(A21,Users!A:A,1,FALSE)</f>
        <v>monique.blemur@gmail.com</v>
      </c>
    </row>
    <row r="22" spans="1:5">
      <c r="A22" t="str">
        <v>tendulkar.rohini@gmail.com</v>
      </c>
      <c r="B22" t="str">
        <f>VLOOKUP('Users from Visits'!A22,Visits!E:V,17,FALSE)</f>
        <v>Rohini</v>
      </c>
      <c r="C22" t="str">
        <f>VLOOKUP('Users from Visits'!A22,Visits!E:V,18,FALSE)</f>
        <v>Tendulkar</v>
      </c>
      <c r="D22">
        <f>VLOOKUP('Users from Visits'!A22,Visits!E:V,2,FALSE)</f>
        <v>0</v>
      </c>
      <c r="E22" t="str">
        <f>VLOOKUP(A22,Users!A:A,1,FALSE)</f>
        <v>tendulkar.rohini@gmail.com</v>
      </c>
    </row>
    <row r="23" spans="1:5">
      <c r="A23" t="str">
        <v>scribu@gmail.com</v>
      </c>
      <c r="B23" t="str">
        <f>VLOOKUP('Users from Visits'!A23,Visits!E:V,17,FALSE)</f>
        <v>Silviu</v>
      </c>
      <c r="C23" t="str">
        <f>VLOOKUP('Users from Visits'!A23,Visits!E:V,18,FALSE)</f>
        <v>Burca</v>
      </c>
      <c r="D23">
        <f>VLOOKUP('Users from Visits'!A23,Visits!E:V,2,FALSE)</f>
        <v>0</v>
      </c>
      <c r="E23" t="str">
        <f>VLOOKUP(A23,Users!A:A,1,FALSE)</f>
        <v>scribu@gmail.com</v>
      </c>
    </row>
    <row r="24" spans="1:5">
      <c r="A24" t="str">
        <v>simon88e@yahoo.com</v>
      </c>
      <c r="B24" t="str">
        <f>VLOOKUP('Users from Visits'!A24,Visits!E:V,17,FALSE)</f>
        <v>Simona</v>
      </c>
      <c r="C24" t="str">
        <f>VLOOKUP('Users from Visits'!A24,Visits!E:V,18,FALSE)</f>
        <v>Vicol</v>
      </c>
      <c r="D24">
        <f>VLOOKUP('Users from Visits'!A24,Visits!E:V,2,FALSE)</f>
        <v>0</v>
      </c>
      <c r="E24" t="str">
        <f>VLOOKUP(A24,Users!A:A,1,FALSE)</f>
        <v>simon88e@yahoo.com</v>
      </c>
    </row>
    <row r="25" spans="1:5">
      <c r="A25" t="str">
        <v>jones_daniela@yahoo.co.uk</v>
      </c>
      <c r="B25" t="str">
        <f>VLOOKUP('Users from Visits'!A25,Visits!E:V,17,FALSE)</f>
        <v>Daniela</v>
      </c>
      <c r="C25" t="str">
        <f>VLOOKUP('Users from Visits'!A25,Visits!E:V,18,FALSE)</f>
        <v>Jone</v>
      </c>
      <c r="D25" t="str">
        <f>VLOOKUP('Users from Visits'!A25,Visits!E:V,2,FALSE)</f>
        <v>07979647510</v>
      </c>
      <c r="E25" t="str">
        <f>VLOOKUP(A25,Users!A:A,1,FALSE)</f>
        <v>jones_daniela@yahoo.co.uk</v>
      </c>
    </row>
    <row r="26" spans="1:5">
      <c r="A26" t="str">
        <v>eoghannaughton@hotmail.com</v>
      </c>
      <c r="B26" t="str">
        <f>VLOOKUP('Users from Visits'!A26,Visits!E:V,17,FALSE)</f>
        <v>eoghan</v>
      </c>
      <c r="C26" t="str">
        <f>VLOOKUP('Users from Visits'!A26,Visits!E:V,18,FALSE)</f>
        <v>naughton</v>
      </c>
      <c r="D26" t="str">
        <f>VLOOKUP('Users from Visits'!A26,Visits!E:V,2,FALSE)</f>
        <v>07525006790</v>
      </c>
      <c r="E26" t="str">
        <f>VLOOKUP(A26,Users!A:A,1,FALSE)</f>
        <v>eoghannaughton@hotmail.com</v>
      </c>
    </row>
    <row r="27" spans="1:5">
      <c r="A27" t="str">
        <v>natashapavlovskaya23@gmail.com</v>
      </c>
      <c r="B27" t="str">
        <f>VLOOKUP('Users from Visits'!A27,Visits!E:V,17,FALSE)</f>
        <v>Natasha</v>
      </c>
      <c r="C27" t="str">
        <f>VLOOKUP('Users from Visits'!A27,Visits!E:V,18,FALSE)</f>
        <v>P</v>
      </c>
      <c r="D27" t="str">
        <f>VLOOKUP('Users from Visits'!A27,Visits!E:V,2,FALSE)</f>
        <v>07931561897</v>
      </c>
      <c r="E27" t="str">
        <f>VLOOKUP(A27,Users!A:A,1,FALSE)</f>
        <v>natashapavlovskaya23@gmail.com</v>
      </c>
    </row>
    <row r="28" spans="1:5">
      <c r="A28" t="str">
        <v>khan.saretta@gmail.com</v>
      </c>
      <c r="B28" t="str">
        <f>VLOOKUP('Users from Visits'!A28,Visits!E:V,17,FALSE)</f>
        <v>Sara</v>
      </c>
      <c r="C28" t="str">
        <f>VLOOKUP('Users from Visits'!A28,Visits!E:V,18,FALSE)</f>
        <v>Khan</v>
      </c>
      <c r="D28" t="str">
        <f>VLOOKUP('Users from Visits'!A28,Visits!E:V,2,FALSE)</f>
        <v>07871606482</v>
      </c>
      <c r="E28" t="str">
        <f>VLOOKUP(A28,Users!A:A,1,FALSE)</f>
        <v>khan.saretta@gmail.com</v>
      </c>
    </row>
    <row r="29" spans="1:5">
      <c r="A29" t="str">
        <v>sophia.shemlugu@gmail.com</v>
      </c>
      <c r="B29" t="str">
        <f>VLOOKUP('Users from Visits'!A29,Visits!E:V,17,FALSE)</f>
        <v>Sophia</v>
      </c>
      <c r="C29" t="str">
        <f>VLOOKUP('Users from Visits'!A29,Visits!E:V,18,FALSE)</f>
        <v>S</v>
      </c>
      <c r="D29" t="str">
        <f>VLOOKUP('Users from Visits'!A29,Visits!E:V,2,FALSE)</f>
        <v>07947714775</v>
      </c>
      <c r="E29" t="str">
        <f>VLOOKUP(A29,Users!A:A,1,FALSE)</f>
        <v>sophia.shemlugu@gmail.com</v>
      </c>
    </row>
    <row r="30" spans="1:5">
      <c r="A30" t="str">
        <v>anayosefi@gmail.com</v>
      </c>
      <c r="B30" t="str">
        <f>VLOOKUP('Users from Visits'!A30,Visits!E:V,17,FALSE)</f>
        <v>Anahita</v>
      </c>
      <c r="C30" t="str">
        <f>VLOOKUP('Users from Visits'!A30,Visits!E:V,18,FALSE)</f>
        <v>Yousefi</v>
      </c>
      <c r="D30" t="str">
        <f>VLOOKUP('Users from Visits'!A30,Visits!E:V,2,FALSE)</f>
        <v>+4799386437</v>
      </c>
      <c r="E30" t="str">
        <f>VLOOKUP(A30,Users!A:A,1,FALSE)</f>
        <v>anayosefi@gmail.com</v>
      </c>
    </row>
    <row r="31" spans="1:5">
      <c r="A31" t="str">
        <v>anamariaperu@hotmail.co.uk</v>
      </c>
      <c r="B31" t="str">
        <f>VLOOKUP('Users from Visits'!A31,Visits!E:V,17,FALSE)</f>
        <v>Anamaria</v>
      </c>
      <c r="C31" t="str">
        <f>VLOOKUP('Users from Visits'!A31,Visits!E:V,18,FALSE)</f>
        <v>Parsons</v>
      </c>
      <c r="D31" t="str">
        <f>VLOOKUP('Users from Visits'!A31,Visits!E:V,2,FALSE)</f>
        <v>07980320717</v>
      </c>
      <c r="E31" t="str">
        <f>VLOOKUP(A31,Users!A:A,1,FALSE)</f>
        <v>anamariaperu@hotmail.co.uk</v>
      </c>
    </row>
    <row r="32" spans="1:5">
      <c r="A32" t="str">
        <v>sweetkowi@gmail.com</v>
      </c>
      <c r="B32" t="str">
        <f>VLOOKUP('Users from Visits'!A32,Visits!E:V,17,FALSE)</f>
        <v>Cecilia</v>
      </c>
      <c r="C32" t="str">
        <f>VLOOKUP('Users from Visits'!A32,Visits!E:V,18,FALSE)</f>
        <v>Lee</v>
      </c>
      <c r="D32" t="str">
        <f>VLOOKUP('Users from Visits'!A32,Visits!E:V,2,FALSE)</f>
        <v>07380407565</v>
      </c>
      <c r="E32" t="str">
        <f>VLOOKUP(A32,Users!A:A,1,FALSE)</f>
        <v>sweetkowi@gmail.com</v>
      </c>
    </row>
    <row r="33" spans="1:5">
      <c r="A33" t="str">
        <v>claudiapaicu@yahoo.com</v>
      </c>
      <c r="B33" t="str">
        <f>VLOOKUP('Users from Visits'!A33,Visits!E:V,17,FALSE)</f>
        <v>Claudia</v>
      </c>
      <c r="C33" t="str">
        <f>VLOOKUP('Users from Visits'!A33,Visits!E:V,18,FALSE)</f>
        <v>Claudia</v>
      </c>
      <c r="D33" t="str">
        <f>VLOOKUP('Users from Visits'!A33,Visits!E:V,2,FALSE)</f>
        <v>07877845663</v>
      </c>
      <c r="E33" t="str">
        <f>VLOOKUP(A33,Users!A:A,1,FALSE)</f>
        <v>claudiapaicu@yahoo.com</v>
      </c>
    </row>
    <row r="34" spans="1:5">
      <c r="A34" t="str">
        <v>d.v.davideveronese@gmail.com</v>
      </c>
      <c r="B34" t="str">
        <f>VLOOKUP('Users from Visits'!A34,Visits!E:V,17,FALSE)</f>
        <v>Davide</v>
      </c>
      <c r="C34" t="str">
        <f>VLOOKUP('Users from Visits'!A34,Visits!E:V,18,FALSE)</f>
        <v>Veronese</v>
      </c>
      <c r="D34" t="str">
        <f>VLOOKUP('Users from Visits'!A34,Visits!E:V,2,FALSE)</f>
        <v>07342248068</v>
      </c>
      <c r="E34" t="str">
        <f>VLOOKUP(A34,Users!A:A,1,FALSE)</f>
        <v>d.v.davideveronese@gmail.com</v>
      </c>
    </row>
    <row r="35" spans="1:5">
      <c r="A35" t="str">
        <v>hanna.niczyporuk@gmail.com</v>
      </c>
      <c r="B35" t="str">
        <f>VLOOKUP('Users from Visits'!A35,Visits!E:V,17,FALSE)</f>
        <v>Hanna</v>
      </c>
      <c r="C35" t="str">
        <f>VLOOKUP('Users from Visits'!A35,Visits!E:V,18,FALSE)</f>
        <v>N</v>
      </c>
      <c r="D35" t="str">
        <f>VLOOKUP('Users from Visits'!A35,Visits!E:V,2,FALSE)</f>
        <v>+17183086607</v>
      </c>
      <c r="E35" t="str">
        <f>VLOOKUP(A35,Users!A:A,1,FALSE)</f>
        <v>hanna.niczyporuk@gmail.com</v>
      </c>
    </row>
    <row r="36" spans="1:5">
      <c r="A36" t="str">
        <v>taam.isadora@gmail.com</v>
      </c>
      <c r="B36" t="str">
        <f>VLOOKUP('Users from Visits'!A36,Visits!E:V,17,FALSE)</f>
        <v>Isadora</v>
      </c>
      <c r="C36" t="str">
        <f>VLOOKUP('Users from Visits'!A36,Visits!E:V,18,FALSE)</f>
        <v>de Miranda Mello Taam</v>
      </c>
      <c r="D36" t="str">
        <f>VLOOKUP('Users from Visits'!A36,Visits!E:V,2,FALSE)</f>
        <v>4407923190379</v>
      </c>
      <c r="E36" t="str">
        <f>VLOOKUP(A36,Users!A:A,1,FALSE)</f>
        <v>taam.isadora@gmail.com</v>
      </c>
    </row>
    <row r="37" spans="1:5">
      <c r="A37" t="str">
        <v>jon.chikly@gmail.com</v>
      </c>
      <c r="B37" t="str">
        <f>VLOOKUP('Users from Visits'!A37,Visits!E:V,17,FALSE)</f>
        <v>Jonathan</v>
      </c>
      <c r="C37" t="str">
        <f>VLOOKUP('Users from Visits'!A37,Visits!E:V,18,FALSE)</f>
        <v>Chikly</v>
      </c>
      <c r="D37" t="str">
        <f>VLOOKUP('Users from Visits'!A37,Visits!E:V,2,FALSE)</f>
        <v>07557017341</v>
      </c>
      <c r="E37" t="str">
        <f>VLOOKUP(A37,Users!A:A,1,FALSE)</f>
        <v>jon.chikly@gmail.com</v>
      </c>
    </row>
    <row r="38" spans="1:5">
      <c r="A38" t="str">
        <v>isisding@gmail.com</v>
      </c>
      <c r="B38">
        <f>VLOOKUP('Users from Visits'!A38,Visits!E:V,17,FALSE)</f>
        <v>0</v>
      </c>
      <c r="C38">
        <f>VLOOKUP('Users from Visits'!A38,Visits!E:V,18,FALSE)</f>
        <v>0</v>
      </c>
      <c r="D38">
        <f>VLOOKUP('Users from Visits'!A38,Visits!E:V,2,FALSE)</f>
        <v>0</v>
      </c>
      <c r="E38" t="str">
        <f>VLOOKUP(A38,Users!A:A,1,FALSE)</f>
        <v>isisding@gmail.com</v>
      </c>
    </row>
    <row r="39" spans="1:5">
      <c r="A39" t="str">
        <v>rowan.bashar@gmail.com</v>
      </c>
      <c r="B39" t="str">
        <f>VLOOKUP('Users from Visits'!A39,Visits!E:V,17,FALSE)</f>
        <v>Rowan</v>
      </c>
      <c r="C39" t="str">
        <f>VLOOKUP('Users from Visits'!A39,Visits!E:V,18,FALSE)</f>
        <v>El Atrache</v>
      </c>
      <c r="D39" t="str">
        <f>VLOOKUP('Users from Visits'!A39,Visits!E:V,2,FALSE)</f>
        <v>07436593641</v>
      </c>
      <c r="E39" t="str">
        <f>VLOOKUP(A39,Users!A:A,1,FALSE)</f>
        <v>rowan.bashar@gmail.com</v>
      </c>
    </row>
    <row r="40" spans="1:5">
      <c r="A40" t="str">
        <v>sam.samedzade@gmail.com</v>
      </c>
      <c r="B40" t="str">
        <f>VLOOKUP('Users from Visits'!A40,Visits!E:V,17,FALSE)</f>
        <v>Samedzade</v>
      </c>
      <c r="C40" t="str">
        <f>VLOOKUP('Users from Visits'!A40,Visits!E:V,18,FALSE)</f>
        <v>Samed</v>
      </c>
      <c r="D40" t="str">
        <f>VLOOKUP('Users from Visits'!A40,Visits!E:V,2,FALSE)</f>
        <v>07803757887</v>
      </c>
      <c r="E40" t="str">
        <f>VLOOKUP(A40,Users!A:A,1,FALSE)</f>
        <v>sam.samedzade@gmail.com</v>
      </c>
    </row>
    <row r="41" spans="1:5">
      <c r="A41" t="str">
        <v>sethi.tanvi@gmail.com</v>
      </c>
      <c r="B41" t="str">
        <f>VLOOKUP('Users from Visits'!A41,Visits!E:V,17,FALSE)</f>
        <v>Tanvi</v>
      </c>
      <c r="C41" t="str">
        <f>VLOOKUP('Users from Visits'!A41,Visits!E:V,18,FALSE)</f>
        <v>Sethi</v>
      </c>
      <c r="D41" t="str">
        <f>VLOOKUP('Users from Visits'!A41,Visits!E:V,2,FALSE)</f>
        <v>07846232630</v>
      </c>
      <c r="E41" t="str">
        <f>VLOOKUP(A41,Users!A:A,1,FALSE)</f>
        <v>sethi.tanvi@gmail.com</v>
      </c>
    </row>
    <row r="42" spans="1:5">
      <c r="A42" t="str">
        <v>teodor.rd27@gmail.com</v>
      </c>
      <c r="B42">
        <f>VLOOKUP('Users from Visits'!A42,Visits!E:V,17,FALSE)</f>
        <v>0</v>
      </c>
      <c r="C42">
        <f>VLOOKUP('Users from Visits'!A42,Visits!E:V,18,FALSE)</f>
        <v>0</v>
      </c>
      <c r="D42">
        <f>VLOOKUP('Users from Visits'!A42,Visits!E:V,2,FALSE)</f>
        <v>0</v>
      </c>
      <c r="E42" t="str">
        <f>VLOOKUP(A42,Users!A:A,1,FALSE)</f>
        <v>teodor.rd27@gmail.com</v>
      </c>
    </row>
    <row r="43" spans="1:5">
      <c r="A43" t="str">
        <v>tomhsaville@hotmail.co.uk</v>
      </c>
      <c r="B43">
        <f>VLOOKUP('Users from Visits'!A43,Visits!E:V,17,FALSE)</f>
        <v>0</v>
      </c>
      <c r="C43">
        <f>VLOOKUP('Users from Visits'!A43,Visits!E:V,18,FALSE)</f>
        <v>0</v>
      </c>
      <c r="D43" t="str">
        <f>VLOOKUP('Users from Visits'!A43,Visits!E:V,2,FALSE)</f>
        <v>07572300777</v>
      </c>
      <c r="E43" t="str">
        <f>VLOOKUP(A43,Users!A:A,1,FALSE)</f>
        <v>tomhsaville@hotmail.co.uk</v>
      </c>
    </row>
    <row r="44" spans="1:5">
      <c r="A44" t="str">
        <v>galimova.al.al@gmail.com</v>
      </c>
      <c r="B44" t="str">
        <f>VLOOKUP('Users from Visits'!A44,Visits!E:V,17,FALSE)</f>
        <v>Alina</v>
      </c>
      <c r="C44" t="str">
        <f>VLOOKUP('Users from Visits'!A44,Visits!E:V,18,FALSE)</f>
        <v>Galimova</v>
      </c>
      <c r="D44" t="str">
        <f>VLOOKUP('Users from Visits'!A44,Visits!E:V,2,FALSE)</f>
        <v>07548016207</v>
      </c>
      <c r="E44" t="str">
        <f>VLOOKUP(A44,Users!A:A,1,FALSE)</f>
        <v>galimova.al.al@gmail.com</v>
      </c>
    </row>
    <row r="45" spans="1:5">
      <c r="A45" t="str">
        <v>blattnerj@gmail.com</v>
      </c>
      <c r="B45">
        <f>VLOOKUP('Users from Visits'!A45,Visits!E:V,17,FALSE)</f>
        <v>0</v>
      </c>
      <c r="C45">
        <f>VLOOKUP('Users from Visits'!A45,Visits!E:V,18,FALSE)</f>
        <v>0</v>
      </c>
      <c r="D45">
        <f>VLOOKUP('Users from Visits'!A45,Visits!E:V,2,FALSE)</f>
        <v>0</v>
      </c>
      <c r="E45" t="str">
        <f>VLOOKUP(A45,Users!A:A,1,FALSE)</f>
        <v>blattnerj@gmail.com</v>
      </c>
    </row>
    <row r="46" spans="1:5">
      <c r="A46" t="str">
        <v>win.man@icloud.com</v>
      </c>
      <c r="B46" t="str">
        <f>VLOOKUP('Users from Visits'!A46,Visits!E:V,17,FALSE)</f>
        <v>Win</v>
      </c>
      <c r="C46" t="str">
        <f>VLOOKUP('Users from Visits'!A46,Visits!E:V,18,FALSE)</f>
        <v>Man</v>
      </c>
      <c r="D46" t="str">
        <f>VLOOKUP('Users from Visits'!A46,Visits!E:V,2,FALSE)</f>
        <v>07896634620</v>
      </c>
      <c r="E46" t="str">
        <f>VLOOKUP(A46,Users!A:A,1,FALSE)</f>
        <v>win.man@icloud.com</v>
      </c>
    </row>
    <row r="47" spans="1:5">
      <c r="A47" t="str">
        <v>zinab.rama@gmail.com</v>
      </c>
      <c r="B47" t="str">
        <f>VLOOKUP('Users from Visits'!A47,Visits!E:V,17,FALSE)</f>
        <v>zinab</v>
      </c>
      <c r="C47" t="str">
        <f>VLOOKUP('Users from Visits'!A47,Visits!E:V,18,FALSE)</f>
        <v>al ramathany</v>
      </c>
      <c r="D47" t="str">
        <f>VLOOKUP('Users from Visits'!A47,Visits!E:V,2,FALSE)</f>
        <v>07398634749</v>
      </c>
      <c r="E47" t="str">
        <f>VLOOKUP(A47,Users!A:A,1,FALSE)</f>
        <v>zinab.rama@gmail.com</v>
      </c>
    </row>
    <row r="48" spans="1:5">
      <c r="A48" t="str">
        <v>egemensiphone@gmail.com</v>
      </c>
      <c r="B48" t="str">
        <f>VLOOKUP('Users from Visits'!A48,Visits!E:V,17,FALSE)</f>
        <v>Egemen</v>
      </c>
      <c r="C48" t="str">
        <f>VLOOKUP('Users from Visits'!A48,Visits!E:V,18,FALSE)</f>
        <v>U</v>
      </c>
      <c r="D48" t="str">
        <f>VLOOKUP('Users from Visits'!A48,Visits!E:V,2,FALSE)</f>
        <v>07789350831</v>
      </c>
      <c r="E48" t="str">
        <f>VLOOKUP(A48,Users!A:A,1,FALSE)</f>
        <v>egemensiphone@gmail.com</v>
      </c>
    </row>
    <row r="49" spans="1:5">
      <c r="A49" t="str">
        <v>elena27kuv@gmail.com</v>
      </c>
      <c r="B49" t="str">
        <f>VLOOKUP('Users from Visits'!A49,Visits!E:V,17,FALSE)</f>
        <v>Elena</v>
      </c>
      <c r="C49" t="str">
        <f>VLOOKUP('Users from Visits'!A49,Visits!E:V,18,FALSE)</f>
        <v>Kuvshinnikova</v>
      </c>
      <c r="D49" t="str">
        <f>VLOOKUP('Users from Visits'!A49,Visits!E:V,2,FALSE)</f>
        <v>7890306975</v>
      </c>
      <c r="E49" t="str">
        <f>VLOOKUP(A49,Users!A:A,1,FALSE)</f>
        <v>elena27kuv@gmail.com</v>
      </c>
    </row>
    <row r="50" spans="1:5">
      <c r="A50" t="str">
        <v>shaysteele2017@gmail.com</v>
      </c>
      <c r="B50" t="str">
        <f>VLOOKUP('Users from Visits'!A50,Visits!E:V,17,FALSE)</f>
        <v>Shay</v>
      </c>
      <c r="C50" t="str">
        <f>VLOOKUP('Users from Visits'!A50,Visits!E:V,18,FALSE)</f>
        <v>Steele</v>
      </c>
      <c r="D50" t="str">
        <f>VLOOKUP('Users from Visits'!A50,Visits!E:V,2,FALSE)</f>
        <v>7925774705</v>
      </c>
      <c r="E50" t="str">
        <f>VLOOKUP(A50,Users!A:A,1,FALSE)</f>
        <v>shaysteele2017@gmail.com</v>
      </c>
    </row>
    <row r="51" spans="1:5">
      <c r="A51" t="str">
        <v>yyasemin.mermer@gmail.com</v>
      </c>
      <c r="B51" t="str">
        <f>VLOOKUP('Users from Visits'!A51,Visits!E:V,17,FALSE)</f>
        <v>Yasemin</v>
      </c>
      <c r="C51" t="str">
        <f>VLOOKUP('Users from Visits'!A51,Visits!E:V,18,FALSE)</f>
        <v>Mermer</v>
      </c>
      <c r="D51" t="str">
        <f>VLOOKUP('Users from Visits'!A51,Visits!E:V,2,FALSE)</f>
        <v>+447824492343</v>
      </c>
      <c r="E51" t="str">
        <f>VLOOKUP(A51,Users!A:A,1,FALSE)</f>
        <v>yyasemin.mermer@gmail.com</v>
      </c>
    </row>
    <row r="52" spans="1:5">
      <c r="A52" t="str">
        <v>jz548282@gmail.com</v>
      </c>
      <c r="B52" t="str">
        <f>VLOOKUP('Users from Visits'!A52,Visits!E:V,17,FALSE)</f>
        <v>Jing</v>
      </c>
      <c r="C52" t="str">
        <f>VLOOKUP('Users from Visits'!A52,Visits!E:V,18,FALSE)</f>
        <v>Zhang</v>
      </c>
      <c r="D52" t="str">
        <f>VLOOKUP('Users from Visits'!A52,Visits!E:V,2,FALSE)</f>
        <v>07961779960</v>
      </c>
      <c r="E52" t="str">
        <f>VLOOKUP(A52,Users!A:A,1,FALSE)</f>
        <v>jz548282@gmail.com</v>
      </c>
    </row>
    <row r="53" spans="1:5">
      <c r="A53">
        <v>0</v>
      </c>
      <c r="B53" t="e">
        <f>VLOOKUP('Users from Visits'!A53,Visits!E:V,17,FALSE)</f>
        <v>#N/A</v>
      </c>
      <c r="C53" t="e">
        <f>VLOOKUP('Users from Visits'!A53,Visits!E:V,18,FALSE)</f>
        <v>#N/A</v>
      </c>
      <c r="D53" t="e">
        <f>VLOOKUP('Users from Visits'!A53,Visits!E:V,2,FALSE)</f>
        <v>#N/A</v>
      </c>
      <c r="E53" t="e">
        <f>VLOOKUP(A53,Users!A:A,1,FALSE)</f>
        <v>#N/A</v>
      </c>
    </row>
    <row r="54" spans="1:5">
      <c r="A54" t="str">
        <v>jinishgohil@yahoo.co.in</v>
      </c>
      <c r="B54" t="str">
        <f>VLOOKUP('Users from Visits'!A54,Visits!E:V,17,FALSE)</f>
        <v>Jinish</v>
      </c>
      <c r="C54" t="str">
        <f>VLOOKUP('Users from Visits'!A54,Visits!E:V,18,FALSE)</f>
        <v>Gohil</v>
      </c>
      <c r="D54" t="str">
        <f>VLOOKUP('Users from Visits'!A54,Visits!E:V,2,FALSE)</f>
        <v>07438951508</v>
      </c>
      <c r="E54" t="str">
        <f>VLOOKUP(A54,Users!A:A,1,FALSE)</f>
        <v>jinishgohil@yahoo.co.in</v>
      </c>
    </row>
    <row r="55" spans="1:5">
      <c r="A55" t="str">
        <v>maestromattheww@yahoo.co.uk</v>
      </c>
      <c r="B55" t="str">
        <f>VLOOKUP('Users from Visits'!A55,Visits!E:V,17,FALSE)</f>
        <v>Matthew</v>
      </c>
      <c r="C55" t="str">
        <f>VLOOKUP('Users from Visits'!A55,Visits!E:V,18,FALSE)</f>
        <v>Watts</v>
      </c>
      <c r="D55" t="str">
        <f>VLOOKUP('Users from Visits'!A55,Visits!E:V,2,FALSE)</f>
        <v>07817234925</v>
      </c>
      <c r="E55" t="str">
        <f>VLOOKUP(A55,Users!A:A,1,FALSE)</f>
        <v>maestromattheww@yahoo.co.uk</v>
      </c>
    </row>
    <row r="56" spans="1:5">
      <c r="A56" t="str">
        <v>apbhetherington@gmail.com</v>
      </c>
      <c r="B56" t="str">
        <f>VLOOKUP('Users from Visits'!A56,Visits!E:V,17,FALSE)</f>
        <v>Andrew</v>
      </c>
      <c r="C56" t="str">
        <f>VLOOKUP('Users from Visits'!A56,Visits!E:V,18,FALSE)</f>
        <v>Hetherington</v>
      </c>
      <c r="D56" t="str">
        <f>VLOOKUP('Users from Visits'!A56,Visits!E:V,2,FALSE)</f>
        <v>07540949525</v>
      </c>
      <c r="E56" t="str">
        <f>VLOOKUP(A56,Users!A:A,1,FALSE)</f>
        <v>apbhetherington@gmail.com</v>
      </c>
    </row>
    <row r="57" spans="1:5">
      <c r="A57" t="str">
        <v>pragyaptib@gmail.com</v>
      </c>
      <c r="B57" t="str">
        <f>VLOOKUP('Users from Visits'!A57,Visits!E:V,17,FALSE)</f>
        <v>Pragyapti</v>
      </c>
      <c r="C57" t="str">
        <f>VLOOKUP('Users from Visits'!A57,Visits!E:V,18,FALSE)</f>
        <v>Bhandari</v>
      </c>
      <c r="D57" t="str">
        <f>VLOOKUP('Users from Visits'!A57,Visits!E:V,2,FALSE)</f>
        <v>07741694836</v>
      </c>
      <c r="E57" t="str">
        <f>VLOOKUP(A57,Users!A:A,1,FALSE)</f>
        <v>pragyaptib@gmail.com</v>
      </c>
    </row>
    <row r="58" spans="1:5">
      <c r="A58" t="str">
        <v>kittyor.or@gmail.com</v>
      </c>
      <c r="B58" t="str">
        <f>VLOOKUP('Users from Visits'!A58,Visits!E:V,17,FALSE)</f>
        <v>Serena</v>
      </c>
      <c r="C58" t="str">
        <f>VLOOKUP('Users from Visits'!A58,Visits!E:V,18,FALSE)</f>
        <v>Or</v>
      </c>
      <c r="D58" t="str">
        <f>VLOOKUP('Users from Visits'!A58,Visits!E:V,2,FALSE)</f>
        <v>07366956766</v>
      </c>
      <c r="E58" t="str">
        <f>VLOOKUP(A58,Users!A:A,1,FALSE)</f>
        <v>kittyor.or@gmail.com</v>
      </c>
    </row>
    <row r="59" spans="1:5">
      <c r="A59" t="str">
        <v>federica.martini@live.it</v>
      </c>
      <c r="B59" t="str">
        <f>VLOOKUP('Users from Visits'!A59,Visits!E:V,17,FALSE)</f>
        <v>Federica</v>
      </c>
      <c r="C59" t="str">
        <f>VLOOKUP('Users from Visits'!A59,Visits!E:V,18,FALSE)</f>
        <v>Martini</v>
      </c>
      <c r="D59" t="str">
        <f>VLOOKUP('Users from Visits'!A59,Visits!E:V,2,FALSE)</f>
        <v>+447425103954</v>
      </c>
      <c r="E59" t="str">
        <f>VLOOKUP(A59,Users!A:A,1,FALSE)</f>
        <v>federica.martini@live.it</v>
      </c>
    </row>
    <row r="60" spans="1:5">
      <c r="A60" t="str">
        <v>shlimbc2@gmail.com</v>
      </c>
      <c r="B60" t="str">
        <f>VLOOKUP('Users from Visits'!A60,Visits!E:V,17,FALSE)</f>
        <v>Shay</v>
      </c>
      <c r="C60" t="str">
        <f>VLOOKUP('Users from Visits'!A60,Visits!E:V,18,FALSE)</f>
        <v>Lim</v>
      </c>
      <c r="D60" t="str">
        <f>VLOOKUP('Users from Visits'!A60,Visits!E:V,2,FALSE)</f>
        <v>07925774705</v>
      </c>
      <c r="E60" t="str">
        <f>VLOOKUP(A60,Users!A:A,1,FALSE)</f>
        <v>shlimbc2@gmail.com</v>
      </c>
    </row>
    <row r="61" spans="1:5">
      <c r="A61" t="str">
        <v>yangtianqi2023@163.com</v>
      </c>
      <c r="B61" t="str">
        <f>VLOOKUP('Users from Visits'!A61,Visits!E:V,17,FALSE)</f>
        <v>Tianqi</v>
      </c>
      <c r="C61" t="str">
        <f>VLOOKUP('Users from Visits'!A61,Visits!E:V,18,FALSE)</f>
        <v>Yang</v>
      </c>
      <c r="D61" t="str">
        <f>VLOOKUP('Users from Visits'!A61,Visits!E:V,2,FALSE)</f>
        <v>07756702521</v>
      </c>
      <c r="E61" t="str">
        <f>VLOOKUP(A61,Users!A:A,1,FALSE)</f>
        <v>yangtianqi2023@163.com</v>
      </c>
    </row>
    <row r="62" spans="1:5">
      <c r="A62" t="str">
        <v>dildeep96@gmail.com</v>
      </c>
      <c r="B62" t="str">
        <f>VLOOKUP('Users from Visits'!A62,Visits!E:V,17,FALSE)</f>
        <v>Dildeep</v>
      </c>
      <c r="C62" t="str">
        <f>VLOOKUP('Users from Visits'!A62,Visits!E:V,18,FALSE)</f>
        <v>Singh</v>
      </c>
      <c r="D62" t="str">
        <f>VLOOKUP('Users from Visits'!A62,Visits!E:V,2,FALSE)</f>
        <v>07506474016</v>
      </c>
      <c r="E62" t="str">
        <f>VLOOKUP(A62,Users!A:A,1,FALSE)</f>
        <v>dildeep96@gmail.com</v>
      </c>
    </row>
    <row r="63" spans="1:5">
      <c r="A63" t="str">
        <v>alena.german.71@gmail.com</v>
      </c>
      <c r="B63" t="str">
        <f>VLOOKUP('Users from Visits'!A63,Visits!E:V,17,FALSE)</f>
        <v>Eugenia</v>
      </c>
      <c r="C63" t="str">
        <f>VLOOKUP('Users from Visits'!A63,Visits!E:V,18,FALSE)</f>
        <v>Herman</v>
      </c>
      <c r="D63" t="str">
        <f>VLOOKUP('Users from Visits'!A63,Visits!E:V,2,FALSE)</f>
        <v>+447553093894</v>
      </c>
      <c r="E63" t="str">
        <f>VLOOKUP(A63,Users!A:A,1,FALSE)</f>
        <v>alena.german.71@gmail.com</v>
      </c>
    </row>
    <row r="64" spans="1:5">
      <c r="A64" t="str">
        <v>tatatamzzz@gmail.com</v>
      </c>
      <c r="B64" t="str">
        <f>VLOOKUP('Users from Visits'!A64,Visits!E:V,17,FALSE)</f>
        <v>Tamara</v>
      </c>
      <c r="C64" t="str">
        <f>VLOOKUP('Users from Visits'!A64,Visits!E:V,18,FALSE)</f>
        <v>Muñoz</v>
      </c>
      <c r="D64" t="str">
        <f>VLOOKUP('Users from Visits'!A64,Visits!E:V,2,FALSE)</f>
        <v>7901584632</v>
      </c>
      <c r="E64" t="str">
        <f>VLOOKUP(A64,Users!A:A,1,FALSE)</f>
        <v>tatatamzzz@gmail.com</v>
      </c>
    </row>
    <row r="65" spans="1:5">
      <c r="A65" t="str">
        <v>io.brezeanu@gmail.com</v>
      </c>
      <c r="B65" t="str">
        <f>VLOOKUP('Users from Visits'!A65,Visits!E:V,17,FALSE)</f>
        <v>Ioana</v>
      </c>
      <c r="C65" t="str">
        <f>VLOOKUP('Users from Visits'!A65,Visits!E:V,18,FALSE)</f>
        <v>Brezeanu</v>
      </c>
      <c r="D65" t="str">
        <f>VLOOKUP('Users from Visits'!A65,Visits!E:V,2,FALSE)</f>
        <v>447492693024</v>
      </c>
      <c r="E65" t="str">
        <f>VLOOKUP(A65,Users!A:A,1,FALSE)</f>
        <v>io.brezeanu@gmail.com</v>
      </c>
    </row>
    <row r="66" spans="1:5">
      <c r="A66" t="str">
        <v>lanidoms@gmail.com</v>
      </c>
      <c r="B66" t="str">
        <f>VLOOKUP('Users from Visits'!A66,Visits!E:V,17,FALSE)</f>
        <v>Mercelani</v>
      </c>
      <c r="C66" t="str">
        <f>VLOOKUP('Users from Visits'!A66,Visits!E:V,18,FALSE)</f>
        <v>Dumayday</v>
      </c>
      <c r="D66">
        <f>VLOOKUP('Users from Visits'!A66,Visits!E:V,2,FALSE)</f>
        <v>7503778383</v>
      </c>
      <c r="E66" t="str">
        <f>VLOOKUP(A66,Users!A:A,1,FALSE)</f>
        <v>lanidoms@gmail.com</v>
      </c>
    </row>
    <row r="67" spans="1:5">
      <c r="A67" t="str">
        <v>yskinoue0127@gmail.com</v>
      </c>
      <c r="B67" t="str">
        <f>VLOOKUP('Users from Visits'!A67,Visits!E:V,17,FALSE)</f>
        <v>Yusuke</v>
      </c>
      <c r="C67">
        <f>VLOOKUP('Users from Visits'!A67,Visits!E:V,18,FALSE)</f>
        <v>0</v>
      </c>
      <c r="D67">
        <f>VLOOKUP('Users from Visits'!A67,Visits!E:V,2,FALSE)</f>
        <v>0</v>
      </c>
      <c r="E67" t="str">
        <f>VLOOKUP(A67,Users!A:A,1,FALSE)</f>
        <v>yskinoue0127@gmail.com</v>
      </c>
    </row>
    <row r="68" spans="1:5">
      <c r="A68" t="str">
        <v>edementyeva@yandex.ru</v>
      </c>
      <c r="B68" t="str">
        <f>VLOOKUP('Users from Visits'!A68,Visits!E:V,17,FALSE)</f>
        <v>Elena</v>
      </c>
      <c r="C68" t="str">
        <f>VLOOKUP('Users from Visits'!A68,Visits!E:V,18,FALSE)</f>
        <v>Dementeva</v>
      </c>
      <c r="D68" t="str">
        <f>VLOOKUP('Users from Visits'!A68,Visits!E:V,2,FALSE)</f>
        <v>+44 7879 043769</v>
      </c>
      <c r="E68" t="str">
        <f>VLOOKUP(A68,Users!A:A,1,FALSE)</f>
        <v>edementyeva@yandex.ru</v>
      </c>
    </row>
    <row r="69" spans="1:5">
      <c r="A69" t="str">
        <v>estherchen314@gmail.com</v>
      </c>
      <c r="B69" t="str">
        <f>VLOOKUP('Users from Visits'!A69,Visits!E:V,17,FALSE)</f>
        <v>Esther</v>
      </c>
      <c r="C69" t="str">
        <f>VLOOKUP('Users from Visits'!A69,Visits!E:V,18,FALSE)</f>
        <v>Chen</v>
      </c>
      <c r="D69">
        <f>VLOOKUP('Users from Visits'!A69,Visits!E:V,2,FALSE)</f>
        <v>19176000000</v>
      </c>
      <c r="E69" t="str">
        <f>VLOOKUP(A69,Users!A:A,1,FALSE)</f>
        <v>estherchen314@gmail.com</v>
      </c>
    </row>
    <row r="70" spans="1:5">
      <c r="A70" t="str">
        <v>xetta03@hotmail.com</v>
      </c>
      <c r="B70" t="str">
        <f>VLOOKUP('Users from Visits'!A70,Visits!E:V,17,FALSE)</f>
        <v>Karen</v>
      </c>
      <c r="C70" t="str">
        <f>VLOOKUP('Users from Visits'!A70,Visits!E:V,18,FALSE)</f>
        <v>Johnstone</v>
      </c>
      <c r="D70">
        <f>VLOOKUP('Users from Visits'!A70,Visits!E:V,2,FALSE)</f>
        <v>7469394835</v>
      </c>
      <c r="E70" t="str">
        <f>VLOOKUP(A70,Users!A:A,1,FALSE)</f>
        <v>xetta03@hotmail.com</v>
      </c>
    </row>
    <row r="71" spans="1:5">
      <c r="A71" t="str">
        <v>lonmys@outlook.com</v>
      </c>
      <c r="B71" t="str">
        <f>VLOOKUP('Users from Visits'!A71,Visits!E:V,17,FALSE)</f>
        <v>Malti</v>
      </c>
      <c r="C71" t="str">
        <f>VLOOKUP('Users from Visits'!A71,Visits!E:V,18,FALSE)</f>
        <v>.</v>
      </c>
      <c r="D71">
        <f>VLOOKUP('Users from Visits'!A71,Visits!E:V,2,FALSE)</f>
        <v>0</v>
      </c>
      <c r="E71" t="str">
        <f>VLOOKUP(A71,Users!A:A,1,FALSE)</f>
        <v>lonmys@outlook.com</v>
      </c>
    </row>
    <row r="72" spans="1:5">
      <c r="A72" t="str">
        <v>angelakiva10@gmail.com</v>
      </c>
      <c r="B72" t="str">
        <f>VLOOKUP('Users from Visits'!A72,Visits!E:V,17,FALSE)</f>
        <v>Angela</v>
      </c>
      <c r="C72" t="str">
        <f>VLOOKUP('Users from Visits'!A72,Visits!E:V,18,FALSE)</f>
        <v>K</v>
      </c>
      <c r="D72">
        <f>VLOOKUP('Users from Visits'!A72,Visits!E:V,2,FALSE)</f>
        <v>7730398818</v>
      </c>
      <c r="E72" t="str">
        <f>VLOOKUP(A72,Users!A:A,1,FALSE)</f>
        <v>angelakiva10@gmail.com</v>
      </c>
    </row>
    <row r="73" spans="1:5">
      <c r="A73" t="str">
        <v>6.saracchi@gmail.com</v>
      </c>
      <c r="B73" t="str">
        <f>VLOOKUP('Users from Visits'!A73,Visits!E:V,17,FALSE)</f>
        <v>Giacomo</v>
      </c>
      <c r="C73" t="str">
        <f>VLOOKUP('Users from Visits'!A73,Visits!E:V,18,FALSE)</f>
        <v>Saracchi</v>
      </c>
      <c r="D73" t="str">
        <f>VLOOKUP('Users from Visits'!A73,Visits!E:V,2,FALSE)</f>
        <v>+44 7496 933834</v>
      </c>
      <c r="E73" t="str">
        <f>VLOOKUP(A73,Users!A:A,1,FALSE)</f>
        <v>6.saracchi@gmail.com</v>
      </c>
    </row>
    <row r="74" spans="1:5">
      <c r="A74" t="str">
        <v>gilka5@hotmail.com</v>
      </c>
      <c r="B74" t="str">
        <f>VLOOKUP('Users from Visits'!A74,Visits!E:V,17,FALSE)</f>
        <v>Gil</v>
      </c>
      <c r="C74" t="str">
        <f>VLOOKUP('Users from Visits'!A74,Visits!E:V,18,FALSE)</f>
        <v>K</v>
      </c>
      <c r="D74">
        <f>VLOOKUP('Users from Visits'!A74,Visits!E:V,2,FALSE)</f>
        <v>7841262698</v>
      </c>
      <c r="E74" t="str">
        <f>VLOOKUP(A74,Users!A:A,1,FALSE)</f>
        <v>gilka5@hotmail.com</v>
      </c>
    </row>
    <row r="75" spans="1:5">
      <c r="A75" t="str">
        <v>mm.manolova@yahoo.com</v>
      </c>
      <c r="B75" t="str">
        <f>VLOOKUP('Users from Visits'!A75,Visits!E:V,17,FALSE)</f>
        <v>M</v>
      </c>
      <c r="C75" t="str">
        <f>VLOOKUP('Users from Visits'!A75,Visits!E:V,18,FALSE)</f>
        <v>Manolova</v>
      </c>
      <c r="D75">
        <f>VLOOKUP('Users from Visits'!A75,Visits!E:V,2,FALSE)</f>
        <v>0</v>
      </c>
      <c r="E75" t="str">
        <f>VLOOKUP(A75,Users!A:A,1,FALSE)</f>
        <v>mm.manolova@yahoo.com</v>
      </c>
    </row>
    <row r="76" spans="1:5">
      <c r="A76" t="str">
        <v>tamara.dews@lseg.com</v>
      </c>
      <c r="B76" t="str">
        <f>VLOOKUP('Users from Visits'!A76,Visits!E:V,17,FALSE)</f>
        <v>Tamara</v>
      </c>
      <c r="C76" t="str">
        <f>VLOOKUP('Users from Visits'!A76,Visits!E:V,18,FALSE)</f>
        <v>Dews</v>
      </c>
      <c r="D76" t="str">
        <f>VLOOKUP('Users from Visits'!A76,Visits!E:V,2,FALSE)</f>
        <v>07776960365</v>
      </c>
      <c r="E76" t="str">
        <f>VLOOKUP(A76,Users!A:A,1,FALSE)</f>
        <v>tamara.dews@lseg.com</v>
      </c>
    </row>
    <row r="77" spans="1:5">
      <c r="A77" t="str">
        <v>celia.sattamino@gmail.com</v>
      </c>
      <c r="B77" t="str">
        <f>VLOOKUP('Users from Visits'!A77,Visits!E:V,17,FALSE)</f>
        <v>Daniel</v>
      </c>
      <c r="C77" t="str">
        <f>VLOOKUP('Users from Visits'!A77,Visits!E:V,18,FALSE)</f>
        <v>Lugg</v>
      </c>
      <c r="D77">
        <f>VLOOKUP('Users from Visits'!A77,Visits!E:V,2,FALSE)</f>
        <v>7476276978</v>
      </c>
      <c r="E77" t="str">
        <f>VLOOKUP(A77,Users!A:A,1,FALSE)</f>
        <v>celia.sattamino@gmail.com</v>
      </c>
    </row>
    <row r="78" spans="1:5">
      <c r="A78" t="str">
        <v>alina.flatscher@gmail.com</v>
      </c>
      <c r="B78" t="str">
        <f>VLOOKUP('Users from Visits'!A78,Visits!E:V,17,FALSE)</f>
        <v>Alina</v>
      </c>
      <c r="C78" t="str">
        <f>VLOOKUP('Users from Visits'!A78,Visits!E:V,18,FALSE)</f>
        <v>Flatscher</v>
      </c>
      <c r="D78" t="str">
        <f>VLOOKUP('Users from Visits'!A78,Visits!E:V,2,FALSE)</f>
        <v>+44 7443 108741</v>
      </c>
      <c r="E78" t="str">
        <f>VLOOKUP(A78,Users!A:A,1,FALSE)</f>
        <v>alina.flatscher@gmail.com</v>
      </c>
    </row>
    <row r="79" spans="1:5">
      <c r="A79" t="str">
        <v>david.flatscher@gmail.com</v>
      </c>
      <c r="B79" t="str">
        <f>VLOOKUP('Users from Visits'!A79,Visits!E:V,17,FALSE)</f>
        <v>David</v>
      </c>
      <c r="C79" t="str">
        <f>VLOOKUP('Users from Visits'!A79,Visits!E:V,18,FALSE)</f>
        <v>Flatscher</v>
      </c>
      <c r="D79" t="str">
        <f>VLOOKUP('Users from Visits'!A79,Visits!E:V,2,FALSE)</f>
        <v>+44 07707665074</v>
      </c>
      <c r="E79" t="str">
        <f>VLOOKUP(A79,Users!A:A,1,FALSE)</f>
        <v>david.flatscher@gmail.com</v>
      </c>
    </row>
    <row r="80" spans="1:5">
      <c r="A80" t="str">
        <v>imanbudget@yahoo.co.uk</v>
      </c>
      <c r="B80" t="str">
        <f>VLOOKUP('Users from Visits'!A80,Visits!E:V,17,FALSE)</f>
        <v>Donna</v>
      </c>
      <c r="C80" t="str">
        <f>VLOOKUP('Users from Visits'!A80,Visits!E:V,18,FALSE)</f>
        <v>Achara</v>
      </c>
      <c r="D80" t="str">
        <f>VLOOKUP('Users from Visits'!A80,Visits!E:V,2,FALSE)</f>
        <v>+44 7818 313299</v>
      </c>
      <c r="E80" t="str">
        <f>VLOOKUP(A80,Users!A:A,1,FALSE)</f>
        <v>imanbudget@yahoo.co.uk</v>
      </c>
    </row>
    <row r="81" spans="1:5">
      <c r="A81" t="str">
        <v>ejike.onuchukwu@gmail.com</v>
      </c>
      <c r="B81" t="str">
        <f>VLOOKUP('Users from Visits'!A81,Visits!E:V,17,FALSE)</f>
        <v>Ejike</v>
      </c>
      <c r="C81" t="str">
        <f>VLOOKUP('Users from Visits'!A81,Visits!E:V,18,FALSE)</f>
        <v>Onuchukwu</v>
      </c>
      <c r="D81" t="str">
        <f>VLOOKUP('Users from Visits'!A81,Visits!E:V,2,FALSE)</f>
        <v>+44 7875 521439</v>
      </c>
      <c r="E81" t="str">
        <f>VLOOKUP(A81,Users!A:A,1,FALSE)</f>
        <v>ejike.onuchukwu@gmail.com</v>
      </c>
    </row>
    <row r="82" spans="1:5">
      <c r="A82" t="str">
        <v>pelconsultingwork@gmail.com</v>
      </c>
      <c r="B82" t="str">
        <f>VLOOKUP('Users from Visits'!A82,Visits!E:V,17,FALSE)</f>
        <v>Ken</v>
      </c>
      <c r="C82" t="str">
        <f>VLOOKUP('Users from Visits'!A82,Visits!E:V,18,FALSE)</f>
        <v>Nyar</v>
      </c>
      <c r="D82" t="str">
        <f>VLOOKUP('Users from Visits'!A82,Visits!E:V,2,FALSE)</f>
        <v>+44 7423 066994</v>
      </c>
      <c r="E82" t="str">
        <f>VLOOKUP(A82,Users!A:A,1,FALSE)</f>
        <v>pelconsultingwork@gmail.com</v>
      </c>
    </row>
    <row r="83" spans="1:5">
      <c r="A83" t="str">
        <v>Laure.kroely@gmail.com</v>
      </c>
      <c r="B83" t="str">
        <f>VLOOKUP('Users from Visits'!A83,Visits!E:V,17,FALSE)</f>
        <v>Laure</v>
      </c>
      <c r="C83" t="str">
        <f>VLOOKUP('Users from Visits'!A83,Visits!E:V,18,FALSE)</f>
        <v>Kroely</v>
      </c>
      <c r="D83">
        <f>VLOOKUP('Users from Visits'!A83,Visits!E:V,2,FALSE)</f>
        <v>447551038700</v>
      </c>
      <c r="E83" t="str">
        <f>VLOOKUP(A83,Users!A:A,1,FALSE)</f>
        <v>Laure.kroely@gmail.com</v>
      </c>
    </row>
    <row r="84" spans="1:5">
      <c r="A84" t="str">
        <v>Nataliokolie@gmail.com</v>
      </c>
      <c r="B84" t="str">
        <f>VLOOKUP('Users from Visits'!A84,Visits!E:V,17,FALSE)</f>
        <v>Natali</v>
      </c>
      <c r="C84" t="str">
        <f>VLOOKUP('Users from Visits'!A84,Visits!E:V,18,FALSE)</f>
        <v>Okolie</v>
      </c>
      <c r="D84" t="str">
        <f>VLOOKUP('Users from Visits'!A84,Visits!E:V,2,FALSE)</f>
        <v>+44 7488 410909</v>
      </c>
      <c r="E84" t="str">
        <f>VLOOKUP(A84,Users!A:A,1,FALSE)</f>
        <v>Nataliokolie@gmail.com</v>
      </c>
    </row>
    <row r="85" spans="1:5">
      <c r="A85" t="str">
        <v>Richard_segal@yahoo.com</v>
      </c>
      <c r="B85" t="str">
        <f>VLOOKUP('Users from Visits'!A85,Visits!E:V,17,FALSE)</f>
        <v>Richard</v>
      </c>
      <c r="C85" t="str">
        <f>VLOOKUP('Users from Visits'!A85,Visits!E:V,18,FALSE)</f>
        <v>Segal</v>
      </c>
      <c r="D85" t="str">
        <f>VLOOKUP('Users from Visits'!A85,Visits!E:V,2,FALSE)</f>
        <v>+44 7949 109489</v>
      </c>
      <c r="E85" t="str">
        <f>VLOOKUP(A85,Users!A:A,1,FALSE)</f>
        <v>Richard_segal@yahoo.com</v>
      </c>
    </row>
    <row r="86" spans="1:5">
      <c r="A86" t="str">
        <v>sabinahaytbaeva@gmail.com</v>
      </c>
      <c r="B86" t="str">
        <f>VLOOKUP('Users from Visits'!A86,Visits!E:V,17,FALSE)</f>
        <v>Sabina</v>
      </c>
      <c r="C86" t="str">
        <f>VLOOKUP('Users from Visits'!A86,Visits!E:V,18,FALSE)</f>
        <v>Khaytbaeva</v>
      </c>
      <c r="D86" t="str">
        <f>VLOOKUP('Users from Visits'!A86,Visits!E:V,2,FALSE)</f>
        <v>+44 7564 569465</v>
      </c>
      <c r="E86" t="str">
        <f>VLOOKUP(A86,Users!A:A,1,FALSE)</f>
        <v>sabinahaytbaeva@gmail.com</v>
      </c>
    </row>
    <row r="87" spans="1:5">
      <c r="A87" t="str">
        <v>andrew.restlesspanda@gmail.com</v>
      </c>
      <c r="B87" t="str">
        <f>VLOOKUP('Users from Visits'!A87,Visits!E:V,17,FALSE)</f>
        <v>Andrew</v>
      </c>
      <c r="C87" t="str">
        <f>VLOOKUP('Users from Visits'!A87,Visits!E:V,18,FALSE)</f>
        <v>Ikonnikov</v>
      </c>
      <c r="D87">
        <f>VLOOKUP('Users from Visits'!A87,Visits!E:V,2,FALSE)</f>
        <v>447536484874</v>
      </c>
      <c r="E87" t="str">
        <f>VLOOKUP(A87,Users!A:A,1,FALSE)</f>
        <v>andrew.restlesspanda@gmail.com</v>
      </c>
    </row>
    <row r="88" spans="1:5">
      <c r="A88" t="str">
        <v>anishasood26@gmail.com</v>
      </c>
      <c r="B88" t="str">
        <f>VLOOKUP('Users from Visits'!A88,Visits!E:V,17,FALSE)</f>
        <v>Anisha</v>
      </c>
      <c r="C88" t="str">
        <f>VLOOKUP('Users from Visits'!A88,Visits!E:V,18,FALSE)</f>
        <v>Sood</v>
      </c>
      <c r="D88">
        <f>VLOOKUP('Users from Visits'!A88,Visits!E:V,2,FALSE)</f>
        <v>7873956356</v>
      </c>
      <c r="E88" t="str">
        <f>VLOOKUP(A88,Users!A:A,1,FALSE)</f>
        <v>Anishasood26@gmail.com</v>
      </c>
    </row>
    <row r="89" spans="1:5">
      <c r="A89" t="str">
        <v>beverly.mccrory@gmail.com</v>
      </c>
      <c r="B89" t="str">
        <f>VLOOKUP('Users from Visits'!A89,Visits!E:V,17,FALSE)</f>
        <v>Bev</v>
      </c>
      <c r="C89" t="str">
        <f>VLOOKUP('Users from Visits'!A89,Visits!E:V,18,FALSE)</f>
        <v>McCrory</v>
      </c>
      <c r="D89">
        <f>VLOOKUP('Users from Visits'!A89,Visits!E:V,2,FALSE)</f>
        <v>7300421972</v>
      </c>
      <c r="E89" t="str">
        <f>VLOOKUP(A89,Users!A:A,1,FALSE)</f>
        <v>beverly.mccrory@gmail.com</v>
      </c>
    </row>
    <row r="90" spans="1:5">
      <c r="A90" t="str">
        <v>Corneliu.civig@gmail.com</v>
      </c>
      <c r="B90" t="str">
        <f>VLOOKUP('Users from Visits'!A90,Visits!E:V,17,FALSE)</f>
        <v>Corneliu</v>
      </c>
      <c r="C90" t="str">
        <f>VLOOKUP('Users from Visits'!A90,Visits!E:V,18,FALSE)</f>
        <v>Civig</v>
      </c>
      <c r="D90">
        <f>VLOOKUP('Users from Visits'!A90,Visits!E:V,2,FALSE)</f>
        <v>0</v>
      </c>
      <c r="E90" t="str">
        <f>VLOOKUP(A90,Users!A:A,1,FALSE)</f>
        <v>Corneliu.civig@gmail.com</v>
      </c>
    </row>
    <row r="91" spans="1:5">
      <c r="A91" t="str">
        <v>dmello.daniel@gmail.com</v>
      </c>
      <c r="B91" t="str">
        <f>VLOOKUP('Users from Visits'!A91,Visits!E:V,17,FALSE)</f>
        <v>Daniel</v>
      </c>
      <c r="C91" t="str">
        <f>VLOOKUP('Users from Visits'!A91,Visits!E:V,18,FALSE)</f>
        <v>Dmello</v>
      </c>
      <c r="D91">
        <f>VLOOKUP('Users from Visits'!A91,Visits!E:V,2,FALSE)</f>
        <v>7774734706</v>
      </c>
      <c r="E91" t="str">
        <f>VLOOKUP(A91,Users!A:A,1,FALSE)</f>
        <v>dmello.daniel@gmail.com</v>
      </c>
    </row>
    <row r="92" spans="1:5">
      <c r="A92" t="str">
        <v>C.Emily.white@gmail.com</v>
      </c>
      <c r="B92" t="str">
        <f>VLOOKUP('Users from Visits'!A92,Visits!E:V,17,FALSE)</f>
        <v>Emily</v>
      </c>
      <c r="C92" t="str">
        <f>VLOOKUP('Users from Visits'!A92,Visits!E:V,18,FALSE)</f>
        <v>White</v>
      </c>
      <c r="D92">
        <f>VLOOKUP('Users from Visits'!A92,Visits!E:V,2,FALSE)</f>
        <v>447545450201</v>
      </c>
      <c r="E92" t="str">
        <f>VLOOKUP(A92,Users!A:A,1,FALSE)</f>
        <v>C.Emily.white@gmail.com</v>
      </c>
    </row>
    <row r="93" spans="1:5">
      <c r="A93" t="str">
        <v>juanpablo.dltc@gmail.com</v>
      </c>
      <c r="B93" t="str">
        <f>VLOOKUP('Users from Visits'!A93,Visits!E:V,17,FALSE)</f>
        <v>JUAN PABLO</v>
      </c>
      <c r="C93" t="str">
        <f>VLOOKUP('Users from Visits'!A93,Visits!E:V,18,FALSE)</f>
        <v>DE LA TORRE</v>
      </c>
      <c r="D93">
        <f>VLOOKUP('Users from Visits'!A93,Visits!E:V,2,FALSE)</f>
        <v>7846069814</v>
      </c>
      <c r="E93" t="str">
        <f>VLOOKUP(A93,Users!A:A,1,FALSE)</f>
        <v>juanpablo.dltc@gmail.com</v>
      </c>
    </row>
    <row r="94" spans="1:5">
      <c r="A94" t="str">
        <v>matthew.hoza@gmail.com</v>
      </c>
      <c r="B94" t="str">
        <f>VLOOKUP('Users from Visits'!A94,Visits!E:V,17,FALSE)</f>
        <v>Matt</v>
      </c>
      <c r="C94" t="str">
        <f>VLOOKUP('Users from Visits'!A94,Visits!E:V,18,FALSE)</f>
        <v>Hoza</v>
      </c>
      <c r="D94">
        <f>VLOOKUP('Users from Visits'!A94,Visits!E:V,2,FALSE)</f>
        <v>7300421968</v>
      </c>
      <c r="E94" t="str">
        <f>VLOOKUP(A94,Users!A:A,1,FALSE)</f>
        <v>matthew.hoza@gmail.com</v>
      </c>
    </row>
    <row r="95" spans="1:5">
      <c r="A95" t="str">
        <v>simon.brk@gmail.com</v>
      </c>
      <c r="B95" t="str">
        <f>VLOOKUP('Users from Visits'!A95,Visits!E:V,17,FALSE)</f>
        <v>Simon</v>
      </c>
      <c r="C95" t="str">
        <f>VLOOKUP('Users from Visits'!A95,Visits!E:V,18,FALSE)</f>
        <v>Bourke</v>
      </c>
      <c r="D95" t="str">
        <f>VLOOKUP('Users from Visits'!A95,Visits!E:V,2,FALSE)</f>
        <v>+44 7301 979131</v>
      </c>
      <c r="E95" t="str">
        <f>VLOOKUP(A95,Users!A:A,1,FALSE)</f>
        <v>simon.brk@gmail.com</v>
      </c>
    </row>
    <row r="96" spans="1:5">
      <c r="A96" t="str">
        <v>wil_akanno@hotmail.com</v>
      </c>
      <c r="B96" t="str">
        <f>VLOOKUP('Users from Visits'!A96,Visits!E:V,17,FALSE)</f>
        <v>Wil</v>
      </c>
      <c r="C96" t="str">
        <f>VLOOKUP('Users from Visits'!A96,Visits!E:V,18,FALSE)</f>
        <v>Akanno</v>
      </c>
      <c r="D96" t="str">
        <f>VLOOKUP('Users from Visits'!A96,Visits!E:V,2,FALSE)</f>
        <v>+44 7931 309501</v>
      </c>
      <c r="E96" t="str">
        <f>VLOOKUP(A96,Users!A:A,1,FALSE)</f>
        <v>wil_akanno@hotmail.com</v>
      </c>
    </row>
    <row r="97" spans="1:5">
      <c r="A97" t="str">
        <v>ellangwodo@gmail.com</v>
      </c>
      <c r="B97" t="str">
        <f>VLOOKUP('Users from Visits'!A97,Visits!E:V,17,FALSE)</f>
        <v>Ella</v>
      </c>
      <c r="C97" t="str">
        <f>VLOOKUP('Users from Visits'!A97,Visits!E:V,18,FALSE)</f>
        <v>Ngwodo</v>
      </c>
      <c r="D97">
        <f>VLOOKUP('Users from Visits'!A97,Visits!E:V,2,FALSE)</f>
        <v>7463715472</v>
      </c>
      <c r="E97" t="str">
        <f>VLOOKUP(A97,Users!A:A,1,FALSE)</f>
        <v>ellangwodo@gmail.com</v>
      </c>
    </row>
    <row r="98" spans="1:5">
      <c r="A98" t="str">
        <v>e_squires@hotmail.com</v>
      </c>
      <c r="B98" t="str">
        <f>VLOOKUP('Users from Visits'!A98,Visits!E:V,17,FALSE)</f>
        <v>Erin</v>
      </c>
      <c r="C98" t="str">
        <f>VLOOKUP('Users from Visits'!A98,Visits!E:V,18,FALSE)</f>
        <v>Squires</v>
      </c>
      <c r="D98">
        <f>VLOOKUP('Users from Visits'!A98,Visits!E:V,2,FALSE)</f>
        <v>7926962119</v>
      </c>
      <c r="E98" t="str">
        <f>VLOOKUP(A98,Users!A:A,1,FALSE)</f>
        <v>e_squires@hotmail.com</v>
      </c>
    </row>
    <row r="99" spans="1:5">
      <c r="A99" t="str">
        <v>vasques.anacarolina@gmail.com</v>
      </c>
      <c r="B99" t="str">
        <f>VLOOKUP('Users from Visits'!A99,Visits!E:V,17,FALSE)</f>
        <v>Ana</v>
      </c>
      <c r="C99" t="str">
        <f>VLOOKUP('Users from Visits'!A99,Visits!E:V,18,FALSE)</f>
        <v>Vasques</v>
      </c>
      <c r="D99">
        <f>VLOOKUP('Users from Visits'!A99,Visits!E:V,2,FALSE)</f>
        <v>0</v>
      </c>
      <c r="E99" t="str">
        <f>VLOOKUP(A99,Users!A:A,1,FALSE)</f>
        <v>vasques.anacarolina@gmail.com</v>
      </c>
    </row>
    <row r="100" spans="1:5">
      <c r="A100" t="str">
        <v>chiharu.t.i@nifty.com</v>
      </c>
      <c r="B100" t="str">
        <f>VLOOKUP('Users from Visits'!A100,Visits!E:V,17,FALSE)</f>
        <v>遊介</v>
      </c>
      <c r="C100" t="str">
        <f>VLOOKUP('Users from Visits'!A100,Visits!E:V,18,FALSE)</f>
        <v>井上</v>
      </c>
      <c r="D100" t="str">
        <f>VLOOKUP('Users from Visits'!A100,Visits!E:V,2,FALSE)</f>
        <v>+44 7789 411814</v>
      </c>
      <c r="E100" t="str">
        <f>VLOOKUP(A100,Users!A:A,1,FALSE)</f>
        <v>chiharu.t.i@nifty.com</v>
      </c>
    </row>
    <row r="101" spans="1:5">
      <c r="A101" t="str">
        <v>aaliyahyates1738@gmail.com</v>
      </c>
      <c r="B101" t="str">
        <f>VLOOKUP('Users from Visits'!A101,Visits!E:V,17,FALSE)</f>
        <v>Aaliyah</v>
      </c>
      <c r="C101" t="str">
        <f>VLOOKUP('Users from Visits'!A101,Visits!E:V,18,FALSE)</f>
        <v>Yates</v>
      </c>
      <c r="D101">
        <f>VLOOKUP('Users from Visits'!A101,Visits!E:V,2,FALSE)</f>
        <v>754819073</v>
      </c>
      <c r="E101" t="str">
        <f>VLOOKUP(A101,Users!A:A,1,FALSE)</f>
        <v>aaliyahyates1738@gmail.com</v>
      </c>
    </row>
    <row r="102" spans="1:5">
      <c r="A102" t="str">
        <v>u.gaukhar@gmail.com</v>
      </c>
      <c r="B102" t="str">
        <f>VLOOKUP('Users from Visits'!A102,Visits!E:V,17,FALSE)</f>
        <v>Gaukhar</v>
      </c>
      <c r="C102" t="str">
        <f>VLOOKUP('Users from Visits'!A102,Visits!E:V,18,FALSE)</f>
        <v>Uskenbayeva</v>
      </c>
      <c r="D102">
        <f>VLOOKUP('Users from Visits'!A102,Visits!E:V,2,FALSE)</f>
        <v>447404835441</v>
      </c>
      <c r="E102" t="str">
        <f>VLOOKUP(A102,Users!A:A,1,FALSE)</f>
        <v>u.gaukhar@gmail.com</v>
      </c>
    </row>
    <row r="103" spans="1:5">
      <c r="A103" t="str">
        <v>Angelov.Konstantin@gmail.com</v>
      </c>
      <c r="B103" t="str">
        <f>VLOOKUP('Users from Visits'!A103,Visits!E:V,17,FALSE)</f>
        <v>Konstantin</v>
      </c>
      <c r="C103" t="str">
        <f>VLOOKUP('Users from Visits'!A103,Visits!E:V,18,FALSE)</f>
        <v>Angelov</v>
      </c>
      <c r="D103">
        <f>VLOOKUP('Users from Visits'!A103,Visits!E:V,2,FALSE)</f>
        <v>447772355538</v>
      </c>
      <c r="E103" t="str">
        <f>VLOOKUP(A103,Users!A:A,1,FALSE)</f>
        <v>Angelov.Konstantin@gmail.com</v>
      </c>
    </row>
    <row r="104" spans="1:5">
      <c r="A104" t="str">
        <v>liane.pereira123@gmail.com</v>
      </c>
      <c r="B104" t="str">
        <f>VLOOKUP('Users from Visits'!A104,Visits!E:V,17,FALSE)</f>
        <v>Liane</v>
      </c>
      <c r="C104" t="str">
        <f>VLOOKUP('Users from Visits'!A104,Visits!E:V,18,FALSE)</f>
        <v>Pereira</v>
      </c>
      <c r="D104">
        <f>VLOOKUP('Users from Visits'!A104,Visits!E:V,2,FALSE)</f>
        <v>7375931281</v>
      </c>
      <c r="E104" t="str">
        <f>VLOOKUP(A104,Users!A:A,1,FALSE)</f>
        <v>liane.pereira123@gmail.com</v>
      </c>
    </row>
    <row r="105" spans="1:5">
      <c r="A105" t="str">
        <v>Shulliclintondavis@gmail.com</v>
      </c>
      <c r="B105" t="str">
        <f>VLOOKUP('Users from Visits'!A105,Visits!E:V,17,FALSE)</f>
        <v>Shulli</v>
      </c>
      <c r="C105" t="str">
        <f>VLOOKUP('Users from Visits'!A105,Visits!E:V,18,FALSE)</f>
        <v>Clinton-Davis</v>
      </c>
      <c r="D105">
        <f>VLOOKUP('Users from Visits'!A105,Visits!E:V,2,FALSE)</f>
        <v>447884584132</v>
      </c>
      <c r="E105" t="str">
        <f>VLOOKUP(A105,Users!A:A,1,FALSE)</f>
        <v>Shulliclintondavis@gmail.com</v>
      </c>
    </row>
    <row r="106" spans="1:5">
      <c r="A106" t="str">
        <v>kezheneva@gmail.com</v>
      </c>
      <c r="B106" t="str">
        <f>VLOOKUP('Users from Visits'!A106,Visits!E:V,17,FALSE)</f>
        <v>Zauresh</v>
      </c>
      <c r="C106" t="str">
        <f>VLOOKUP('Users from Visits'!A106,Visits!E:V,18,FALSE)</f>
        <v>Kezheneva</v>
      </c>
      <c r="D106" t="str">
        <f>VLOOKUP('Users from Visits'!A106,Visits!E:V,2,FALSE)</f>
        <v>+1 (202) 247-8885</v>
      </c>
      <c r="E106" t="str">
        <f>VLOOKUP(A106,Users!A:A,1,FALSE)</f>
        <v>kezheneva@gmail.com</v>
      </c>
    </row>
    <row r="107" spans="1:5">
      <c r="A107" t="str">
        <v>dmerrony@btinternet.com</v>
      </c>
      <c r="B107" t="str">
        <f>VLOOKUP('Users from Visits'!A107,Visits!E:V,17,FALSE)</f>
        <v>Deborah</v>
      </c>
      <c r="C107" t="str">
        <f>VLOOKUP('Users from Visits'!A107,Visits!E:V,18,FALSE)</f>
        <v>Merrony</v>
      </c>
      <c r="D107">
        <f>VLOOKUP('Users from Visits'!A107,Visits!E:V,2,FALSE)</f>
        <v>7815759788</v>
      </c>
      <c r="E107" t="str">
        <f>VLOOKUP(A107,Users!A:A,1,FALSE)</f>
        <v>dmerrony@btinternet.com</v>
      </c>
    </row>
    <row r="108" spans="1:5">
      <c r="A108" t="str">
        <v>win_man45@hotmail.com</v>
      </c>
      <c r="B108" t="str">
        <f>VLOOKUP('Users from Visits'!A108,Visits!E:V,17,FALSE)</f>
        <v>win</v>
      </c>
      <c r="C108" t="str">
        <f>VLOOKUP('Users from Visits'!A108,Visits!E:V,18,FALSE)</f>
        <v>man</v>
      </c>
      <c r="D108">
        <f>VLOOKUP('Users from Visits'!A108,Visits!E:V,2,FALSE)</f>
        <v>7896634620</v>
      </c>
      <c r="E108" t="str">
        <f>VLOOKUP(A108,Users!A:A,1,FALSE)</f>
        <v>win_man45@hotmail.com</v>
      </c>
    </row>
    <row r="109" spans="1:5">
      <c r="A109" t="str">
        <v>karismclarty@hotmail.com</v>
      </c>
      <c r="B109" t="str">
        <f>VLOOKUP('Users from Visits'!A109,Visits!E:V,17,FALSE)</f>
        <v>Karis</v>
      </c>
      <c r="C109" t="str">
        <f>VLOOKUP('Users from Visits'!A109,Visits!E:V,18,FALSE)</f>
        <v>Mclarty</v>
      </c>
      <c r="D109">
        <f>VLOOKUP('Users from Visits'!A109,Visits!E:V,2,FALSE)</f>
        <v>7940537644</v>
      </c>
      <c r="E109" t="str">
        <f>VLOOKUP(A109,Users!A:A,1,FALSE)</f>
        <v>karismclarty@hotmail.com</v>
      </c>
    </row>
    <row r="110" spans="1:5">
      <c r="A110" t="str">
        <v>n87wqqymwb@privaterelay.appleid.com</v>
      </c>
      <c r="B110" t="str">
        <f>VLOOKUP('Users from Visits'!A110,Visits!E:V,17,FALSE)</f>
        <v>Qinwen</v>
      </c>
      <c r="C110" t="str">
        <f>VLOOKUP('Users from Visits'!A110,Visits!E:V,18,FALSE)</f>
        <v>Wei</v>
      </c>
      <c r="D110">
        <f>VLOOKUP('Users from Visits'!A110,Visits!E:V,2,FALSE)</f>
        <v>8615811312125</v>
      </c>
      <c r="E110" t="str">
        <f>VLOOKUP(A110,Users!A:A,1,FALSE)</f>
        <v>n87wqqymwb@privaterelay.appleid.com</v>
      </c>
    </row>
    <row r="111" spans="1:5">
      <c r="A111" t="str">
        <v>haixiangzhu@hotmail.com</v>
      </c>
      <c r="B111" t="str">
        <f>VLOOKUP('Users from Visits'!A111,Visits!E:V,17,FALSE)</f>
        <v>Chloe</v>
      </c>
      <c r="C111" t="str">
        <f>VLOOKUP('Users from Visits'!A111,Visits!E:V,18,FALSE)</f>
        <v>Yu</v>
      </c>
      <c r="D111">
        <f>VLOOKUP('Users from Visits'!A111,Visits!E:V,2,FALSE)</f>
        <v>7983779098</v>
      </c>
      <c r="E111" t="str">
        <f>VLOOKUP(A111,Users!A:A,1,FALSE)</f>
        <v>haixiangzhu@hotmail.com</v>
      </c>
    </row>
    <row r="112" spans="1:5">
      <c r="A112" t="str">
        <v>akhil1189@gmail.com</v>
      </c>
      <c r="B112" t="str">
        <f>VLOOKUP('Users from Visits'!A112,Visits!E:V,17,FALSE)</f>
        <v>Akhil</v>
      </c>
      <c r="C112" t="str">
        <f>VLOOKUP('Users from Visits'!A112,Visits!E:V,18,FALSE)</f>
        <v>Madan</v>
      </c>
      <c r="D112" t="str">
        <f>VLOOKUP('Users from Visits'!A112,Visits!E:V,2,FALSE)</f>
        <v>07377163517</v>
      </c>
      <c r="E112" t="str">
        <f>VLOOKUP(A112,Users!A:A,1,FALSE)</f>
        <v>akhil1189@gmail.com</v>
      </c>
    </row>
    <row r="113" spans="1:5">
      <c r="A113" t="str">
        <v>annesandesu@yahoo.com</v>
      </c>
      <c r="B113" t="str">
        <f>VLOOKUP('Users from Visits'!A113,Visits!E:V,17,FALSE)</f>
        <v>Anne</v>
      </c>
      <c r="C113" t="str">
        <f>VLOOKUP('Users from Visits'!A113,Visits!E:V,18,FALSE)</f>
        <v>Constant</v>
      </c>
      <c r="D113" t="str">
        <f>VLOOKUP('Users from Visits'!A113,Visits!E:V,2,FALSE)</f>
        <v>07423246502</v>
      </c>
      <c r="E113" t="str">
        <f>VLOOKUP(A113,Users!A:A,1,FALSE)</f>
        <v>annesandesu@yahoo.com</v>
      </c>
    </row>
    <row r="114" spans="1:5">
      <c r="A114" t="str">
        <v>mailing1919@protonmail.com</v>
      </c>
      <c r="B114">
        <f>VLOOKUP('Users from Visits'!A114,Visits!E:V,17,FALSE)</f>
        <v>0</v>
      </c>
      <c r="C114">
        <f>VLOOKUP('Users from Visits'!A114,Visits!E:V,18,FALSE)</f>
        <v>0</v>
      </c>
      <c r="D114">
        <f>VLOOKUP('Users from Visits'!A114,Visits!E:V,2,FALSE)</f>
        <v>0</v>
      </c>
      <c r="E114" t="e">
        <f>VLOOKUP(A114,Users!A:A,1,FALSE)</f>
        <v>#N/A</v>
      </c>
    </row>
    <row r="115" spans="1:5">
      <c r="A115" t="str">
        <v>priyankagarg2605@gmail.com</v>
      </c>
      <c r="B115" t="str">
        <f>VLOOKUP('Users from Visits'!A115,Visits!E:V,17,FALSE)</f>
        <v>Priyanka</v>
      </c>
      <c r="C115" t="str">
        <f>VLOOKUP('Users from Visits'!A115,Visits!E:V,18,FALSE)</f>
        <v>Garg</v>
      </c>
      <c r="D115" t="str">
        <f>VLOOKUP('Users from Visits'!A115,Visits!E:V,2,FALSE)</f>
        <v>7570152802</v>
      </c>
      <c r="E115" t="str">
        <f>VLOOKUP(A115,Users!A:A,1,FALSE)</f>
        <v>priyankagarg2605@gmail.com</v>
      </c>
    </row>
    <row r="116" spans="1:5">
      <c r="A116" t="str">
        <v>kaolinokaimana@gmail.com</v>
      </c>
      <c r="B116" t="str">
        <f>VLOOKUP('Users from Visits'!A116,Visits!E:V,17,FALSE)</f>
        <v>Alison</v>
      </c>
      <c r="C116" t="str">
        <f>VLOOKUP('Users from Visits'!A116,Visits!E:V,18,FALSE)</f>
        <v>Yasuoka</v>
      </c>
      <c r="D116" t="str">
        <f>VLOOKUP('Users from Visits'!A116,Visits!E:V,2,FALSE)</f>
        <v>8087987455</v>
      </c>
      <c r="E116" t="str">
        <f>VLOOKUP(A116,Users!A:A,1,FALSE)</f>
        <v>kaolinokaimana@gmail.com</v>
      </c>
    </row>
    <row r="117" spans="1:5">
      <c r="A117" t="str">
        <v>danieldmello2002@yahoo.com</v>
      </c>
      <c r="B117" t="str">
        <f>VLOOKUP('Users from Visits'!A117,Visits!E:V,17,FALSE)</f>
        <v>DANIEL</v>
      </c>
      <c r="C117" t="str">
        <f>VLOOKUP('Users from Visits'!A117,Visits!E:V,18,FALSE)</f>
        <v>DMELLO</v>
      </c>
      <c r="D117" t="str">
        <f>VLOOKUP('Users from Visits'!A117,Visits!E:V,2,FALSE)</f>
        <v>07774734706</v>
      </c>
      <c r="E117" t="str">
        <f>VLOOKUP(A117,Users!A:A,1,FALSE)</f>
        <v>danieldmello2002@yahoo.com</v>
      </c>
    </row>
    <row r="118" spans="1:5">
      <c r="A118" t="str">
        <v>visitor-sayan</v>
      </c>
      <c r="B118" t="str">
        <f>VLOOKUP('Users from Visits'!A118,Visits!E:V,17,FALSE)</f>
        <v>Priyanka</v>
      </c>
      <c r="C118" t="str">
        <f>VLOOKUP('Users from Visits'!A118,Visits!E:V,18,FALSE)</f>
        <v>Garg</v>
      </c>
      <c r="D118" t="str">
        <f>VLOOKUP('Users from Visits'!A118,Visits!E:V,2,FALSE)</f>
        <v>07570152802</v>
      </c>
      <c r="E118" t="str">
        <f>VLOOKUP(A118,Users!A:A,1,FALSE)</f>
        <v>visitor-sayan</v>
      </c>
    </row>
    <row r="119" spans="1:5">
      <c r="A119" t="str">
        <v>visitor-leonie</v>
      </c>
      <c r="B119" t="str">
        <f>VLOOKUP('Users from Visits'!A119,Visits!E:V,17,FALSE)</f>
        <v>Priyanka</v>
      </c>
      <c r="C119" t="str">
        <f>VLOOKUP('Users from Visits'!A119,Visits!E:V,18,FALSE)</f>
        <v>Garg</v>
      </c>
      <c r="D119" t="str">
        <f>VLOOKUP('Users from Visits'!A119,Visits!E:V,2,FALSE)</f>
        <v>07570152802</v>
      </c>
      <c r="E119" t="str">
        <f>VLOOKUP(A119,Users!A:A,1,FALSE)</f>
        <v>visitor-leonie</v>
      </c>
    </row>
    <row r="120" spans="1:5">
      <c r="A120" t="str">
        <v>mcdavze@gmail.com</v>
      </c>
      <c r="B120" t="str">
        <f>VLOOKUP('Users from Visits'!A120,Visits!E:V,17,FALSE)</f>
        <v>Maria</v>
      </c>
      <c r="C120" t="str">
        <f>VLOOKUP('Users from Visits'!A120,Visits!E:V,18,FALSE)</f>
        <v>Davila</v>
      </c>
      <c r="D120" t="str">
        <f>VLOOKUP('Users from Visits'!A120,Visits!E:V,2,FALSE)</f>
        <v>07562289253</v>
      </c>
      <c r="E120" t="str">
        <f>VLOOKUP(A120,Users!A:A,1,FALSE)</f>
        <v>mcdavze@gmail.com</v>
      </c>
    </row>
    <row r="121" spans="1:5">
      <c r="A121" t="str">
        <v>cuberoaraya@gmail.com</v>
      </c>
      <c r="B121" t="str">
        <f>VLOOKUP('Users from Visits'!A121,Visits!E:V,17,FALSE)</f>
        <v>Nathalie</v>
      </c>
      <c r="C121" t="str">
        <f>VLOOKUP('Users from Visits'!A121,Visits!E:V,18,FALSE)</f>
        <v>Cubero</v>
      </c>
      <c r="D121" t="str">
        <f>VLOOKUP('Users from Visits'!A121,Visits!E:V,2,FALSE)</f>
        <v>07394069188</v>
      </c>
      <c r="E121" t="str">
        <f>VLOOKUP(A121,Users!A:A,1,FALSE)</f>
        <v>cuberoaraya@gmail.com</v>
      </c>
    </row>
    <row r="122" spans="1:5">
      <c r="A122" t="str">
        <v>Lesslyt@gmail.com</v>
      </c>
      <c r="B122">
        <f>VLOOKUP('Users from Visits'!A122,Visits!E:V,17,FALSE)</f>
        <v>0</v>
      </c>
      <c r="C122">
        <f>VLOOKUP('Users from Visits'!A122,Visits!E:V,18,FALSE)</f>
        <v>0</v>
      </c>
      <c r="D122">
        <f>VLOOKUP('Users from Visits'!A122,Visits!E:V,2,FALSE)</f>
        <v>0</v>
      </c>
      <c r="E122" t="str">
        <f>VLOOKUP(A122,Users!A:A,1,FALSE)</f>
        <v>Lesslyt@gmail.com</v>
      </c>
    </row>
    <row r="123" spans="1:5">
      <c r="A123" t="str">
        <v>chavezliliana@gmail.com</v>
      </c>
      <c r="B123">
        <f>VLOOKUP('Users from Visits'!A123,Visits!E:V,17,FALSE)</f>
        <v>0</v>
      </c>
      <c r="C123">
        <f>VLOOKUP('Users from Visits'!A123,Visits!E:V,18,FALSE)</f>
        <v>0</v>
      </c>
      <c r="D123">
        <f>VLOOKUP('Users from Visits'!A123,Visits!E:V,2,FALSE)</f>
        <v>0</v>
      </c>
      <c r="E123" t="str">
        <f>VLOOKUP(A123,Users!A:A,1,FALSE)</f>
        <v>chavezliliana@gmail.com</v>
      </c>
    </row>
    <row r="124" spans="1:5">
      <c r="A124" t="str">
        <v>visitor-jay</v>
      </c>
      <c r="B124">
        <f>VLOOKUP('Users from Visits'!A124,Visits!E:V,17,FALSE)</f>
        <v>0</v>
      </c>
      <c r="C124">
        <f>VLOOKUP('Users from Visits'!A124,Visits!E:V,18,FALSE)</f>
        <v>0</v>
      </c>
      <c r="D124">
        <f>VLOOKUP('Users from Visits'!A124,Visits!E:V,2,FALSE)</f>
        <v>0</v>
      </c>
      <c r="E124" t="str">
        <f>VLOOKUP(A124,Users!A:A,1,FALSE)</f>
        <v>visitor-jay</v>
      </c>
    </row>
    <row r="125" spans="1:5">
      <c r="A125" t="str">
        <v>visitor-jay-sister</v>
      </c>
      <c r="B125">
        <f>VLOOKUP('Users from Visits'!A125,Visits!E:V,17,FALSE)</f>
        <v>0</v>
      </c>
      <c r="C125">
        <f>VLOOKUP('Users from Visits'!A125,Visits!E:V,18,FALSE)</f>
        <v>0</v>
      </c>
      <c r="D125">
        <f>VLOOKUP('Users from Visits'!A125,Visits!E:V,2,FALSE)</f>
        <v>0</v>
      </c>
      <c r="E125" t="str">
        <f>VLOOKUP(A125,Users!A:A,1,FALSE)</f>
        <v>visitor-jay-sister</v>
      </c>
    </row>
    <row r="126" spans="1:5">
      <c r="A126" t="str">
        <v>alisa-no-email</v>
      </c>
      <c r="B126">
        <f>VLOOKUP('Users from Visits'!A126,Visits!E:V,17,FALSE)</f>
        <v>0</v>
      </c>
      <c r="C126">
        <f>VLOOKUP('Users from Visits'!A126,Visits!E:V,18,FALSE)</f>
        <v>0</v>
      </c>
      <c r="D126">
        <f>VLOOKUP('Users from Visits'!A126,Visits!E:V,2,FALSE)</f>
        <v>0</v>
      </c>
      <c r="E126" t="str">
        <f>VLOOKUP(A126,Users!A:A,1,FALSE)</f>
        <v>alisa-no-email</v>
      </c>
    </row>
    <row r="127" spans="1:5">
      <c r="B127" t="e">
        <f>VLOOKUP('Users from Visits'!A127,Visits!E:V,17,FALSE)</f>
        <v>#N/A</v>
      </c>
      <c r="C127" t="e">
        <f>VLOOKUP('Users from Visits'!A127,Visits!E:V,18,FALSE)</f>
        <v>#N/A</v>
      </c>
      <c r="D127" t="e">
        <f>VLOOKUP('Users from Visits'!A127,Visits!E:V,2,FALSE)</f>
        <v>#N/A</v>
      </c>
      <c r="E127" t="e">
        <f>VLOOKUP(A127,Users!A:A,1,FALSE)</f>
        <v>#N/A</v>
      </c>
    </row>
    <row r="128" spans="1:5">
      <c r="B128" t="e">
        <f>VLOOKUP('Users from Visits'!A128,Visits!E:V,17,FALSE)</f>
        <v>#N/A</v>
      </c>
      <c r="C128" t="e">
        <f>VLOOKUP('Users from Visits'!A128,Visits!E:V,18,FALSE)</f>
        <v>#N/A</v>
      </c>
      <c r="D128" t="e">
        <f>VLOOKUP('Users from Visits'!A128,Visits!E:V,2,FALSE)</f>
        <v>#N/A</v>
      </c>
      <c r="E128" t="e">
        <f>VLOOKUP(A128,Users!A:A,1,FALSE)</f>
        <v>#N/A</v>
      </c>
    </row>
    <row r="129" spans="2:5">
      <c r="B129" t="e">
        <f>VLOOKUP('Users from Visits'!A129,Visits!E:V,17,FALSE)</f>
        <v>#N/A</v>
      </c>
      <c r="C129" t="e">
        <f>VLOOKUP('Users from Visits'!A129,Visits!E:V,18,FALSE)</f>
        <v>#N/A</v>
      </c>
      <c r="D129" t="e">
        <f>VLOOKUP('Users from Visits'!A129,Visits!E:V,2,FALSE)</f>
        <v>#N/A</v>
      </c>
      <c r="E129" t="e">
        <f>VLOOKUP(A129,Users!A:A,1,FALSE)</f>
        <v>#N/A</v>
      </c>
    </row>
    <row r="130" spans="2:5">
      <c r="B130" t="e">
        <f>VLOOKUP('Users from Visits'!A130,Visits!E:V,17,FALSE)</f>
        <v>#N/A</v>
      </c>
      <c r="C130" t="e">
        <f>VLOOKUP('Users from Visits'!A130,Visits!E:V,18,FALSE)</f>
        <v>#N/A</v>
      </c>
      <c r="D130" t="e">
        <f>VLOOKUP('Users from Visits'!A130,Visits!E:V,2,FALSE)</f>
        <v>#N/A</v>
      </c>
      <c r="E130" t="e">
        <f>VLOOKUP(A130,Users!A:A,1,FALSE)</f>
        <v>#N/A</v>
      </c>
    </row>
    <row r="131" spans="2:5">
      <c r="B131" t="e">
        <f>VLOOKUP('Users from Visits'!A131,Visits!E:V,17,FALSE)</f>
        <v>#N/A</v>
      </c>
      <c r="C131" t="e">
        <f>VLOOKUP('Users from Visits'!A131,Visits!E:V,18,FALSE)</f>
        <v>#N/A</v>
      </c>
      <c r="D131" t="e">
        <f>VLOOKUP('Users from Visits'!A131,Visits!E:V,2,FALSE)</f>
        <v>#N/A</v>
      </c>
      <c r="E131" t="e">
        <f>VLOOKUP(A131,Users!A:A,1,FALSE)</f>
        <v>#N/A</v>
      </c>
    </row>
    <row r="132" spans="2:5">
      <c r="B132" t="e">
        <f>VLOOKUP('Users from Visits'!A132,Visits!E:V,17,FALSE)</f>
        <v>#N/A</v>
      </c>
      <c r="C132" t="e">
        <f>VLOOKUP('Users from Visits'!A132,Visits!E:V,18,FALSE)</f>
        <v>#N/A</v>
      </c>
      <c r="D132" t="e">
        <f>VLOOKUP('Users from Visits'!A132,Visits!E:V,2,FALSE)</f>
        <v>#N/A</v>
      </c>
      <c r="E132" t="e">
        <f>VLOOKUP(A132,Users!A:A,1,FALSE)</f>
        <v>#N/A</v>
      </c>
    </row>
    <row r="133" spans="2:5">
      <c r="B133" t="e">
        <f>VLOOKUP('Users from Visits'!A133,Visits!E:V,17,FALSE)</f>
        <v>#N/A</v>
      </c>
      <c r="C133" t="e">
        <f>VLOOKUP('Users from Visits'!A133,Visits!E:V,18,FALSE)</f>
        <v>#N/A</v>
      </c>
      <c r="D133" t="e">
        <f>VLOOKUP('Users from Visits'!A133,Visits!E:V,2,FALSE)</f>
        <v>#N/A</v>
      </c>
      <c r="E133" t="e">
        <f>VLOOKUP(A133,Users!A:A,1,FALSE)</f>
        <v>#N/A</v>
      </c>
    </row>
    <row r="134" spans="2:5">
      <c r="B134" t="e">
        <f>VLOOKUP('Users from Visits'!A134,Visits!E:V,17,FALSE)</f>
        <v>#N/A</v>
      </c>
      <c r="C134" t="e">
        <f>VLOOKUP('Users from Visits'!A134,Visits!E:V,18,FALSE)</f>
        <v>#N/A</v>
      </c>
      <c r="D134" t="e">
        <f>VLOOKUP('Users from Visits'!A134,Visits!E:V,2,FALSE)</f>
        <v>#N/A</v>
      </c>
      <c r="E134" t="e">
        <f>VLOOKUP(A134,Users!A:A,1,FALSE)</f>
        <v>#N/A</v>
      </c>
    </row>
    <row r="135" spans="2:5">
      <c r="B135" t="e">
        <f>VLOOKUP('Users from Visits'!A135,Visits!E:V,17,FALSE)</f>
        <v>#N/A</v>
      </c>
      <c r="C135" t="e">
        <f>VLOOKUP('Users from Visits'!A135,Visits!E:V,18,FALSE)</f>
        <v>#N/A</v>
      </c>
      <c r="D135" t="e">
        <f>VLOOKUP('Users from Visits'!A135,Visits!E:V,2,FALSE)</f>
        <v>#N/A</v>
      </c>
      <c r="E135" t="e">
        <f>VLOOKUP(A135,Users!A:A,1,FALSE)</f>
        <v>#N/A</v>
      </c>
    </row>
    <row r="136" spans="2:5">
      <c r="B136" t="e">
        <f>VLOOKUP('Users from Visits'!A136,Visits!E:V,17,FALSE)</f>
        <v>#N/A</v>
      </c>
      <c r="C136" t="e">
        <f>VLOOKUP('Users from Visits'!A136,Visits!E:V,18,FALSE)</f>
        <v>#N/A</v>
      </c>
      <c r="D136" t="e">
        <f>VLOOKUP('Users from Visits'!A136,Visits!E:V,2,FALSE)</f>
        <v>#N/A</v>
      </c>
      <c r="E136" t="e">
        <f>VLOOKUP(A136,Users!A:A,1,FALSE)</f>
        <v>#N/A</v>
      </c>
    </row>
    <row r="137" spans="2:5">
      <c r="B137" t="e">
        <f>VLOOKUP('Users from Visits'!A137,Visits!E:V,17,FALSE)</f>
        <v>#N/A</v>
      </c>
      <c r="C137" t="e">
        <f>VLOOKUP('Users from Visits'!A137,Visits!E:V,18,FALSE)</f>
        <v>#N/A</v>
      </c>
      <c r="D137" t="e">
        <f>VLOOKUP('Users from Visits'!A137,Visits!E:V,2,FALSE)</f>
        <v>#N/A</v>
      </c>
      <c r="E137" t="e">
        <f>VLOOKUP(A137,Users!A:A,1,FALSE)</f>
        <v>#N/A</v>
      </c>
    </row>
    <row r="138" spans="2:5">
      <c r="B138" t="e">
        <f>VLOOKUP('Users from Visits'!A138,Visits!E:V,17,FALSE)</f>
        <v>#N/A</v>
      </c>
      <c r="C138" t="e">
        <f>VLOOKUP('Users from Visits'!A138,Visits!E:V,18,FALSE)</f>
        <v>#N/A</v>
      </c>
      <c r="D138" t="e">
        <f>VLOOKUP('Users from Visits'!A138,Visits!E:V,2,FALSE)</f>
        <v>#N/A</v>
      </c>
      <c r="E138" t="e">
        <f>VLOOKUP(A138,Users!A:A,1,FALSE)</f>
        <v>#N/A</v>
      </c>
    </row>
    <row r="139" spans="2:5">
      <c r="B139" t="e">
        <f>VLOOKUP('Users from Visits'!A139,Visits!E:V,17,FALSE)</f>
        <v>#N/A</v>
      </c>
      <c r="C139" t="e">
        <f>VLOOKUP('Users from Visits'!A139,Visits!E:V,18,FALSE)</f>
        <v>#N/A</v>
      </c>
      <c r="D139" t="e">
        <f>VLOOKUP('Users from Visits'!A139,Visits!E:V,2,FALSE)</f>
        <v>#N/A</v>
      </c>
      <c r="E139" t="e">
        <f>VLOOKUP(A139,Users!A:A,1,FALSE)</f>
        <v>#N/A</v>
      </c>
    </row>
    <row r="140" spans="2:5">
      <c r="B140" t="e">
        <f>VLOOKUP('Users from Visits'!A140,Visits!E:V,17,FALSE)</f>
        <v>#N/A</v>
      </c>
      <c r="C140" t="e">
        <f>VLOOKUP('Users from Visits'!A140,Visits!E:V,18,FALSE)</f>
        <v>#N/A</v>
      </c>
      <c r="D140" t="e">
        <f>VLOOKUP('Users from Visits'!A140,Visits!E:V,2,FALSE)</f>
        <v>#N/A</v>
      </c>
      <c r="E140" t="e">
        <f>VLOOKUP(A140,Users!A:A,1,FALSE)</f>
        <v>#N/A</v>
      </c>
    </row>
    <row r="141" spans="2:5">
      <c r="B141" t="e">
        <f>VLOOKUP('Users from Visits'!A141,Visits!E:V,17,FALSE)</f>
        <v>#N/A</v>
      </c>
      <c r="C141" t="e">
        <f>VLOOKUP('Users from Visits'!A141,Visits!E:V,18,FALSE)</f>
        <v>#N/A</v>
      </c>
      <c r="D141" t="e">
        <f>VLOOKUP('Users from Visits'!A141,Visits!E:V,2,FALSE)</f>
        <v>#N/A</v>
      </c>
      <c r="E141" t="e">
        <f>VLOOKUP(A141,Users!A:A,1,FALSE)</f>
        <v>#N/A</v>
      </c>
    </row>
    <row r="142" spans="2:5">
      <c r="B142" t="e">
        <f>VLOOKUP('Users from Visits'!A142,Visits!E:V,17,FALSE)</f>
        <v>#N/A</v>
      </c>
      <c r="C142" t="e">
        <f>VLOOKUP('Users from Visits'!A142,Visits!E:V,18,FALSE)</f>
        <v>#N/A</v>
      </c>
      <c r="D142" t="e">
        <f>VLOOKUP('Users from Visits'!A142,Visits!E:V,2,FALSE)</f>
        <v>#N/A</v>
      </c>
      <c r="E142" t="e">
        <f>VLOOKUP(A142,Users!A:A,1,FALSE)</f>
        <v>#N/A</v>
      </c>
    </row>
    <row r="143" spans="2:5">
      <c r="B143" t="e">
        <f>VLOOKUP('Users from Visits'!A143,Visits!E:V,17,FALSE)</f>
        <v>#N/A</v>
      </c>
      <c r="C143" t="e">
        <f>VLOOKUP('Users from Visits'!A143,Visits!E:V,18,FALSE)</f>
        <v>#N/A</v>
      </c>
      <c r="D143" t="e">
        <f>VLOOKUP('Users from Visits'!A143,Visits!E:V,2,FALSE)</f>
        <v>#N/A</v>
      </c>
      <c r="E143" t="e">
        <f>VLOOKUP(A143,Users!A:A,1,FALSE)</f>
        <v>#N/A</v>
      </c>
    </row>
    <row r="144" spans="2:5">
      <c r="B144" t="e">
        <f>VLOOKUP('Users from Visits'!A144,Visits!E:V,17,FALSE)</f>
        <v>#N/A</v>
      </c>
      <c r="C144" t="e">
        <f>VLOOKUP('Users from Visits'!A144,Visits!E:V,18,FALSE)</f>
        <v>#N/A</v>
      </c>
      <c r="D144" t="e">
        <f>VLOOKUP('Users from Visits'!A144,Visits!E:V,2,FALSE)</f>
        <v>#N/A</v>
      </c>
      <c r="E144" t="e">
        <f>VLOOKUP(A144,Users!A:A,1,FALSE)</f>
        <v>#N/A</v>
      </c>
    </row>
    <row r="145" spans="2:5">
      <c r="B145" t="e">
        <f>VLOOKUP('Users from Visits'!A145,Visits!E:V,17,FALSE)</f>
        <v>#N/A</v>
      </c>
      <c r="C145" t="e">
        <f>VLOOKUP('Users from Visits'!A145,Visits!E:V,18,FALSE)</f>
        <v>#N/A</v>
      </c>
      <c r="D145" t="e">
        <f>VLOOKUP('Users from Visits'!A145,Visits!E:V,2,FALSE)</f>
        <v>#N/A</v>
      </c>
      <c r="E145" t="e">
        <f>VLOOKUP(A145,Users!A:A,1,FALSE)</f>
        <v>#N/A</v>
      </c>
    </row>
    <row r="146" spans="2:5">
      <c r="B146" t="e">
        <f>VLOOKUP('Users from Visits'!A146,Visits!E:V,17,FALSE)</f>
        <v>#N/A</v>
      </c>
      <c r="C146" t="e">
        <f>VLOOKUP('Users from Visits'!A146,Visits!E:V,18,FALSE)</f>
        <v>#N/A</v>
      </c>
      <c r="D146" t="e">
        <f>VLOOKUP('Users from Visits'!A146,Visits!E:V,2,FALSE)</f>
        <v>#N/A</v>
      </c>
      <c r="E146" t="e">
        <f>VLOOKUP(A146,Users!A:A,1,FALSE)</f>
        <v>#N/A</v>
      </c>
    </row>
    <row r="147" spans="2:5">
      <c r="B147" t="e">
        <f>VLOOKUP('Users from Visits'!A147,Visits!E:V,17,FALSE)</f>
        <v>#N/A</v>
      </c>
      <c r="C147" t="e">
        <f>VLOOKUP('Users from Visits'!A147,Visits!E:V,18,FALSE)</f>
        <v>#N/A</v>
      </c>
      <c r="D147" t="e">
        <f>VLOOKUP('Users from Visits'!A147,Visits!E:V,2,FALSE)</f>
        <v>#N/A</v>
      </c>
      <c r="E147" t="e">
        <f>VLOOKUP(A147,Users!A:A,1,FALSE)</f>
        <v>#N/A</v>
      </c>
    </row>
    <row r="148" spans="2:5">
      <c r="B148" t="e">
        <f>VLOOKUP('Users from Visits'!A148,Visits!E:V,17,FALSE)</f>
        <v>#N/A</v>
      </c>
      <c r="C148" t="e">
        <f>VLOOKUP('Users from Visits'!A148,Visits!E:V,18,FALSE)</f>
        <v>#N/A</v>
      </c>
      <c r="D148" t="e">
        <f>VLOOKUP('Users from Visits'!A148,Visits!E:V,2,FALSE)</f>
        <v>#N/A</v>
      </c>
      <c r="E148" t="e">
        <f>VLOOKUP(A148,Users!A:A,1,FALSE)</f>
        <v>#N/A</v>
      </c>
    </row>
    <row r="149" spans="2:5">
      <c r="B149" t="e">
        <f>VLOOKUP('Users from Visits'!A149,Visits!E:V,17,FALSE)</f>
        <v>#N/A</v>
      </c>
      <c r="C149" t="e">
        <f>VLOOKUP('Users from Visits'!A149,Visits!E:V,18,FALSE)</f>
        <v>#N/A</v>
      </c>
      <c r="D149" t="e">
        <f>VLOOKUP('Users from Visits'!A149,Visits!E:V,2,FALSE)</f>
        <v>#N/A</v>
      </c>
      <c r="E149" t="e">
        <f>VLOOKUP(A149,Users!A:A,1,FALSE)</f>
        <v>#N/A</v>
      </c>
    </row>
    <row r="150" spans="2:5">
      <c r="B150" t="e">
        <f>VLOOKUP('Users from Visits'!A150,Visits!E:V,17,FALSE)</f>
        <v>#N/A</v>
      </c>
      <c r="C150" t="e">
        <f>VLOOKUP('Users from Visits'!A150,Visits!E:V,18,FALSE)</f>
        <v>#N/A</v>
      </c>
      <c r="D150" t="e">
        <f>VLOOKUP('Users from Visits'!A150,Visits!E:V,2,FALSE)</f>
        <v>#N/A</v>
      </c>
      <c r="E150" t="e">
        <f>VLOOKUP(A150,Users!A:A,1,FALSE)</f>
        <v>#N/A</v>
      </c>
    </row>
    <row r="151" spans="2:5">
      <c r="B151" t="e">
        <f>VLOOKUP('Users from Visits'!A151,Visits!E:V,17,FALSE)</f>
        <v>#N/A</v>
      </c>
      <c r="C151" t="e">
        <f>VLOOKUP('Users from Visits'!A151,Visits!E:V,18,FALSE)</f>
        <v>#N/A</v>
      </c>
      <c r="D151" t="e">
        <f>VLOOKUP('Users from Visits'!A151,Visits!E:V,2,FALSE)</f>
        <v>#N/A</v>
      </c>
      <c r="E151" t="e">
        <f>VLOOKUP(A151,Users!A:A,1,FALSE)</f>
        <v>#N/A</v>
      </c>
    </row>
    <row r="152" spans="2:5">
      <c r="B152" t="e">
        <f>VLOOKUP('Users from Visits'!A152,Visits!E:V,17,FALSE)</f>
        <v>#N/A</v>
      </c>
      <c r="C152" t="e">
        <f>VLOOKUP('Users from Visits'!A152,Visits!E:V,18,FALSE)</f>
        <v>#N/A</v>
      </c>
      <c r="D152" t="e">
        <f>VLOOKUP('Users from Visits'!A152,Visits!E:V,2,FALSE)</f>
        <v>#N/A</v>
      </c>
      <c r="E152" t="e">
        <f>VLOOKUP(A152,Users!A:A,1,FALSE)</f>
        <v>#N/A</v>
      </c>
    </row>
    <row r="153" spans="2:5">
      <c r="B153" t="e">
        <f>VLOOKUP('Users from Visits'!A153,Visits!E:V,17,FALSE)</f>
        <v>#N/A</v>
      </c>
      <c r="C153" t="e">
        <f>VLOOKUP('Users from Visits'!A153,Visits!E:V,18,FALSE)</f>
        <v>#N/A</v>
      </c>
      <c r="D153" t="e">
        <f>VLOOKUP('Users from Visits'!A153,Visits!E:V,2,FALSE)</f>
        <v>#N/A</v>
      </c>
      <c r="E153" t="e">
        <f>VLOOKUP(A153,Users!A:A,1,FALSE)</f>
        <v>#N/A</v>
      </c>
    </row>
    <row r="154" spans="2:5">
      <c r="B154" t="e">
        <f>VLOOKUP('Users from Visits'!A154,Visits!E:V,17,FALSE)</f>
        <v>#N/A</v>
      </c>
      <c r="C154" t="e">
        <f>VLOOKUP('Users from Visits'!A154,Visits!E:V,18,FALSE)</f>
        <v>#N/A</v>
      </c>
      <c r="D154" t="e">
        <f>VLOOKUP('Users from Visits'!A154,Visits!E:V,2,FALSE)</f>
        <v>#N/A</v>
      </c>
      <c r="E154" t="e">
        <f>VLOOKUP(A154,Users!A:A,1,FALSE)</f>
        <v>#N/A</v>
      </c>
    </row>
    <row r="155" spans="2:5">
      <c r="B155" t="e">
        <f>VLOOKUP('Users from Visits'!A155,Visits!E:V,17,FALSE)</f>
        <v>#N/A</v>
      </c>
      <c r="C155" t="e">
        <f>VLOOKUP('Users from Visits'!A155,Visits!E:V,18,FALSE)</f>
        <v>#N/A</v>
      </c>
      <c r="D155" t="e">
        <f>VLOOKUP('Users from Visits'!A155,Visits!E:V,2,FALSE)</f>
        <v>#N/A</v>
      </c>
      <c r="E155" t="e">
        <f>VLOOKUP(A155,Users!A:A,1,FALSE)</f>
        <v>#N/A</v>
      </c>
    </row>
    <row r="156" spans="2:5">
      <c r="B156" t="e">
        <f>VLOOKUP('Users from Visits'!A156,Visits!E:V,17,FALSE)</f>
        <v>#N/A</v>
      </c>
      <c r="C156" t="e">
        <f>VLOOKUP('Users from Visits'!A156,Visits!E:V,18,FALSE)</f>
        <v>#N/A</v>
      </c>
      <c r="D156" t="e">
        <f>VLOOKUP('Users from Visits'!A156,Visits!E:V,2,FALSE)</f>
        <v>#N/A</v>
      </c>
      <c r="E156" t="e">
        <f>VLOOKUP(A156,Users!A:A,1,FALSE)</f>
        <v>#N/A</v>
      </c>
    </row>
    <row r="157" spans="2:5">
      <c r="B157" t="e">
        <f>VLOOKUP('Users from Visits'!A157,Visits!E:V,17,FALSE)</f>
        <v>#N/A</v>
      </c>
      <c r="C157" t="e">
        <f>VLOOKUP('Users from Visits'!A157,Visits!E:V,18,FALSE)</f>
        <v>#N/A</v>
      </c>
      <c r="D157" t="e">
        <f>VLOOKUP('Users from Visits'!A157,Visits!E:V,2,FALSE)</f>
        <v>#N/A</v>
      </c>
      <c r="E157" t="e">
        <f>VLOOKUP(A157,Users!A:A,1,FALSE)</f>
        <v>#N/A</v>
      </c>
    </row>
    <row r="158" spans="2:5">
      <c r="B158" t="e">
        <f>VLOOKUP('Users from Visits'!A158,Visits!E:V,17,FALSE)</f>
        <v>#N/A</v>
      </c>
      <c r="C158" t="e">
        <f>VLOOKUP('Users from Visits'!A158,Visits!E:V,18,FALSE)</f>
        <v>#N/A</v>
      </c>
      <c r="D158" t="e">
        <f>VLOOKUP('Users from Visits'!A158,Visits!E:V,2,FALSE)</f>
        <v>#N/A</v>
      </c>
      <c r="E158" t="e">
        <f>VLOOKUP(A158,Users!A:A,1,FALSE)</f>
        <v>#N/A</v>
      </c>
    </row>
    <row r="159" spans="2:5">
      <c r="B159" t="e">
        <f>VLOOKUP('Users from Visits'!A159,Visits!E:V,17,FALSE)</f>
        <v>#N/A</v>
      </c>
      <c r="C159" t="e">
        <f>VLOOKUP('Users from Visits'!A159,Visits!E:V,18,FALSE)</f>
        <v>#N/A</v>
      </c>
      <c r="D159" t="e">
        <f>VLOOKUP('Users from Visits'!A159,Visits!E:V,2,FALSE)</f>
        <v>#N/A</v>
      </c>
      <c r="E159" t="e">
        <f>VLOOKUP(A159,Users!A:A,1,FALSE)</f>
        <v>#N/A</v>
      </c>
    </row>
    <row r="160" spans="2:5">
      <c r="B160" t="e">
        <f>VLOOKUP('Users from Visits'!A160,Visits!E:V,17,FALSE)</f>
        <v>#N/A</v>
      </c>
      <c r="C160" t="e">
        <f>VLOOKUP('Users from Visits'!A160,Visits!E:V,18,FALSE)</f>
        <v>#N/A</v>
      </c>
      <c r="D160" t="e">
        <f>VLOOKUP('Users from Visits'!A160,Visits!E:V,2,FALSE)</f>
        <v>#N/A</v>
      </c>
      <c r="E160" t="e">
        <f>VLOOKUP(A160,Users!A:A,1,FALSE)</f>
        <v>#N/A</v>
      </c>
    </row>
    <row r="161" spans="2:5">
      <c r="B161" t="e">
        <f>VLOOKUP('Users from Visits'!A161,Visits!E:V,17,FALSE)</f>
        <v>#N/A</v>
      </c>
      <c r="C161" t="e">
        <f>VLOOKUP('Users from Visits'!A161,Visits!E:V,18,FALSE)</f>
        <v>#N/A</v>
      </c>
      <c r="D161" t="e">
        <f>VLOOKUP('Users from Visits'!A161,Visits!E:V,2,FALSE)</f>
        <v>#N/A</v>
      </c>
      <c r="E161" t="e">
        <f>VLOOKUP(A161,Users!A:A,1,FALSE)</f>
        <v>#N/A</v>
      </c>
    </row>
    <row r="162" spans="2:5">
      <c r="B162" t="e">
        <f>VLOOKUP('Users from Visits'!A162,Visits!E:V,17,FALSE)</f>
        <v>#N/A</v>
      </c>
      <c r="C162" t="e">
        <f>VLOOKUP('Users from Visits'!A162,Visits!E:V,18,FALSE)</f>
        <v>#N/A</v>
      </c>
      <c r="D162" t="e">
        <f>VLOOKUP('Users from Visits'!A162,Visits!E:V,2,FALSE)</f>
        <v>#N/A</v>
      </c>
      <c r="E162" t="e">
        <f>VLOOKUP(A162,Users!A:A,1,FALSE)</f>
        <v>#N/A</v>
      </c>
    </row>
    <row r="163" spans="2:5">
      <c r="B163" t="e">
        <f>VLOOKUP('Users from Visits'!A163,Visits!E:V,17,FALSE)</f>
        <v>#N/A</v>
      </c>
      <c r="C163" t="e">
        <f>VLOOKUP('Users from Visits'!A163,Visits!E:V,18,FALSE)</f>
        <v>#N/A</v>
      </c>
      <c r="D163" t="e">
        <f>VLOOKUP('Users from Visits'!A163,Visits!E:V,2,FALSE)</f>
        <v>#N/A</v>
      </c>
      <c r="E163" t="e">
        <f>VLOOKUP(A163,Users!A:A,1,FALSE)</f>
        <v>#N/A</v>
      </c>
    </row>
    <row r="164" spans="2:5">
      <c r="B164" t="e">
        <f>VLOOKUP('Users from Visits'!A164,Visits!E:V,17,FALSE)</f>
        <v>#N/A</v>
      </c>
      <c r="C164" t="e">
        <f>VLOOKUP('Users from Visits'!A164,Visits!E:V,18,FALSE)</f>
        <v>#N/A</v>
      </c>
      <c r="D164" t="e">
        <f>VLOOKUP('Users from Visits'!A164,Visits!E:V,2,FALSE)</f>
        <v>#N/A</v>
      </c>
      <c r="E164" t="e">
        <f>VLOOKUP(A164,Users!A:A,1,FALSE)</f>
        <v>#N/A</v>
      </c>
    </row>
    <row r="165" spans="2:5">
      <c r="B165" t="e">
        <f>VLOOKUP('Users from Visits'!A165,Visits!E:V,17,FALSE)</f>
        <v>#N/A</v>
      </c>
      <c r="C165" t="e">
        <f>VLOOKUP('Users from Visits'!A165,Visits!E:V,18,FALSE)</f>
        <v>#N/A</v>
      </c>
      <c r="D165" t="e">
        <f>VLOOKUP('Users from Visits'!A165,Visits!E:V,2,FALSE)</f>
        <v>#N/A</v>
      </c>
      <c r="E165" t="e">
        <f>VLOOKUP(A165,Users!A:A,1,FALSE)</f>
        <v>#N/A</v>
      </c>
    </row>
    <row r="166" spans="2:5">
      <c r="B166" t="e">
        <f>VLOOKUP('Users from Visits'!A166,Visits!E:V,17,FALSE)</f>
        <v>#N/A</v>
      </c>
      <c r="C166" t="e">
        <f>VLOOKUP('Users from Visits'!A166,Visits!E:V,18,FALSE)</f>
        <v>#N/A</v>
      </c>
      <c r="D166" t="e">
        <f>VLOOKUP('Users from Visits'!A166,Visits!E:V,2,FALSE)</f>
        <v>#N/A</v>
      </c>
      <c r="E166" t="e">
        <f>VLOOKUP(A166,Users!A:A,1,FALSE)</f>
        <v>#N/A</v>
      </c>
    </row>
    <row r="167" spans="2:5">
      <c r="B167" t="e">
        <f>VLOOKUP('Users from Visits'!A167,Visits!E:V,17,FALSE)</f>
        <v>#N/A</v>
      </c>
      <c r="C167" t="e">
        <f>VLOOKUP('Users from Visits'!A167,Visits!E:V,18,FALSE)</f>
        <v>#N/A</v>
      </c>
      <c r="D167" t="e">
        <f>VLOOKUP('Users from Visits'!A167,Visits!E:V,2,FALSE)</f>
        <v>#N/A</v>
      </c>
      <c r="E167" t="e">
        <f>VLOOKUP(A167,Users!A:A,1,FALSE)</f>
        <v>#N/A</v>
      </c>
    </row>
    <row r="168" spans="2:5">
      <c r="B168" t="e">
        <f>VLOOKUP('Users from Visits'!A168,Visits!E:V,17,FALSE)</f>
        <v>#N/A</v>
      </c>
      <c r="C168" t="e">
        <f>VLOOKUP('Users from Visits'!A168,Visits!E:V,18,FALSE)</f>
        <v>#N/A</v>
      </c>
      <c r="D168" t="e">
        <f>VLOOKUP('Users from Visits'!A168,Visits!E:V,2,FALSE)</f>
        <v>#N/A</v>
      </c>
      <c r="E168" t="e">
        <f>VLOOKUP(A168,Users!A:A,1,FALSE)</f>
        <v>#N/A</v>
      </c>
    </row>
    <row r="169" spans="2:5">
      <c r="B169" t="e">
        <f>VLOOKUP('Users from Visits'!A169,Visits!E:V,17,FALSE)</f>
        <v>#N/A</v>
      </c>
      <c r="C169" t="e">
        <f>VLOOKUP('Users from Visits'!A169,Visits!E:V,18,FALSE)</f>
        <v>#N/A</v>
      </c>
      <c r="D169" t="e">
        <f>VLOOKUP('Users from Visits'!A169,Visits!E:V,2,FALSE)</f>
        <v>#N/A</v>
      </c>
      <c r="E169" t="e">
        <f>VLOOKUP(A169,Users!A:A,1,FALSE)</f>
        <v>#N/A</v>
      </c>
    </row>
    <row r="170" spans="2:5">
      <c r="B170" t="e">
        <f>VLOOKUP('Users from Visits'!A170,Visits!E:V,17,FALSE)</f>
        <v>#N/A</v>
      </c>
      <c r="C170" t="e">
        <f>VLOOKUP('Users from Visits'!A170,Visits!E:V,18,FALSE)</f>
        <v>#N/A</v>
      </c>
      <c r="D170" t="e">
        <f>VLOOKUP('Users from Visits'!A170,Visits!E:V,2,FALSE)</f>
        <v>#N/A</v>
      </c>
      <c r="E170" t="e">
        <f>VLOOKUP(A170,Users!A:A,1,FALSE)</f>
        <v>#N/A</v>
      </c>
    </row>
    <row r="171" spans="2:5">
      <c r="B171" t="e">
        <f>VLOOKUP('Users from Visits'!A171,Visits!E:V,17,FALSE)</f>
        <v>#N/A</v>
      </c>
      <c r="C171" t="e">
        <f>VLOOKUP('Users from Visits'!A171,Visits!E:V,18,FALSE)</f>
        <v>#N/A</v>
      </c>
      <c r="D171" t="e">
        <f>VLOOKUP('Users from Visits'!A171,Visits!E:V,2,FALSE)</f>
        <v>#N/A</v>
      </c>
      <c r="E171" t="e">
        <f>VLOOKUP(A171,Users!A:A,1,FALSE)</f>
        <v>#N/A</v>
      </c>
    </row>
    <row r="172" spans="2:5">
      <c r="B172" t="e">
        <f>VLOOKUP('Users from Visits'!A172,Visits!E:V,17,FALSE)</f>
        <v>#N/A</v>
      </c>
      <c r="C172" t="e">
        <f>VLOOKUP('Users from Visits'!A172,Visits!E:V,18,FALSE)</f>
        <v>#N/A</v>
      </c>
      <c r="D172" t="e">
        <f>VLOOKUP('Users from Visits'!A172,Visits!E:V,2,FALSE)</f>
        <v>#N/A</v>
      </c>
      <c r="E172" t="e">
        <f>VLOOKUP(A172,Users!A:A,1,FALSE)</f>
        <v>#N/A</v>
      </c>
    </row>
    <row r="173" spans="2:5">
      <c r="B173" t="e">
        <f>VLOOKUP('Users from Visits'!A173,Visits!E:V,17,FALSE)</f>
        <v>#N/A</v>
      </c>
      <c r="C173" t="e">
        <f>VLOOKUP('Users from Visits'!A173,Visits!E:V,18,FALSE)</f>
        <v>#N/A</v>
      </c>
      <c r="D173" t="e">
        <f>VLOOKUP('Users from Visits'!A173,Visits!E:V,2,FALSE)</f>
        <v>#N/A</v>
      </c>
      <c r="E173" t="e">
        <f>VLOOKUP(A173,Users!A:A,1,FALSE)</f>
        <v>#N/A</v>
      </c>
    </row>
    <row r="174" spans="2:5">
      <c r="B174" t="e">
        <f>VLOOKUP('Users from Visits'!A174,Visits!E:V,17,FALSE)</f>
        <v>#N/A</v>
      </c>
      <c r="C174" t="e">
        <f>VLOOKUP('Users from Visits'!A174,Visits!E:V,18,FALSE)</f>
        <v>#N/A</v>
      </c>
      <c r="D174" t="e">
        <f>VLOOKUP('Users from Visits'!A174,Visits!E:V,2,FALSE)</f>
        <v>#N/A</v>
      </c>
      <c r="E174" t="e">
        <f>VLOOKUP(A174,Users!A:A,1,FALSE)</f>
        <v>#N/A</v>
      </c>
    </row>
    <row r="175" spans="2:5">
      <c r="B175" t="e">
        <f>VLOOKUP('Users from Visits'!A175,Visits!E:V,17,FALSE)</f>
        <v>#N/A</v>
      </c>
      <c r="C175" t="e">
        <f>VLOOKUP('Users from Visits'!A175,Visits!E:V,18,FALSE)</f>
        <v>#N/A</v>
      </c>
      <c r="D175" t="e">
        <f>VLOOKUP('Users from Visits'!A175,Visits!E:V,2,FALSE)</f>
        <v>#N/A</v>
      </c>
      <c r="E175" t="e">
        <f>VLOOKUP(A175,Users!A:A,1,FALSE)</f>
        <v>#N/A</v>
      </c>
    </row>
    <row r="176" spans="2:5">
      <c r="B176" t="e">
        <f>VLOOKUP('Users from Visits'!A176,Visits!E:V,17,FALSE)</f>
        <v>#N/A</v>
      </c>
      <c r="C176" t="e">
        <f>VLOOKUP('Users from Visits'!A176,Visits!E:V,18,FALSE)</f>
        <v>#N/A</v>
      </c>
      <c r="D176" t="e">
        <f>VLOOKUP('Users from Visits'!A176,Visits!E:V,2,FALSE)</f>
        <v>#N/A</v>
      </c>
      <c r="E176" t="e">
        <f>VLOOKUP(A176,Users!A:A,1,FALSE)</f>
        <v>#N/A</v>
      </c>
    </row>
    <row r="177" spans="2:5">
      <c r="B177" t="e">
        <f>VLOOKUP('Users from Visits'!A177,Visits!E:V,17,FALSE)</f>
        <v>#N/A</v>
      </c>
      <c r="C177" t="e">
        <f>VLOOKUP('Users from Visits'!A177,Visits!E:V,18,FALSE)</f>
        <v>#N/A</v>
      </c>
      <c r="D177" t="e">
        <f>VLOOKUP('Users from Visits'!A177,Visits!E:V,2,FALSE)</f>
        <v>#N/A</v>
      </c>
      <c r="E177" t="e">
        <f>VLOOKUP(A177,Users!A:A,1,FALSE)</f>
        <v>#N/A</v>
      </c>
    </row>
    <row r="178" spans="2:5">
      <c r="B178" t="e">
        <f>VLOOKUP('Users from Visits'!A178,Visits!E:V,17,FALSE)</f>
        <v>#N/A</v>
      </c>
      <c r="C178" t="e">
        <f>VLOOKUP('Users from Visits'!A178,Visits!E:V,18,FALSE)</f>
        <v>#N/A</v>
      </c>
      <c r="D178" t="e">
        <f>VLOOKUP('Users from Visits'!A178,Visits!E:V,2,FALSE)</f>
        <v>#N/A</v>
      </c>
      <c r="E178" t="e">
        <f>VLOOKUP(A178,Users!A:A,1,FALSE)</f>
        <v>#N/A</v>
      </c>
    </row>
    <row r="179" spans="2:5">
      <c r="B179" t="e">
        <f>VLOOKUP('Users from Visits'!A179,Visits!E:V,17,FALSE)</f>
        <v>#N/A</v>
      </c>
      <c r="C179" t="e">
        <f>VLOOKUP('Users from Visits'!A179,Visits!E:V,18,FALSE)</f>
        <v>#N/A</v>
      </c>
      <c r="D179" t="e">
        <f>VLOOKUP('Users from Visits'!A179,Visits!E:V,2,FALSE)</f>
        <v>#N/A</v>
      </c>
      <c r="E179" t="e">
        <f>VLOOKUP(A179,Users!A:A,1,FALSE)</f>
        <v>#N/A</v>
      </c>
    </row>
    <row r="180" spans="2:5">
      <c r="B180" t="e">
        <f>VLOOKUP('Users from Visits'!A180,Visits!E:V,17,FALSE)</f>
        <v>#N/A</v>
      </c>
      <c r="C180" t="e">
        <f>VLOOKUP('Users from Visits'!A180,Visits!E:V,18,FALSE)</f>
        <v>#N/A</v>
      </c>
      <c r="D180" t="e">
        <f>VLOOKUP('Users from Visits'!A180,Visits!E:V,2,FALSE)</f>
        <v>#N/A</v>
      </c>
      <c r="E180" t="e">
        <f>VLOOKUP(A180,Users!A:A,1,FALSE)</f>
        <v>#N/A</v>
      </c>
    </row>
    <row r="181" spans="2:5">
      <c r="B181" t="e">
        <f>VLOOKUP('Users from Visits'!A181,Visits!E:V,17,FALSE)</f>
        <v>#N/A</v>
      </c>
      <c r="C181" t="e">
        <f>VLOOKUP('Users from Visits'!A181,Visits!E:V,18,FALSE)</f>
        <v>#N/A</v>
      </c>
      <c r="D181" t="e">
        <f>VLOOKUP('Users from Visits'!A181,Visits!E:V,2,FALSE)</f>
        <v>#N/A</v>
      </c>
      <c r="E181" t="e">
        <f>VLOOKUP(A181,Users!A:A,1,FALSE)</f>
        <v>#N/A</v>
      </c>
    </row>
    <row r="182" spans="2:5">
      <c r="B182" t="e">
        <f>VLOOKUP('Users from Visits'!A182,Visits!E:V,17,FALSE)</f>
        <v>#N/A</v>
      </c>
      <c r="C182" t="e">
        <f>VLOOKUP('Users from Visits'!A182,Visits!E:V,18,FALSE)</f>
        <v>#N/A</v>
      </c>
      <c r="D182" t="e">
        <f>VLOOKUP('Users from Visits'!A182,Visits!E:V,2,FALSE)</f>
        <v>#N/A</v>
      </c>
      <c r="E182" t="e">
        <f>VLOOKUP(A182,Users!A:A,1,FALSE)</f>
        <v>#N/A</v>
      </c>
    </row>
    <row r="183" spans="2:5">
      <c r="B183" t="e">
        <f>VLOOKUP('Users from Visits'!A183,Visits!E:V,17,FALSE)</f>
        <v>#N/A</v>
      </c>
      <c r="C183" t="e">
        <f>VLOOKUP('Users from Visits'!A183,Visits!E:V,18,FALSE)</f>
        <v>#N/A</v>
      </c>
      <c r="D183" t="e">
        <f>VLOOKUP('Users from Visits'!A183,Visits!E:V,2,FALSE)</f>
        <v>#N/A</v>
      </c>
      <c r="E183" t="e">
        <f>VLOOKUP(A183,Users!A:A,1,FALSE)</f>
        <v>#N/A</v>
      </c>
    </row>
    <row r="184" spans="2:5">
      <c r="B184" t="e">
        <f>VLOOKUP('Users from Visits'!A184,Visits!E:V,17,FALSE)</f>
        <v>#N/A</v>
      </c>
      <c r="C184" t="e">
        <f>VLOOKUP('Users from Visits'!A184,Visits!E:V,18,FALSE)</f>
        <v>#N/A</v>
      </c>
      <c r="D184" t="e">
        <f>VLOOKUP('Users from Visits'!A184,Visits!E:V,2,FALSE)</f>
        <v>#N/A</v>
      </c>
      <c r="E184" t="e">
        <f>VLOOKUP(A184,Users!A:A,1,FALSE)</f>
        <v>#N/A</v>
      </c>
    </row>
    <row r="185" spans="2:5">
      <c r="B185" t="e">
        <f>VLOOKUP('Users from Visits'!A185,Visits!E:V,17,FALSE)</f>
        <v>#N/A</v>
      </c>
      <c r="C185" t="e">
        <f>VLOOKUP('Users from Visits'!A185,Visits!E:V,18,FALSE)</f>
        <v>#N/A</v>
      </c>
      <c r="D185" t="e">
        <f>VLOOKUP('Users from Visits'!A185,Visits!E:V,2,FALSE)</f>
        <v>#N/A</v>
      </c>
      <c r="E185" t="e">
        <f>VLOOKUP(A185,Users!A:A,1,FALSE)</f>
        <v>#N/A</v>
      </c>
    </row>
    <row r="186" spans="2:5">
      <c r="B186" t="e">
        <f>VLOOKUP('Users from Visits'!A186,Visits!E:V,17,FALSE)</f>
        <v>#N/A</v>
      </c>
      <c r="C186" t="e">
        <f>VLOOKUP('Users from Visits'!A186,Visits!E:V,18,FALSE)</f>
        <v>#N/A</v>
      </c>
      <c r="D186" t="e">
        <f>VLOOKUP('Users from Visits'!A186,Visits!E:V,2,FALSE)</f>
        <v>#N/A</v>
      </c>
      <c r="E186" t="e">
        <f>VLOOKUP(A186,Users!A:A,1,FALSE)</f>
        <v>#N/A</v>
      </c>
    </row>
    <row r="187" spans="2:5">
      <c r="B187" t="e">
        <f>VLOOKUP('Users from Visits'!A187,Visits!E:V,17,FALSE)</f>
        <v>#N/A</v>
      </c>
      <c r="C187" t="e">
        <f>VLOOKUP('Users from Visits'!A187,Visits!E:V,18,FALSE)</f>
        <v>#N/A</v>
      </c>
      <c r="D187" t="e">
        <f>VLOOKUP('Users from Visits'!A187,Visits!E:V,2,FALSE)</f>
        <v>#N/A</v>
      </c>
      <c r="E187" t="e">
        <f>VLOOKUP(A187,Users!A:A,1,FALSE)</f>
        <v>#N/A</v>
      </c>
    </row>
    <row r="188" spans="2:5">
      <c r="B188" t="e">
        <f>VLOOKUP('Users from Visits'!A188,Visits!E:V,17,FALSE)</f>
        <v>#N/A</v>
      </c>
      <c r="C188" t="e">
        <f>VLOOKUP('Users from Visits'!A188,Visits!E:V,18,FALSE)</f>
        <v>#N/A</v>
      </c>
      <c r="D188" t="e">
        <f>VLOOKUP('Users from Visits'!A188,Visits!E:V,2,FALSE)</f>
        <v>#N/A</v>
      </c>
      <c r="E188" t="e">
        <f>VLOOKUP(A188,Users!A:A,1,FALSE)</f>
        <v>#N/A</v>
      </c>
    </row>
    <row r="189" spans="2:5">
      <c r="B189" t="e">
        <f>VLOOKUP('Users from Visits'!A189,Visits!E:V,17,FALSE)</f>
        <v>#N/A</v>
      </c>
      <c r="C189" t="e">
        <f>VLOOKUP('Users from Visits'!A189,Visits!E:V,18,FALSE)</f>
        <v>#N/A</v>
      </c>
      <c r="D189" t="e">
        <f>VLOOKUP('Users from Visits'!A189,Visits!E:V,2,FALSE)</f>
        <v>#N/A</v>
      </c>
      <c r="E189" t="e">
        <f>VLOOKUP(A189,Users!A:A,1,FALSE)</f>
        <v>#N/A</v>
      </c>
    </row>
    <row r="190" spans="2:5">
      <c r="B190" t="e">
        <f>VLOOKUP('Users from Visits'!A190,Visits!E:V,17,FALSE)</f>
        <v>#N/A</v>
      </c>
      <c r="C190" t="e">
        <f>VLOOKUP('Users from Visits'!A190,Visits!E:V,18,FALSE)</f>
        <v>#N/A</v>
      </c>
      <c r="D190" t="e">
        <f>VLOOKUP('Users from Visits'!A190,Visits!E:V,2,FALSE)</f>
        <v>#N/A</v>
      </c>
      <c r="E190" t="e">
        <f>VLOOKUP(A190,Users!A:A,1,FALSE)</f>
        <v>#N/A</v>
      </c>
    </row>
    <row r="191" spans="2:5">
      <c r="B191" t="e">
        <f>VLOOKUP('Users from Visits'!A191,Visits!E:V,17,FALSE)</f>
        <v>#N/A</v>
      </c>
      <c r="C191" t="e">
        <f>VLOOKUP('Users from Visits'!A191,Visits!E:V,18,FALSE)</f>
        <v>#N/A</v>
      </c>
      <c r="D191" t="e">
        <f>VLOOKUP('Users from Visits'!A191,Visits!E:V,2,FALSE)</f>
        <v>#N/A</v>
      </c>
      <c r="E191" t="e">
        <f>VLOOKUP(A191,Users!A:A,1,FALSE)</f>
        <v>#N/A</v>
      </c>
    </row>
    <row r="192" spans="2:5">
      <c r="B192" t="e">
        <f>VLOOKUP('Users from Visits'!A192,Visits!E:V,17,FALSE)</f>
        <v>#N/A</v>
      </c>
      <c r="C192" t="e">
        <f>VLOOKUP('Users from Visits'!A192,Visits!E:V,18,FALSE)</f>
        <v>#N/A</v>
      </c>
      <c r="D192" t="e">
        <f>VLOOKUP('Users from Visits'!A192,Visits!E:V,2,FALSE)</f>
        <v>#N/A</v>
      </c>
      <c r="E192" t="e">
        <f>VLOOKUP(A192,Users!A:A,1,FALSE)</f>
        <v>#N/A</v>
      </c>
    </row>
    <row r="193" spans="2:5">
      <c r="B193" t="e">
        <f>VLOOKUP('Users from Visits'!A193,Visits!E:V,17,FALSE)</f>
        <v>#N/A</v>
      </c>
      <c r="C193" t="e">
        <f>VLOOKUP('Users from Visits'!A193,Visits!E:V,18,FALSE)</f>
        <v>#N/A</v>
      </c>
      <c r="D193" t="e">
        <f>VLOOKUP('Users from Visits'!A193,Visits!E:V,2,FALSE)</f>
        <v>#N/A</v>
      </c>
      <c r="E193" t="e">
        <f>VLOOKUP(A193,Users!A:A,1,FALSE)</f>
        <v>#N/A</v>
      </c>
    </row>
    <row r="194" spans="2:5">
      <c r="B194" t="e">
        <f>VLOOKUP('Users from Visits'!A194,Visits!E:V,17,FALSE)</f>
        <v>#N/A</v>
      </c>
      <c r="C194" t="e">
        <f>VLOOKUP('Users from Visits'!A194,Visits!E:V,18,FALSE)</f>
        <v>#N/A</v>
      </c>
      <c r="D194" t="e">
        <f>VLOOKUP('Users from Visits'!A194,Visits!E:V,2,FALSE)</f>
        <v>#N/A</v>
      </c>
      <c r="E194" t="e">
        <f>VLOOKUP(A194,Users!A:A,1,FALSE)</f>
        <v>#N/A</v>
      </c>
    </row>
    <row r="195" spans="2:5">
      <c r="B195" t="e">
        <f>VLOOKUP('Users from Visits'!A195,Visits!E:V,17,FALSE)</f>
        <v>#N/A</v>
      </c>
      <c r="C195" t="e">
        <f>VLOOKUP('Users from Visits'!A195,Visits!E:V,18,FALSE)</f>
        <v>#N/A</v>
      </c>
      <c r="D195" t="e">
        <f>VLOOKUP('Users from Visits'!A195,Visits!E:V,2,FALSE)</f>
        <v>#N/A</v>
      </c>
      <c r="E195" t="e">
        <f>VLOOKUP(A195,Users!A:A,1,FALSE)</f>
        <v>#N/A</v>
      </c>
    </row>
    <row r="196" spans="2:5">
      <c r="B196" t="e">
        <f>VLOOKUP('Users from Visits'!A196,Visits!E:V,17,FALSE)</f>
        <v>#N/A</v>
      </c>
      <c r="C196" t="e">
        <f>VLOOKUP('Users from Visits'!A196,Visits!E:V,18,FALSE)</f>
        <v>#N/A</v>
      </c>
      <c r="D196" t="e">
        <f>VLOOKUP('Users from Visits'!A196,Visits!E:V,2,FALSE)</f>
        <v>#N/A</v>
      </c>
      <c r="E196" t="e">
        <f>VLOOKUP(A196,Users!A:A,1,FALSE)</f>
        <v>#N/A</v>
      </c>
    </row>
    <row r="197" spans="2:5">
      <c r="B197" t="e">
        <f>VLOOKUP('Users from Visits'!A197,Visits!E:V,17,FALSE)</f>
        <v>#N/A</v>
      </c>
      <c r="C197" t="e">
        <f>VLOOKUP('Users from Visits'!A197,Visits!E:V,18,FALSE)</f>
        <v>#N/A</v>
      </c>
      <c r="D197" t="e">
        <f>VLOOKUP('Users from Visits'!A197,Visits!E:V,2,FALSE)</f>
        <v>#N/A</v>
      </c>
      <c r="E197" t="e">
        <f>VLOOKUP(A197,Users!A:A,1,FALSE)</f>
        <v>#N/A</v>
      </c>
    </row>
    <row r="198" spans="2:5">
      <c r="B198" t="e">
        <f>VLOOKUP('Users from Visits'!A198,Visits!E:V,17,FALSE)</f>
        <v>#N/A</v>
      </c>
      <c r="C198" t="e">
        <f>VLOOKUP('Users from Visits'!A198,Visits!E:V,18,FALSE)</f>
        <v>#N/A</v>
      </c>
      <c r="D198" t="e">
        <f>VLOOKUP('Users from Visits'!A198,Visits!E:V,2,FALSE)</f>
        <v>#N/A</v>
      </c>
      <c r="E198" t="e">
        <f>VLOOKUP(A198,Users!A:A,1,FALSE)</f>
        <v>#N/A</v>
      </c>
    </row>
    <row r="199" spans="2:5">
      <c r="B199" t="e">
        <f>VLOOKUP('Users from Visits'!A199,Visits!E:V,17,FALSE)</f>
        <v>#N/A</v>
      </c>
      <c r="C199" t="e">
        <f>VLOOKUP('Users from Visits'!A199,Visits!E:V,18,FALSE)</f>
        <v>#N/A</v>
      </c>
      <c r="D199" t="e">
        <f>VLOOKUP('Users from Visits'!A199,Visits!E:V,2,FALSE)</f>
        <v>#N/A</v>
      </c>
      <c r="E199" t="e">
        <f>VLOOKUP(A199,Users!A:A,1,FALSE)</f>
        <v>#N/A</v>
      </c>
    </row>
    <row r="200" spans="2:5">
      <c r="B200" t="e">
        <f>VLOOKUP('Users from Visits'!A200,Visits!E:V,17,FALSE)</f>
        <v>#N/A</v>
      </c>
      <c r="C200" t="e">
        <f>VLOOKUP('Users from Visits'!A200,Visits!E:V,18,FALSE)</f>
        <v>#N/A</v>
      </c>
      <c r="D200" t="e">
        <f>VLOOKUP('Users from Visits'!A200,Visits!E:V,2,FALSE)</f>
        <v>#N/A</v>
      </c>
      <c r="E200" t="e">
        <f>VLOOKUP(A200,Users!A:A,1,FALSE)</f>
        <v>#N/A</v>
      </c>
    </row>
    <row r="201" spans="2:5">
      <c r="B201" t="e">
        <f>VLOOKUP('Users from Visits'!A201,Visits!E:V,17,FALSE)</f>
        <v>#N/A</v>
      </c>
      <c r="C201" t="e">
        <f>VLOOKUP('Users from Visits'!A201,Visits!E:V,18,FALSE)</f>
        <v>#N/A</v>
      </c>
      <c r="D201" t="e">
        <f>VLOOKUP('Users from Visits'!A201,Visits!E:V,2,FALSE)</f>
        <v>#N/A</v>
      </c>
      <c r="E201" t="e">
        <f>VLOOKUP(A201,Users!A:A,1,FALSE)</f>
        <v>#N/A</v>
      </c>
    </row>
    <row r="202" spans="2:5">
      <c r="B202" t="e">
        <f>VLOOKUP('Users from Visits'!A202,Visits!E:V,17,FALSE)</f>
        <v>#N/A</v>
      </c>
      <c r="C202" t="e">
        <f>VLOOKUP('Users from Visits'!A202,Visits!E:V,18,FALSE)</f>
        <v>#N/A</v>
      </c>
      <c r="D202" t="e">
        <f>VLOOKUP('Users from Visits'!A202,Visits!E:V,2,FALSE)</f>
        <v>#N/A</v>
      </c>
      <c r="E202" t="e">
        <f>VLOOKUP(A202,Users!A:A,1,FALSE)</f>
        <v>#N/A</v>
      </c>
    </row>
    <row r="203" spans="2:5">
      <c r="B203" t="e">
        <f>VLOOKUP('Users from Visits'!A203,Visits!E:V,17,FALSE)</f>
        <v>#N/A</v>
      </c>
      <c r="C203" t="e">
        <f>VLOOKUP('Users from Visits'!A203,Visits!E:V,18,FALSE)</f>
        <v>#N/A</v>
      </c>
      <c r="D203" t="e">
        <f>VLOOKUP('Users from Visits'!A203,Visits!E:V,2,FALSE)</f>
        <v>#N/A</v>
      </c>
      <c r="E203" t="e">
        <f>VLOOKUP(A203,Users!A:A,1,FALSE)</f>
        <v>#N/A</v>
      </c>
    </row>
    <row r="204" spans="2:5">
      <c r="B204" t="e">
        <f>VLOOKUP('Users from Visits'!A204,Visits!E:V,17,FALSE)</f>
        <v>#N/A</v>
      </c>
      <c r="C204" t="e">
        <f>VLOOKUP('Users from Visits'!A204,Visits!E:V,18,FALSE)</f>
        <v>#N/A</v>
      </c>
      <c r="D204" t="e">
        <f>VLOOKUP('Users from Visits'!A204,Visits!E:V,2,FALSE)</f>
        <v>#N/A</v>
      </c>
      <c r="E204" t="e">
        <f>VLOOKUP(A204,Users!A:A,1,FALSE)</f>
        <v>#N/A</v>
      </c>
    </row>
    <row r="205" spans="2:5">
      <c r="B205" t="e">
        <f>VLOOKUP('Users from Visits'!A205,Visits!E:V,17,FALSE)</f>
        <v>#N/A</v>
      </c>
      <c r="C205" t="e">
        <f>VLOOKUP('Users from Visits'!A205,Visits!E:V,18,FALSE)</f>
        <v>#N/A</v>
      </c>
      <c r="D205" t="e">
        <f>VLOOKUP('Users from Visits'!A205,Visits!E:V,2,FALSE)</f>
        <v>#N/A</v>
      </c>
      <c r="E205" t="e">
        <f>VLOOKUP(A205,Users!A:A,1,FALSE)</f>
        <v>#N/A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3FFD4-1BC6-499D-84A4-602AC5C64472}">
  <dimension ref="A1:M62"/>
  <sheetViews>
    <sheetView workbookViewId="0">
      <pane xSplit="1" topLeftCell="G1" activePane="topRight" state="frozen"/>
      <selection pane="topRight" activeCell="F8" sqref="F8"/>
    </sheetView>
  </sheetViews>
  <sheetFormatPr defaultColWidth="8.875" defaultRowHeight="15.95"/>
  <cols>
    <col min="2" max="2" width="12.125" customWidth="1"/>
    <col min="3" max="3" width="30.625" customWidth="1"/>
    <col min="4" max="4" width="8.125" customWidth="1"/>
    <col min="5" max="5" width="12.625" customWidth="1"/>
    <col min="6" max="8" width="25.625" customWidth="1"/>
    <col min="9" max="9" width="13.125" customWidth="1"/>
    <col min="10" max="10" width="18.625" customWidth="1"/>
    <col min="11" max="11" width="11.875" customWidth="1"/>
    <col min="12" max="12" width="15.125" customWidth="1"/>
  </cols>
  <sheetData>
    <row r="1" spans="1:13">
      <c r="A1" s="110" t="s">
        <v>98</v>
      </c>
      <c r="B1" s="110" t="s">
        <v>99</v>
      </c>
      <c r="C1" s="110" t="s">
        <v>307</v>
      </c>
      <c r="D1" s="110" t="s">
        <v>1102</v>
      </c>
      <c r="E1" s="110" t="s">
        <v>1103</v>
      </c>
      <c r="F1" s="110" t="s">
        <v>1104</v>
      </c>
      <c r="G1" s="110" t="s">
        <v>1105</v>
      </c>
      <c r="H1" s="110" t="s">
        <v>1106</v>
      </c>
      <c r="I1" s="24" t="s">
        <v>1107</v>
      </c>
      <c r="J1" s="110" t="s">
        <v>1108</v>
      </c>
      <c r="K1" s="110" t="s">
        <v>1109</v>
      </c>
      <c r="L1" s="110" t="s">
        <v>1110</v>
      </c>
      <c r="M1" s="110" t="s">
        <v>1111</v>
      </c>
    </row>
    <row r="2" spans="1:13">
      <c r="A2" s="113" t="s">
        <v>310</v>
      </c>
      <c r="B2" s="113" t="s">
        <v>311</v>
      </c>
      <c r="C2" s="113" t="s">
        <v>125</v>
      </c>
      <c r="D2" s="114">
        <v>3</v>
      </c>
      <c r="E2" s="114" t="s">
        <v>1112</v>
      </c>
      <c r="F2" t="s">
        <v>1113</v>
      </c>
      <c r="G2" s="153" t="s">
        <v>1114</v>
      </c>
      <c r="I2" t="s">
        <v>1115</v>
      </c>
      <c r="J2" t="s">
        <v>1116</v>
      </c>
      <c r="K2">
        <v>0</v>
      </c>
      <c r="L2" t="s">
        <v>1117</v>
      </c>
      <c r="M2" t="s">
        <v>1118</v>
      </c>
    </row>
    <row r="3" spans="1:13">
      <c r="A3" s="111" t="s">
        <v>318</v>
      </c>
      <c r="B3" s="111" t="s">
        <v>322</v>
      </c>
      <c r="C3" s="111" t="s">
        <v>321</v>
      </c>
      <c r="D3" s="114">
        <v>0</v>
      </c>
      <c r="E3" s="114" t="s">
        <v>1119</v>
      </c>
    </row>
    <row r="4" spans="1:13">
      <c r="A4" s="111" t="s">
        <v>325</v>
      </c>
      <c r="B4" s="111" t="s">
        <v>326</v>
      </c>
      <c r="C4" s="111" t="s">
        <v>324</v>
      </c>
      <c r="D4" s="114">
        <v>0</v>
      </c>
      <c r="E4" s="114" t="s">
        <v>1119</v>
      </c>
    </row>
    <row r="5" spans="1:13">
      <c r="A5" s="111" t="s">
        <v>336</v>
      </c>
      <c r="B5" s="111" t="s">
        <v>340</v>
      </c>
      <c r="C5" s="111" t="s">
        <v>339</v>
      </c>
      <c r="D5" s="114">
        <v>0</v>
      </c>
      <c r="E5" s="114" t="s">
        <v>1119</v>
      </c>
    </row>
    <row r="6" spans="1:13">
      <c r="A6" s="111" t="s">
        <v>343</v>
      </c>
      <c r="B6" s="111" t="s">
        <v>344</v>
      </c>
      <c r="C6" s="111" t="s">
        <v>342</v>
      </c>
      <c r="D6" s="114">
        <v>0</v>
      </c>
      <c r="E6" s="114" t="s">
        <v>1119</v>
      </c>
    </row>
    <row r="7" spans="1:13">
      <c r="A7" s="111" t="s">
        <v>346</v>
      </c>
      <c r="B7" s="111" t="s">
        <v>347</v>
      </c>
      <c r="C7" s="111" t="s">
        <v>345</v>
      </c>
      <c r="D7" s="114">
        <v>2</v>
      </c>
      <c r="E7" s="114" t="s">
        <v>1119</v>
      </c>
      <c r="H7" t="s">
        <v>1101</v>
      </c>
      <c r="J7" t="s">
        <v>1120</v>
      </c>
      <c r="K7">
        <v>0</v>
      </c>
      <c r="L7" t="s">
        <v>1119</v>
      </c>
    </row>
    <row r="8" spans="1:13">
      <c r="A8" s="111" t="s">
        <v>353</v>
      </c>
      <c r="B8" s="111" t="s">
        <v>354</v>
      </c>
      <c r="C8" s="111" t="s">
        <v>352</v>
      </c>
      <c r="D8" s="114">
        <v>1</v>
      </c>
      <c r="E8" s="114" t="s">
        <v>1112</v>
      </c>
      <c r="F8" t="s">
        <v>1121</v>
      </c>
      <c r="J8" t="s">
        <v>201</v>
      </c>
      <c r="K8">
        <v>0</v>
      </c>
      <c r="L8" t="s">
        <v>1119</v>
      </c>
    </row>
    <row r="9" spans="1:13">
      <c r="A9" s="111" t="s">
        <v>364</v>
      </c>
      <c r="B9" s="111" t="s">
        <v>365</v>
      </c>
      <c r="C9" s="111" t="s">
        <v>363</v>
      </c>
      <c r="D9" s="114">
        <v>0</v>
      </c>
      <c r="E9" s="114" t="s">
        <v>1119</v>
      </c>
      <c r="H9" t="s">
        <v>1122</v>
      </c>
    </row>
    <row r="10" spans="1:13">
      <c r="A10" s="111" t="s">
        <v>367</v>
      </c>
      <c r="B10" s="111" t="s">
        <v>368</v>
      </c>
      <c r="C10" s="111" t="s">
        <v>130</v>
      </c>
      <c r="D10" s="114">
        <v>4</v>
      </c>
      <c r="E10" s="114" t="s">
        <v>1112</v>
      </c>
      <c r="F10" t="s">
        <v>1123</v>
      </c>
      <c r="G10" s="153" t="s">
        <v>1114</v>
      </c>
      <c r="I10" t="s">
        <v>1124</v>
      </c>
      <c r="J10" t="s">
        <v>1125</v>
      </c>
      <c r="K10">
        <v>0</v>
      </c>
      <c r="L10" t="s">
        <v>1126</v>
      </c>
      <c r="M10" t="s">
        <v>1127</v>
      </c>
    </row>
    <row r="11" spans="1:13">
      <c r="A11" s="111" t="s">
        <v>370</v>
      </c>
      <c r="B11" s="111" t="s">
        <v>370</v>
      </c>
      <c r="C11" s="111" t="s">
        <v>141</v>
      </c>
      <c r="D11" s="114">
        <v>0</v>
      </c>
      <c r="E11" s="114" t="s">
        <v>1112</v>
      </c>
      <c r="F11" t="s">
        <v>1128</v>
      </c>
    </row>
    <row r="12" spans="1:13">
      <c r="A12" s="111" t="s">
        <v>373</v>
      </c>
      <c r="B12" s="111" t="s">
        <v>374</v>
      </c>
      <c r="C12" s="111" t="s">
        <v>372</v>
      </c>
      <c r="D12" s="114">
        <v>1</v>
      </c>
      <c r="E12" s="114" t="s">
        <v>1119</v>
      </c>
      <c r="H12" t="s">
        <v>1122</v>
      </c>
      <c r="J12" t="s">
        <v>808</v>
      </c>
      <c r="K12">
        <v>0</v>
      </c>
      <c r="L12" t="s">
        <v>1119</v>
      </c>
    </row>
    <row r="13" spans="1:13">
      <c r="A13" s="111" t="s">
        <v>375</v>
      </c>
      <c r="B13" s="111" t="s">
        <v>376</v>
      </c>
      <c r="C13" s="111" t="s">
        <v>122</v>
      </c>
      <c r="D13" s="114">
        <v>3</v>
      </c>
      <c r="E13" s="114" t="s">
        <v>1112</v>
      </c>
      <c r="F13" t="s">
        <v>1128</v>
      </c>
      <c r="I13" t="s">
        <v>1124</v>
      </c>
      <c r="J13" t="s">
        <v>1129</v>
      </c>
      <c r="K13">
        <v>0</v>
      </c>
      <c r="L13" t="s">
        <v>1119</v>
      </c>
    </row>
    <row r="14" spans="1:13">
      <c r="A14" s="111" t="s">
        <v>375</v>
      </c>
      <c r="B14" s="111" t="s">
        <v>379</v>
      </c>
      <c r="C14" s="111" t="s">
        <v>378</v>
      </c>
      <c r="D14" s="114">
        <v>1</v>
      </c>
      <c r="E14" s="114" t="s">
        <v>1119</v>
      </c>
      <c r="J14" t="s">
        <v>201</v>
      </c>
      <c r="K14">
        <v>0</v>
      </c>
      <c r="L14" t="s">
        <v>1119</v>
      </c>
    </row>
    <row r="15" spans="1:13">
      <c r="A15" s="111" t="s">
        <v>381</v>
      </c>
      <c r="B15" s="111" t="s">
        <v>382</v>
      </c>
      <c r="C15" s="111" t="s">
        <v>147</v>
      </c>
      <c r="D15" s="114">
        <v>1</v>
      </c>
      <c r="E15" s="114" t="s">
        <v>1112</v>
      </c>
      <c r="F15" t="s">
        <v>1128</v>
      </c>
      <c r="H15" t="s">
        <v>1130</v>
      </c>
      <c r="J15" t="s">
        <v>201</v>
      </c>
      <c r="K15">
        <v>0</v>
      </c>
      <c r="L15" t="s">
        <v>1119</v>
      </c>
    </row>
    <row r="16" spans="1:13">
      <c r="A16" s="111" t="s">
        <v>384</v>
      </c>
      <c r="B16" s="111" t="s">
        <v>322</v>
      </c>
      <c r="C16" s="111" t="s">
        <v>386</v>
      </c>
      <c r="D16" s="114">
        <v>0</v>
      </c>
      <c r="E16" s="114" t="s">
        <v>1119</v>
      </c>
    </row>
    <row r="17" spans="1:13">
      <c r="A17" s="111" t="s">
        <v>389</v>
      </c>
      <c r="B17" s="111" t="s">
        <v>390</v>
      </c>
      <c r="C17" s="111" t="s">
        <v>166</v>
      </c>
      <c r="D17" s="114">
        <v>0</v>
      </c>
      <c r="E17" s="114" t="s">
        <v>1119</v>
      </c>
      <c r="H17" t="s">
        <v>1131</v>
      </c>
    </row>
    <row r="18" spans="1:13">
      <c r="A18" s="111" t="s">
        <v>393</v>
      </c>
      <c r="B18" s="111" t="s">
        <v>394</v>
      </c>
      <c r="C18" s="111" t="s">
        <v>392</v>
      </c>
      <c r="D18" s="114">
        <v>0</v>
      </c>
      <c r="E18" s="114" t="s">
        <v>1119</v>
      </c>
      <c r="H18" t="s">
        <v>1131</v>
      </c>
    </row>
    <row r="19" spans="1:13">
      <c r="A19" s="111" t="s">
        <v>397</v>
      </c>
      <c r="B19" s="111" t="s">
        <v>398</v>
      </c>
      <c r="C19" s="111" t="s">
        <v>396</v>
      </c>
      <c r="D19" s="114">
        <v>0</v>
      </c>
      <c r="E19" s="114" t="s">
        <v>1119</v>
      </c>
    </row>
    <row r="20" spans="1:13">
      <c r="A20" s="111" t="s">
        <v>404</v>
      </c>
      <c r="B20" s="111" t="s">
        <v>405</v>
      </c>
      <c r="C20" s="111" t="s">
        <v>403</v>
      </c>
      <c r="D20" s="114">
        <v>0</v>
      </c>
      <c r="E20" s="114" t="s">
        <v>1119</v>
      </c>
    </row>
    <row r="21" spans="1:13">
      <c r="A21" s="111" t="s">
        <v>408</v>
      </c>
      <c r="B21" s="111" t="s">
        <v>409</v>
      </c>
      <c r="C21" s="111" t="s">
        <v>407</v>
      </c>
      <c r="D21" s="114">
        <v>2</v>
      </c>
      <c r="E21" s="115" t="s">
        <v>1112</v>
      </c>
      <c r="F21" t="s">
        <v>1128</v>
      </c>
      <c r="I21" t="s">
        <v>1132</v>
      </c>
      <c r="J21" t="s">
        <v>1133</v>
      </c>
      <c r="K21">
        <v>0</v>
      </c>
      <c r="L21" t="s">
        <v>1134</v>
      </c>
      <c r="M21">
        <v>1</v>
      </c>
    </row>
    <row r="22" spans="1:13">
      <c r="A22" s="111" t="s">
        <v>414</v>
      </c>
      <c r="B22" s="111" t="s">
        <v>415</v>
      </c>
      <c r="C22" s="111" t="s">
        <v>413</v>
      </c>
      <c r="D22" s="114">
        <v>0</v>
      </c>
      <c r="E22" s="114" t="s">
        <v>1119</v>
      </c>
    </row>
    <row r="23" spans="1:13">
      <c r="A23" s="111" t="s">
        <v>417</v>
      </c>
      <c r="B23" s="111" t="s">
        <v>418</v>
      </c>
      <c r="C23" s="111" t="s">
        <v>148</v>
      </c>
      <c r="D23" s="114">
        <v>0</v>
      </c>
      <c r="E23" s="114" t="s">
        <v>1112</v>
      </c>
      <c r="F23" t="s">
        <v>1128</v>
      </c>
    </row>
    <row r="24" spans="1:13">
      <c r="A24" s="111" t="s">
        <v>421</v>
      </c>
      <c r="B24" s="111" t="s">
        <v>422</v>
      </c>
      <c r="C24" s="111" t="s">
        <v>420</v>
      </c>
      <c r="D24" s="114">
        <v>0</v>
      </c>
      <c r="E24" s="114" t="s">
        <v>1119</v>
      </c>
    </row>
    <row r="25" spans="1:13">
      <c r="A25" s="111" t="s">
        <v>424</v>
      </c>
      <c r="B25" s="111" t="s">
        <v>425</v>
      </c>
      <c r="C25" s="111" t="s">
        <v>423</v>
      </c>
      <c r="D25" s="114">
        <v>1</v>
      </c>
      <c r="E25" s="114" t="s">
        <v>1119</v>
      </c>
      <c r="I25" t="s">
        <v>1132</v>
      </c>
      <c r="J25" t="s">
        <v>808</v>
      </c>
      <c r="K25">
        <v>0</v>
      </c>
      <c r="L25" t="s">
        <v>1119</v>
      </c>
    </row>
    <row r="26" spans="1:13">
      <c r="A26" s="111" t="s">
        <v>437</v>
      </c>
      <c r="B26" s="111" t="s">
        <v>438</v>
      </c>
      <c r="C26" s="111" t="s">
        <v>436</v>
      </c>
      <c r="D26" s="114">
        <v>0</v>
      </c>
      <c r="E26" s="114" t="s">
        <v>1119</v>
      </c>
    </row>
    <row r="27" spans="1:13">
      <c r="A27" s="111" t="s">
        <v>441</v>
      </c>
      <c r="B27" s="111" t="s">
        <v>442</v>
      </c>
      <c r="C27" s="111" t="s">
        <v>440</v>
      </c>
      <c r="D27" s="114">
        <v>0</v>
      </c>
      <c r="E27" s="114" t="s">
        <v>1119</v>
      </c>
      <c r="H27" t="s">
        <v>1135</v>
      </c>
    </row>
    <row r="28" spans="1:13">
      <c r="A28" s="111" t="s">
        <v>447</v>
      </c>
      <c r="B28" s="111" t="s">
        <v>448</v>
      </c>
      <c r="C28" s="111" t="s">
        <v>446</v>
      </c>
      <c r="D28" s="114">
        <v>2</v>
      </c>
      <c r="E28" s="115" t="s">
        <v>1112</v>
      </c>
      <c r="F28" t="s">
        <v>1128</v>
      </c>
      <c r="G28" s="153" t="s">
        <v>1114</v>
      </c>
      <c r="I28" t="s">
        <v>1132</v>
      </c>
      <c r="J28" t="s">
        <v>1136</v>
      </c>
      <c r="K28">
        <v>0</v>
      </c>
      <c r="L28" t="s">
        <v>1119</v>
      </c>
    </row>
    <row r="29" spans="1:13">
      <c r="A29" s="111" t="s">
        <v>463</v>
      </c>
      <c r="B29" s="111" t="s">
        <v>464</v>
      </c>
      <c r="C29" s="111" t="s">
        <v>462</v>
      </c>
      <c r="D29" s="114">
        <v>2</v>
      </c>
      <c r="E29" s="114" t="s">
        <v>1119</v>
      </c>
      <c r="H29" t="s">
        <v>1122</v>
      </c>
      <c r="J29" t="s">
        <v>1137</v>
      </c>
      <c r="K29">
        <v>0</v>
      </c>
      <c r="L29" t="s">
        <v>1138</v>
      </c>
      <c r="M29">
        <v>1</v>
      </c>
    </row>
    <row r="30" spans="1:13">
      <c r="A30" s="111" t="s">
        <v>471</v>
      </c>
      <c r="B30" s="111" t="s">
        <v>472</v>
      </c>
      <c r="C30" s="111" t="s">
        <v>470</v>
      </c>
      <c r="D30" s="114">
        <v>0</v>
      </c>
      <c r="E30" s="114" t="s">
        <v>1119</v>
      </c>
    </row>
    <row r="31" spans="1:13">
      <c r="A31" s="111" t="s">
        <v>482</v>
      </c>
      <c r="B31" s="111" t="s">
        <v>483</v>
      </c>
      <c r="C31" s="111" t="s">
        <v>136</v>
      </c>
      <c r="D31" s="114">
        <v>2</v>
      </c>
      <c r="E31" s="114" t="s">
        <v>1119</v>
      </c>
      <c r="H31" t="s">
        <v>1122</v>
      </c>
      <c r="I31" t="s">
        <v>1132</v>
      </c>
      <c r="J31" t="s">
        <v>1139</v>
      </c>
      <c r="K31">
        <v>0</v>
      </c>
      <c r="L31" t="s">
        <v>1119</v>
      </c>
    </row>
    <row r="32" spans="1:13">
      <c r="A32" s="111" t="s">
        <v>486</v>
      </c>
      <c r="B32" s="111" t="s">
        <v>487</v>
      </c>
      <c r="C32" s="111" t="s">
        <v>485</v>
      </c>
      <c r="D32" s="114">
        <v>0</v>
      </c>
      <c r="E32" s="114" t="s">
        <v>1119</v>
      </c>
    </row>
    <row r="33" spans="1:13">
      <c r="A33" s="111" t="s">
        <v>492</v>
      </c>
      <c r="B33" s="111" t="s">
        <v>493</v>
      </c>
      <c r="C33" s="111" t="s">
        <v>118</v>
      </c>
      <c r="D33" s="114">
        <v>1</v>
      </c>
      <c r="E33" s="114" t="s">
        <v>1112</v>
      </c>
      <c r="F33" t="s">
        <v>1128</v>
      </c>
      <c r="J33" t="s">
        <v>1140</v>
      </c>
      <c r="K33">
        <v>0</v>
      </c>
      <c r="L33" t="s">
        <v>1119</v>
      </c>
    </row>
    <row r="34" spans="1:13">
      <c r="A34" s="111" t="s">
        <v>496</v>
      </c>
      <c r="B34" s="111" t="s">
        <v>497</v>
      </c>
      <c r="C34" s="111" t="s">
        <v>495</v>
      </c>
      <c r="D34" s="114">
        <v>0</v>
      </c>
      <c r="E34" s="114" t="s">
        <v>1119</v>
      </c>
      <c r="H34" t="s">
        <v>1131</v>
      </c>
    </row>
    <row r="35" spans="1:13">
      <c r="A35" s="111" t="s">
        <v>500</v>
      </c>
      <c r="B35" s="111" t="s">
        <v>501</v>
      </c>
      <c r="C35" s="111" t="s">
        <v>499</v>
      </c>
      <c r="D35" s="114">
        <v>0</v>
      </c>
      <c r="E35" s="114" t="s">
        <v>1119</v>
      </c>
    </row>
    <row r="36" spans="1:13">
      <c r="A36" s="111" t="s">
        <v>503</v>
      </c>
      <c r="B36" s="111" t="s">
        <v>504</v>
      </c>
      <c r="C36" s="111" t="s">
        <v>502</v>
      </c>
      <c r="D36" s="114">
        <v>0</v>
      </c>
      <c r="E36" s="114" t="s">
        <v>1119</v>
      </c>
      <c r="H36" t="s">
        <v>1122</v>
      </c>
    </row>
    <row r="37" spans="1:13">
      <c r="A37" s="111" t="s">
        <v>506</v>
      </c>
      <c r="B37" s="111" t="s">
        <v>507</v>
      </c>
      <c r="C37" s="111" t="s">
        <v>178</v>
      </c>
      <c r="D37" s="114">
        <v>0</v>
      </c>
      <c r="E37" s="114" t="s">
        <v>1112</v>
      </c>
      <c r="F37" t="s">
        <v>1128</v>
      </c>
    </row>
    <row r="38" spans="1:13">
      <c r="A38" s="111" t="s">
        <v>510</v>
      </c>
      <c r="B38" s="111" t="s">
        <v>511</v>
      </c>
      <c r="C38" s="111" t="s">
        <v>509</v>
      </c>
      <c r="D38">
        <v>0</v>
      </c>
      <c r="E38" t="s">
        <v>1119</v>
      </c>
    </row>
    <row r="39" spans="1:13">
      <c r="A39" s="111" t="s">
        <v>518</v>
      </c>
      <c r="B39" s="111" t="s">
        <v>949</v>
      </c>
      <c r="C39" s="111" t="s">
        <v>517</v>
      </c>
      <c r="D39" s="114">
        <v>0</v>
      </c>
      <c r="E39" s="114" t="s">
        <v>1119</v>
      </c>
    </row>
    <row r="40" spans="1:13">
      <c r="A40" s="111" t="s">
        <v>951</v>
      </c>
      <c r="B40" s="111" t="s">
        <v>536</v>
      </c>
      <c r="C40" s="111" t="s">
        <v>534</v>
      </c>
      <c r="D40" s="114">
        <v>0</v>
      </c>
      <c r="E40" s="114" t="s">
        <v>1119</v>
      </c>
    </row>
    <row r="41" spans="1:13">
      <c r="A41" s="111" t="s">
        <v>538</v>
      </c>
      <c r="B41" s="111" t="s">
        <v>539</v>
      </c>
      <c r="C41" s="111" t="s">
        <v>128</v>
      </c>
      <c r="D41" s="114">
        <v>2</v>
      </c>
      <c r="E41" s="114" t="s">
        <v>1112</v>
      </c>
      <c r="F41" t="s">
        <v>1128</v>
      </c>
      <c r="J41" t="s">
        <v>1141</v>
      </c>
      <c r="K41">
        <v>0</v>
      </c>
      <c r="L41" t="s">
        <v>1119</v>
      </c>
    </row>
    <row r="42" spans="1:13">
      <c r="A42" s="111" t="s">
        <v>541</v>
      </c>
      <c r="B42" s="111" t="s">
        <v>542</v>
      </c>
      <c r="C42" s="111" t="s">
        <v>123</v>
      </c>
      <c r="D42" s="114">
        <v>2</v>
      </c>
      <c r="E42" s="114" t="s">
        <v>1112</v>
      </c>
      <c r="F42" t="s">
        <v>1113</v>
      </c>
      <c r="I42" t="s">
        <v>1132</v>
      </c>
      <c r="J42" t="s">
        <v>1142</v>
      </c>
      <c r="K42">
        <v>0</v>
      </c>
      <c r="L42" t="s">
        <v>1134</v>
      </c>
      <c r="M42">
        <v>1</v>
      </c>
    </row>
    <row r="43" spans="1:13">
      <c r="A43" s="111" t="s">
        <v>544</v>
      </c>
      <c r="B43" s="111" t="s">
        <v>545</v>
      </c>
      <c r="C43" s="111" t="s">
        <v>164</v>
      </c>
      <c r="D43" s="114">
        <v>0</v>
      </c>
      <c r="E43" s="114" t="s">
        <v>1119</v>
      </c>
      <c r="H43" t="s">
        <v>1131</v>
      </c>
    </row>
    <row r="44" spans="1:13">
      <c r="A44" s="111" t="s">
        <v>548</v>
      </c>
      <c r="B44" s="111" t="s">
        <v>549</v>
      </c>
      <c r="C44" s="111" t="s">
        <v>547</v>
      </c>
      <c r="D44" s="114">
        <v>0</v>
      </c>
      <c r="E44" s="114" t="s">
        <v>1119</v>
      </c>
    </row>
    <row r="45" spans="1:13">
      <c r="A45" s="111" t="s">
        <v>551</v>
      </c>
      <c r="B45" s="111" t="s">
        <v>552</v>
      </c>
      <c r="C45" s="111" t="s">
        <v>134</v>
      </c>
      <c r="D45" s="114">
        <v>0</v>
      </c>
      <c r="E45" s="114" t="s">
        <v>1112</v>
      </c>
      <c r="F45" t="s">
        <v>1128</v>
      </c>
    </row>
    <row r="46" spans="1:13">
      <c r="A46" s="111" t="s">
        <v>554</v>
      </c>
      <c r="B46" s="111" t="s">
        <v>555</v>
      </c>
      <c r="C46" s="111" t="s">
        <v>124</v>
      </c>
      <c r="D46" s="114">
        <v>3</v>
      </c>
      <c r="E46" s="114" t="s">
        <v>1112</v>
      </c>
      <c r="F46" t="s">
        <v>1128</v>
      </c>
      <c r="J46" t="s">
        <v>1143</v>
      </c>
      <c r="K46">
        <v>0</v>
      </c>
      <c r="L46" t="s">
        <v>1134</v>
      </c>
      <c r="M46">
        <v>1</v>
      </c>
    </row>
    <row r="47" spans="1:13">
      <c r="A47" s="111" t="s">
        <v>561</v>
      </c>
      <c r="B47" s="111" t="s">
        <v>562</v>
      </c>
      <c r="C47" s="111" t="s">
        <v>181</v>
      </c>
      <c r="D47" s="114">
        <v>0</v>
      </c>
      <c r="E47" s="114" t="s">
        <v>1119</v>
      </c>
      <c r="H47" t="s">
        <v>1122</v>
      </c>
    </row>
    <row r="48" spans="1:13">
      <c r="A48" s="111" t="s">
        <v>564</v>
      </c>
      <c r="B48" s="111" t="s">
        <v>565</v>
      </c>
      <c r="C48" s="111" t="s">
        <v>135</v>
      </c>
      <c r="D48" s="114">
        <v>1</v>
      </c>
      <c r="E48" s="114" t="s">
        <v>1112</v>
      </c>
      <c r="F48" t="s">
        <v>1128</v>
      </c>
      <c r="J48" t="s">
        <v>201</v>
      </c>
      <c r="K48">
        <v>0</v>
      </c>
      <c r="L48" t="s">
        <v>1119</v>
      </c>
    </row>
    <row r="49" spans="1:13">
      <c r="A49" s="111" t="s">
        <v>572</v>
      </c>
      <c r="B49" s="111" t="s">
        <v>573</v>
      </c>
      <c r="C49" s="111" t="s">
        <v>571</v>
      </c>
      <c r="D49" s="114">
        <v>3</v>
      </c>
      <c r="E49" s="114" t="s">
        <v>1119</v>
      </c>
      <c r="H49" t="s">
        <v>1122</v>
      </c>
      <c r="I49" t="s">
        <v>1144</v>
      </c>
      <c r="J49" t="s">
        <v>1145</v>
      </c>
      <c r="K49">
        <v>0</v>
      </c>
      <c r="L49" t="s">
        <v>1119</v>
      </c>
    </row>
    <row r="50" spans="1:13">
      <c r="A50" s="111" t="s">
        <v>580</v>
      </c>
      <c r="B50" s="111" t="s">
        <v>581</v>
      </c>
      <c r="C50" s="111" t="s">
        <v>138</v>
      </c>
      <c r="D50" s="114">
        <v>0</v>
      </c>
      <c r="E50" s="114" t="s">
        <v>1119</v>
      </c>
      <c r="H50" t="s">
        <v>1122</v>
      </c>
    </row>
    <row r="51" spans="1:13">
      <c r="A51" s="111" t="s">
        <v>586</v>
      </c>
      <c r="B51" s="111" t="s">
        <v>587</v>
      </c>
      <c r="C51" s="111" t="s">
        <v>585</v>
      </c>
      <c r="D51" s="114">
        <v>0</v>
      </c>
      <c r="E51" s="114" t="s">
        <v>1119</v>
      </c>
    </row>
    <row r="52" spans="1:13">
      <c r="A52" s="111" t="s">
        <v>586</v>
      </c>
      <c r="B52" s="111" t="s">
        <v>590</v>
      </c>
      <c r="C52" s="111" t="s">
        <v>589</v>
      </c>
      <c r="D52" s="114">
        <v>1</v>
      </c>
      <c r="E52" s="114" t="s">
        <v>1119</v>
      </c>
      <c r="H52" t="s">
        <v>1122</v>
      </c>
      <c r="J52" t="s">
        <v>201</v>
      </c>
      <c r="K52">
        <v>0</v>
      </c>
      <c r="L52" t="s">
        <v>1119</v>
      </c>
    </row>
    <row r="53" spans="1:13">
      <c r="A53" s="111" t="s">
        <v>592</v>
      </c>
      <c r="B53" s="111" t="s">
        <v>593</v>
      </c>
      <c r="C53" s="111" t="s">
        <v>168</v>
      </c>
      <c r="D53" s="114">
        <v>4</v>
      </c>
      <c r="E53" s="114" t="s">
        <v>1112</v>
      </c>
      <c r="F53" t="s">
        <v>1113</v>
      </c>
      <c r="I53" t="s">
        <v>1115</v>
      </c>
      <c r="J53" t="s">
        <v>1146</v>
      </c>
      <c r="K53">
        <v>1</v>
      </c>
      <c r="L53" t="s">
        <v>1138</v>
      </c>
      <c r="M53">
        <v>1</v>
      </c>
    </row>
    <row r="54" spans="1:13">
      <c r="A54" s="111" t="s">
        <v>606</v>
      </c>
      <c r="B54" s="111" t="s">
        <v>607</v>
      </c>
      <c r="C54" s="111" t="s">
        <v>605</v>
      </c>
      <c r="D54" s="114">
        <v>1</v>
      </c>
      <c r="E54" s="114" t="s">
        <v>1119</v>
      </c>
      <c r="J54" t="s">
        <v>201</v>
      </c>
      <c r="K54">
        <v>0</v>
      </c>
      <c r="L54" t="s">
        <v>1119</v>
      </c>
    </row>
    <row r="55" spans="1:13">
      <c r="A55" s="111" t="s">
        <v>609</v>
      </c>
      <c r="B55" s="111" t="s">
        <v>610</v>
      </c>
      <c r="C55" s="111" t="s">
        <v>170</v>
      </c>
      <c r="D55" s="114">
        <v>2</v>
      </c>
      <c r="E55" s="114" t="s">
        <v>1119</v>
      </c>
      <c r="H55" t="s">
        <v>1131</v>
      </c>
      <c r="I55" t="s">
        <v>1144</v>
      </c>
      <c r="J55" t="s">
        <v>201</v>
      </c>
      <c r="K55">
        <v>0</v>
      </c>
      <c r="L55" t="s">
        <v>1119</v>
      </c>
    </row>
    <row r="56" spans="1:13">
      <c r="A56" s="112" t="s">
        <v>616</v>
      </c>
      <c r="B56" s="112" t="s">
        <v>617</v>
      </c>
      <c r="C56" s="112" t="s">
        <v>615</v>
      </c>
      <c r="D56" s="114">
        <v>1</v>
      </c>
      <c r="E56" s="114" t="s">
        <v>1119</v>
      </c>
      <c r="J56" t="s">
        <v>808</v>
      </c>
      <c r="K56">
        <v>0</v>
      </c>
      <c r="L56" t="s">
        <v>1119</v>
      </c>
    </row>
    <row r="60" spans="1:13">
      <c r="B60" s="24" t="s">
        <v>1147</v>
      </c>
    </row>
    <row r="61" spans="1:13">
      <c r="B61" s="24" t="s">
        <v>1148</v>
      </c>
    </row>
    <row r="62" spans="1:13">
      <c r="B62" s="24" t="s">
        <v>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Vasques</dc:creator>
  <cp:keywords/>
  <dc:description/>
  <cp:lastModifiedBy/>
  <cp:revision/>
  <dcterms:created xsi:type="dcterms:W3CDTF">2024-04-09T12:36:23Z</dcterms:created>
  <dcterms:modified xsi:type="dcterms:W3CDTF">2024-08-21T17:14:36Z</dcterms:modified>
  <cp:category/>
  <cp:contentStatus/>
</cp:coreProperties>
</file>