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netorgft10673332-my.sharepoint.com/personal/guilherme_nimi_live/Documents/Nimi_shared_folders/Marketing/Nimi Collective/"/>
    </mc:Choice>
  </mc:AlternateContent>
  <xr:revisionPtr revIDLastSave="0" documentId="8_{EC547D66-49F0-6142-9DA7-178E2BDAE28C}" xr6:coauthVersionLast="47" xr6:coauthVersionMax="47" xr10:uidLastSave="{00000000-0000-0000-0000-000000000000}"/>
  <bookViews>
    <workbookView xWindow="0" yWindow="500" windowWidth="28800" windowHeight="17500" activeTab="9" xr2:uid="{20133B8A-D008-534A-A2F7-9399F1A36DF8}"/>
  </bookViews>
  <sheets>
    <sheet name="OPERATIONS &gt;" sheetId="14" r:id="rId1"/>
    <sheet name="Orders" sheetId="12" r:id="rId2"/>
    <sheet name="Credits" sheetId="15" r:id="rId3"/>
    <sheet name="Manual Cleanup" sheetId="6" state="hidden" r:id="rId4"/>
    <sheet name="Membership Launch" sheetId="16" r:id="rId5"/>
    <sheet name="ANALYTICS &gt;" sheetId="13" r:id="rId6"/>
    <sheet name="Summer Challenge" sheetId="21" r:id="rId7"/>
    <sheet name="User Engagement" sheetId="5" r:id="rId8"/>
    <sheet name="New Dashboard" sheetId="19" r:id="rId9"/>
    <sheet name="Cohort Analysis" sheetId="23" r:id="rId10"/>
    <sheet name="Instructions " sheetId="20" r:id="rId11"/>
    <sheet name="DATABASE &gt;" sheetId="10" r:id="rId12"/>
    <sheet name="Sessions" sheetId="4" r:id="rId13"/>
    <sheet name="Users" sheetId="11" r:id="rId14"/>
    <sheet name="Visits" sheetId="3" r:id="rId15"/>
    <sheet name="Neighborhoods" sheetId="22" r:id="rId16"/>
    <sheet name="Manual Input" sheetId="1" r:id="rId17"/>
    <sheet name="Users from Visits" sheetId="17" r:id="rId18"/>
  </sheets>
  <definedNames>
    <definedName name="_xlnm._FilterDatabase" localSheetId="2" hidden="1">Credits!$A$2:$H$2</definedName>
    <definedName name="_xlnm._FilterDatabase" localSheetId="3" hidden="1">'Manual Cleanup'!$A$1:$U$56</definedName>
    <definedName name="_xlnm._FilterDatabase" localSheetId="4" hidden="1">'Membership Launch'!$A$1:$I$57</definedName>
    <definedName name="_xlnm._FilterDatabase" localSheetId="1" hidden="1">Orders!$A$2:$M$119</definedName>
    <definedName name="_xlnm._FilterDatabase" localSheetId="12" hidden="1">Sessions!$A$1:$O$31</definedName>
    <definedName name="_xlnm._FilterDatabase" localSheetId="6" hidden="1">'Summer Challenge'!$A$3:$S$214</definedName>
    <definedName name="_xlnm._FilterDatabase" localSheetId="7" hidden="1">'User Engagement'!$A$3:$Y$61</definedName>
    <definedName name="_xlnm._FilterDatabase" localSheetId="13" hidden="1">Users!$A$1:$F$1</definedName>
    <definedName name="_xlnm._FilterDatabase" localSheetId="17" hidden="1">'Users from Visits'!$A$1:$C$62</definedName>
    <definedName name="_xlnm._FilterDatabase" localSheetId="14" hidden="1">Visits!$A$1:$AB$89</definedName>
  </definedNames>
  <calcPr calcId="191028"/>
  <pivotCaches>
    <pivotCache cacheId="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B245" i="23"/>
  <c r="C246" i="23"/>
  <c r="D246" i="23" l="1"/>
  <c r="D245" i="23"/>
  <c r="E227" i="23" l="1"/>
  <c r="F227" i="23"/>
  <c r="E228" i="23"/>
  <c r="F228" i="23" s="1"/>
  <c r="E229" i="23"/>
  <c r="F229" i="23"/>
  <c r="E230" i="23"/>
  <c r="F230" i="23" s="1"/>
  <c r="G230" i="23" s="1"/>
  <c r="E231" i="23"/>
  <c r="E232" i="23"/>
  <c r="F232" i="23" s="1"/>
  <c r="E233" i="23"/>
  <c r="E234" i="23"/>
  <c r="F234" i="23"/>
  <c r="E235" i="23"/>
  <c r="F235" i="23"/>
  <c r="E236" i="23"/>
  <c r="F236" i="23" s="1"/>
  <c r="E237" i="23"/>
  <c r="E238" i="23"/>
  <c r="F238" i="23"/>
  <c r="S35" i="3"/>
  <c r="T35" i="3"/>
  <c r="V35" i="3"/>
  <c r="Z35" i="3"/>
  <c r="E140" i="23"/>
  <c r="F140" i="23" s="1"/>
  <c r="E141" i="23"/>
  <c r="F141" i="23" s="1"/>
  <c r="E142" i="23"/>
  <c r="F142" i="23" s="1"/>
  <c r="E143" i="23"/>
  <c r="E144" i="23"/>
  <c r="F144" i="23" s="1"/>
  <c r="E145" i="23"/>
  <c r="F145" i="23" s="1"/>
  <c r="E146" i="23"/>
  <c r="E147" i="23"/>
  <c r="F147" i="23" s="1"/>
  <c r="E148" i="23"/>
  <c r="F148" i="23" s="1"/>
  <c r="E149" i="23"/>
  <c r="F149" i="23" s="1"/>
  <c r="E150" i="23"/>
  <c r="E151" i="23"/>
  <c r="F151" i="23" s="1"/>
  <c r="E152" i="23"/>
  <c r="E153" i="23"/>
  <c r="E154" i="23"/>
  <c r="F154" i="23" s="1"/>
  <c r="E155" i="23"/>
  <c r="F155" i="23" s="1"/>
  <c r="E156" i="23"/>
  <c r="E157" i="23"/>
  <c r="F157" i="23" s="1"/>
  <c r="G157" i="23" s="1"/>
  <c r="E158" i="23"/>
  <c r="F158" i="23" s="1"/>
  <c r="E159" i="23"/>
  <c r="E160" i="23"/>
  <c r="F160" i="23" s="1"/>
  <c r="E161" i="23"/>
  <c r="F161" i="23" s="1"/>
  <c r="E162" i="23"/>
  <c r="F162" i="23" s="1"/>
  <c r="E163" i="23"/>
  <c r="F163" i="23" s="1"/>
  <c r="E164" i="23"/>
  <c r="F164" i="23" s="1"/>
  <c r="G164" i="23" s="1"/>
  <c r="E165" i="23"/>
  <c r="E166" i="23"/>
  <c r="E167" i="23"/>
  <c r="E168" i="23"/>
  <c r="E169" i="23"/>
  <c r="E170" i="23"/>
  <c r="F170" i="23" s="1"/>
  <c r="E171" i="23"/>
  <c r="F171" i="23" s="1"/>
  <c r="E172" i="23"/>
  <c r="E173" i="23"/>
  <c r="E174" i="23"/>
  <c r="F174" i="23" s="1"/>
  <c r="E175" i="23"/>
  <c r="F175" i="23" s="1"/>
  <c r="E176" i="23"/>
  <c r="F176" i="23" s="1"/>
  <c r="E177" i="23"/>
  <c r="F177" i="23" s="1"/>
  <c r="E178" i="23"/>
  <c r="F178" i="23" s="1"/>
  <c r="G178" i="23" s="1"/>
  <c r="E179" i="23"/>
  <c r="F179" i="23" s="1"/>
  <c r="E180" i="23"/>
  <c r="E181" i="23"/>
  <c r="E182" i="23"/>
  <c r="F182" i="23" s="1"/>
  <c r="G182" i="23" s="1"/>
  <c r="E183" i="23"/>
  <c r="E184" i="23"/>
  <c r="E185" i="23"/>
  <c r="F185" i="23" s="1"/>
  <c r="E186" i="23"/>
  <c r="F186" i="23" s="1"/>
  <c r="G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E193" i="23"/>
  <c r="F193" i="23" s="1"/>
  <c r="E194" i="23"/>
  <c r="F194" i="23" s="1"/>
  <c r="E195" i="23"/>
  <c r="F195" i="23" s="1"/>
  <c r="E196" i="23"/>
  <c r="F196" i="23" s="1"/>
  <c r="E197" i="23"/>
  <c r="F197" i="23" s="1"/>
  <c r="G197" i="23" s="1"/>
  <c r="E198" i="23"/>
  <c r="F198" i="23" s="1"/>
  <c r="E199" i="23"/>
  <c r="F199" i="23" s="1"/>
  <c r="E200" i="23"/>
  <c r="E201" i="23"/>
  <c r="E202" i="23"/>
  <c r="E203" i="23"/>
  <c r="F203" i="23" s="1"/>
  <c r="E204" i="23"/>
  <c r="E205" i="23"/>
  <c r="E206" i="23"/>
  <c r="E207" i="23"/>
  <c r="E208" i="23"/>
  <c r="E209" i="23"/>
  <c r="E210" i="23"/>
  <c r="F210" i="23" s="1"/>
  <c r="G210" i="23" s="1"/>
  <c r="E211" i="23"/>
  <c r="F211" i="23" s="1"/>
  <c r="E212" i="23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G218" i="23" s="1"/>
  <c r="E219" i="23"/>
  <c r="F219" i="23" s="1"/>
  <c r="E220" i="23"/>
  <c r="E221" i="23"/>
  <c r="F221" i="23" s="1"/>
  <c r="E222" i="23"/>
  <c r="F222" i="23" s="1"/>
  <c r="E223" i="23"/>
  <c r="E224" i="23"/>
  <c r="F224" i="23" s="1"/>
  <c r="E225" i="23"/>
  <c r="F225" i="23" s="1"/>
  <c r="E226" i="23"/>
  <c r="F226" i="23" s="1"/>
  <c r="E139" i="23"/>
  <c r="F139" i="23" s="1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139" i="23"/>
  <c r="G245" i="23"/>
  <c r="H245" i="23"/>
  <c r="I245" i="23"/>
  <c r="J245" i="23"/>
  <c r="K245" i="23"/>
  <c r="L245" i="23"/>
  <c r="M245" i="23"/>
  <c r="N245" i="23"/>
  <c r="O245" i="23"/>
  <c r="P245" i="23"/>
  <c r="Q245" i="23"/>
  <c r="R245" i="23"/>
  <c r="S245" i="23"/>
  <c r="T245" i="23"/>
  <c r="U245" i="23"/>
  <c r="V245" i="23"/>
  <c r="W245" i="23"/>
  <c r="X245" i="23"/>
  <c r="Y245" i="23"/>
  <c r="Z245" i="23"/>
  <c r="G246" i="23"/>
  <c r="H246" i="23"/>
  <c r="I246" i="23"/>
  <c r="J246" i="23"/>
  <c r="K246" i="23"/>
  <c r="L246" i="23"/>
  <c r="M246" i="23"/>
  <c r="N246" i="23"/>
  <c r="O246" i="23"/>
  <c r="P246" i="23"/>
  <c r="Q246" i="23"/>
  <c r="R246" i="23"/>
  <c r="S246" i="23"/>
  <c r="T246" i="23"/>
  <c r="U246" i="23"/>
  <c r="V246" i="23"/>
  <c r="W246" i="23"/>
  <c r="X246" i="23"/>
  <c r="Y246" i="23"/>
  <c r="Z246" i="23"/>
  <c r="F246" i="23"/>
  <c r="B249" i="23"/>
  <c r="C245" i="23"/>
  <c r="F248" i="23"/>
  <c r="G248" i="23"/>
  <c r="H248" i="23"/>
  <c r="I248" i="23"/>
  <c r="J248" i="23"/>
  <c r="K248" i="23"/>
  <c r="L248" i="23"/>
  <c r="M248" i="23"/>
  <c r="N248" i="23"/>
  <c r="O248" i="23"/>
  <c r="P248" i="23"/>
  <c r="Q248" i="23"/>
  <c r="R248" i="23"/>
  <c r="S248" i="23"/>
  <c r="T248" i="23"/>
  <c r="U248" i="23"/>
  <c r="V248" i="23"/>
  <c r="W248" i="23"/>
  <c r="X248" i="23"/>
  <c r="Y248" i="23"/>
  <c r="Z248" i="23"/>
  <c r="E248" i="23"/>
  <c r="N137" i="3"/>
  <c r="N138" i="3"/>
  <c r="N139" i="3"/>
  <c r="N140" i="3"/>
  <c r="N136" i="3"/>
  <c r="O109" i="3"/>
  <c r="O110" i="3"/>
  <c r="O108" i="3"/>
  <c r="O107" i="3"/>
  <c r="O106" i="3"/>
  <c r="N108" i="3"/>
  <c r="N109" i="3"/>
  <c r="N110" i="3"/>
  <c r="N106" i="3"/>
  <c r="N107" i="3"/>
  <c r="P137" i="3"/>
  <c r="P138" i="3"/>
  <c r="P139" i="3"/>
  <c r="P140" i="3"/>
  <c r="P136" i="3"/>
  <c r="F103" i="5" a="1"/>
  <c r="F103" i="5" s="1"/>
  <c r="B101" i="21"/>
  <c r="B99" i="21"/>
  <c r="B98" i="21"/>
  <c r="B94" i="21"/>
  <c r="B93" i="21"/>
  <c r="B92" i="21"/>
  <c r="B90" i="21"/>
  <c r="B87" i="21"/>
  <c r="B85" i="21"/>
  <c r="B84" i="21"/>
  <c r="B83" i="21"/>
  <c r="B81" i="21"/>
  <c r="B80" i="21"/>
  <c r="B79" i="21"/>
  <c r="B78" i="21"/>
  <c r="B77" i="21"/>
  <c r="B76" i="21"/>
  <c r="B75" i="21"/>
  <c r="B69" i="21"/>
  <c r="B67" i="21"/>
  <c r="B66" i="21"/>
  <c r="B65" i="21"/>
  <c r="B64" i="21"/>
  <c r="B63" i="21"/>
  <c r="B62" i="21"/>
  <c r="B61" i="21"/>
  <c r="B59" i="21"/>
  <c r="B58" i="21"/>
  <c r="B54" i="21"/>
  <c r="B52" i="21"/>
  <c r="B47" i="21"/>
  <c r="B45" i="21"/>
  <c r="B44" i="21"/>
  <c r="B40" i="21"/>
  <c r="B39" i="21"/>
  <c r="B38" i="21"/>
  <c r="B37" i="21"/>
  <c r="B35" i="21"/>
  <c r="B34" i="21"/>
  <c r="B32" i="21"/>
  <c r="B31" i="21"/>
  <c r="B30" i="21"/>
  <c r="B29" i="21"/>
  <c r="B27" i="21"/>
  <c r="B26" i="21"/>
  <c r="B25" i="21"/>
  <c r="B24" i="21"/>
  <c r="B23" i="21"/>
  <c r="B22" i="21"/>
  <c r="B21" i="21"/>
  <c r="B18" i="21"/>
  <c r="B16" i="21"/>
  <c r="B15" i="21"/>
  <c r="B14" i="21"/>
  <c r="B9" i="21"/>
  <c r="B8" i="21"/>
  <c r="A8" i="21"/>
  <c r="B4" i="21"/>
  <c r="A4" i="21"/>
  <c r="A107" i="21"/>
  <c r="D107" i="21" s="1"/>
  <c r="O107" i="21"/>
  <c r="A108" i="21"/>
  <c r="D108" i="21" s="1"/>
  <c r="E108" i="21"/>
  <c r="O108" i="21"/>
  <c r="A109" i="21"/>
  <c r="L109" i="21" s="1"/>
  <c r="D109" i="21"/>
  <c r="H109" i="21"/>
  <c r="O109" i="21"/>
  <c r="A110" i="21"/>
  <c r="D110" i="21" s="1"/>
  <c r="C110" i="21"/>
  <c r="E110" i="21"/>
  <c r="L110" i="21"/>
  <c r="J110" i="21" s="1"/>
  <c r="O110" i="21"/>
  <c r="A111" i="21"/>
  <c r="D111" i="21" s="1"/>
  <c r="H111" i="21"/>
  <c r="O111" i="21"/>
  <c r="A112" i="21"/>
  <c r="D112" i="21" s="1"/>
  <c r="C112" i="21"/>
  <c r="E112" i="21"/>
  <c r="O112" i="21"/>
  <c r="A113" i="21"/>
  <c r="D113" i="21"/>
  <c r="O113" i="21"/>
  <c r="A114" i="21"/>
  <c r="C114" i="21"/>
  <c r="E114" i="21"/>
  <c r="H114" i="21"/>
  <c r="L114" i="21"/>
  <c r="J114" i="21" s="1"/>
  <c r="O114" i="21"/>
  <c r="A115" i="21"/>
  <c r="C115" i="21" s="1"/>
  <c r="O115" i="21"/>
  <c r="A116" i="21"/>
  <c r="L116" i="21" s="1"/>
  <c r="M116" i="21" s="1"/>
  <c r="C116" i="21"/>
  <c r="O116" i="21"/>
  <c r="A117" i="21"/>
  <c r="C117" i="21"/>
  <c r="E117" i="21"/>
  <c r="H117" i="21"/>
  <c r="L117" i="21"/>
  <c r="O117" i="21"/>
  <c r="A118" i="21"/>
  <c r="H118" i="21" s="1"/>
  <c r="D118" i="21"/>
  <c r="A119" i="21"/>
  <c r="C119" i="21"/>
  <c r="D119" i="21"/>
  <c r="E119" i="21"/>
  <c r="L119" i="21"/>
  <c r="J119" i="21" s="1"/>
  <c r="O119" i="21"/>
  <c r="A120" i="21"/>
  <c r="E120" i="21" s="1"/>
  <c r="D120" i="21"/>
  <c r="H120" i="21"/>
  <c r="L120" i="21"/>
  <c r="J120" i="21" s="1"/>
  <c r="O120" i="21"/>
  <c r="A121" i="21"/>
  <c r="C121" i="21" s="1"/>
  <c r="H121" i="21"/>
  <c r="L121" i="21"/>
  <c r="J121" i="21" s="1"/>
  <c r="O121" i="21"/>
  <c r="A122" i="21"/>
  <c r="C122" i="21" s="1"/>
  <c r="E122" i="21"/>
  <c r="O122" i="21"/>
  <c r="A123" i="21"/>
  <c r="C123" i="21"/>
  <c r="D123" i="21"/>
  <c r="E123" i="21"/>
  <c r="O123" i="21"/>
  <c r="A124" i="21"/>
  <c r="L124" i="21" s="1"/>
  <c r="M124" i="21" s="1"/>
  <c r="O124" i="21"/>
  <c r="A125" i="21"/>
  <c r="D125" i="21" s="1"/>
  <c r="C125" i="21"/>
  <c r="O125" i="21"/>
  <c r="A126" i="21"/>
  <c r="O126" i="21"/>
  <c r="A127" i="21"/>
  <c r="C127" i="21"/>
  <c r="O127" i="21"/>
  <c r="A128" i="21"/>
  <c r="E128" i="21" s="1"/>
  <c r="D128" i="21"/>
  <c r="O128" i="21"/>
  <c r="A129" i="21"/>
  <c r="L129" i="21" s="1"/>
  <c r="C129" i="21"/>
  <c r="O129" i="21"/>
  <c r="A130" i="21"/>
  <c r="C130" i="21" s="1"/>
  <c r="O130" i="21"/>
  <c r="A131" i="21"/>
  <c r="O131" i="21"/>
  <c r="A132" i="21"/>
  <c r="C132" i="21" s="1"/>
  <c r="D132" i="21"/>
  <c r="E132" i="21"/>
  <c r="H132" i="21"/>
  <c r="O132" i="21"/>
  <c r="A133" i="21"/>
  <c r="H133" i="21"/>
  <c r="O133" i="21"/>
  <c r="A134" i="21"/>
  <c r="L134" i="21" s="1"/>
  <c r="J134" i="21" s="1"/>
  <c r="C134" i="21"/>
  <c r="D134" i="21"/>
  <c r="E134" i="21"/>
  <c r="O134" i="21"/>
  <c r="A135" i="21"/>
  <c r="C135" i="21" s="1"/>
  <c r="O135" i="21"/>
  <c r="A136" i="21"/>
  <c r="O136" i="21"/>
  <c r="A137" i="21"/>
  <c r="C137" i="21" s="1"/>
  <c r="O137" i="21"/>
  <c r="A138" i="21"/>
  <c r="H138" i="21" s="1"/>
  <c r="D138" i="21"/>
  <c r="E138" i="21"/>
  <c r="O138" i="21"/>
  <c r="A139" i="21"/>
  <c r="C139" i="21" s="1"/>
  <c r="D139" i="21"/>
  <c r="E139" i="21"/>
  <c r="H139" i="21"/>
  <c r="L139" i="21"/>
  <c r="J139" i="21" s="1"/>
  <c r="O139" i="21"/>
  <c r="A140" i="21"/>
  <c r="H140" i="21" s="1"/>
  <c r="D140" i="21"/>
  <c r="E140" i="21"/>
  <c r="O140" i="21"/>
  <c r="A141" i="21"/>
  <c r="C141" i="21" s="1"/>
  <c r="E141" i="21"/>
  <c r="O141" i="21"/>
  <c r="A142" i="21"/>
  <c r="H142" i="21" s="1"/>
  <c r="L142" i="21"/>
  <c r="J142" i="21" s="1"/>
  <c r="O142" i="21"/>
  <c r="A143" i="21"/>
  <c r="C143" i="21" s="1"/>
  <c r="D143" i="21"/>
  <c r="O143" i="21"/>
  <c r="A144" i="21"/>
  <c r="E144" i="21" s="1"/>
  <c r="C144" i="21"/>
  <c r="D144" i="21"/>
  <c r="H144" i="21"/>
  <c r="O144" i="21"/>
  <c r="A145" i="21"/>
  <c r="O145" i="21"/>
  <c r="A146" i="21"/>
  <c r="D146" i="21" s="1"/>
  <c r="O146" i="21"/>
  <c r="A147" i="21"/>
  <c r="L147" i="21" s="1"/>
  <c r="E147" i="21"/>
  <c r="H147" i="21"/>
  <c r="O147" i="21"/>
  <c r="A148" i="21"/>
  <c r="C148" i="21" s="1"/>
  <c r="O148" i="21"/>
  <c r="A149" i="21"/>
  <c r="H149" i="21" s="1"/>
  <c r="C149" i="21"/>
  <c r="D149" i="21"/>
  <c r="O149" i="21"/>
  <c r="A150" i="21"/>
  <c r="E150" i="21" s="1"/>
  <c r="D150" i="21"/>
  <c r="O150" i="21"/>
  <c r="A151" i="21"/>
  <c r="C151" i="21" s="1"/>
  <c r="D151" i="21"/>
  <c r="O151" i="21"/>
  <c r="A152" i="21"/>
  <c r="L152" i="21"/>
  <c r="J152" i="21" s="1"/>
  <c r="O152" i="21"/>
  <c r="A153" i="21"/>
  <c r="E153" i="21" s="1"/>
  <c r="C153" i="21"/>
  <c r="O153" i="21"/>
  <c r="A154" i="21"/>
  <c r="D154" i="21"/>
  <c r="E154" i="21"/>
  <c r="L154" i="21"/>
  <c r="J154" i="21" s="1"/>
  <c r="O154" i="21"/>
  <c r="A155" i="21"/>
  <c r="L155" i="21" s="1"/>
  <c r="E155" i="21"/>
  <c r="H155" i="21"/>
  <c r="O155" i="21"/>
  <c r="A156" i="21"/>
  <c r="D156" i="21" s="1"/>
  <c r="H156" i="21"/>
  <c r="L156" i="21"/>
  <c r="M156" i="21" s="1"/>
  <c r="O156" i="21"/>
  <c r="A157" i="21"/>
  <c r="O157" i="21"/>
  <c r="A158" i="21"/>
  <c r="C158" i="21" s="1"/>
  <c r="O158" i="21"/>
  <c r="A159" i="21"/>
  <c r="L159" i="21" s="1"/>
  <c r="C159" i="21"/>
  <c r="O159" i="21"/>
  <c r="A160" i="21"/>
  <c r="C160" i="21"/>
  <c r="O160" i="21"/>
  <c r="A161" i="21"/>
  <c r="C161" i="21" s="1"/>
  <c r="H161" i="21"/>
  <c r="O161" i="21"/>
  <c r="A162" i="21"/>
  <c r="L162" i="21"/>
  <c r="J162" i="21" s="1"/>
  <c r="O162" i="21"/>
  <c r="A163" i="21"/>
  <c r="D163" i="21" s="1"/>
  <c r="C163" i="21"/>
  <c r="O163" i="21"/>
  <c r="A164" i="21"/>
  <c r="C164" i="21" s="1"/>
  <c r="L164" i="21"/>
  <c r="M164" i="21" s="1"/>
  <c r="O164" i="21"/>
  <c r="A165" i="21"/>
  <c r="D165" i="21"/>
  <c r="E165" i="21"/>
  <c r="H165" i="21"/>
  <c r="O165" i="21"/>
  <c r="A166" i="21"/>
  <c r="C166" i="21" s="1"/>
  <c r="D166" i="21"/>
  <c r="E166" i="21"/>
  <c r="H166" i="21"/>
  <c r="L166" i="21"/>
  <c r="J166" i="21" s="1"/>
  <c r="O166" i="21"/>
  <c r="A167" i="21"/>
  <c r="O167" i="21"/>
  <c r="A168" i="21"/>
  <c r="D168" i="21"/>
  <c r="O168" i="21"/>
  <c r="A169" i="21"/>
  <c r="L169" i="21" s="1"/>
  <c r="E169" i="21"/>
  <c r="H169" i="21"/>
  <c r="O169" i="21"/>
  <c r="A170" i="21"/>
  <c r="L170" i="21" s="1"/>
  <c r="M170" i="21" s="1"/>
  <c r="E170" i="21"/>
  <c r="H170" i="21"/>
  <c r="O170" i="21"/>
  <c r="A171" i="21"/>
  <c r="C171" i="21"/>
  <c r="D171" i="21"/>
  <c r="L171" i="21"/>
  <c r="J171" i="21" s="1"/>
  <c r="O171" i="21"/>
  <c r="A172" i="21"/>
  <c r="C172" i="21"/>
  <c r="D172" i="21"/>
  <c r="L172" i="21"/>
  <c r="M172" i="21" s="1"/>
  <c r="O172" i="21"/>
  <c r="A173" i="21"/>
  <c r="C173" i="21"/>
  <c r="D173" i="21"/>
  <c r="E173" i="21"/>
  <c r="O173" i="21"/>
  <c r="A174" i="21"/>
  <c r="L174" i="21" s="1"/>
  <c r="O174" i="21"/>
  <c r="A175" i="21"/>
  <c r="E175" i="21" s="1"/>
  <c r="O175" i="21"/>
  <c r="A176" i="21"/>
  <c r="O176" i="21"/>
  <c r="A177" i="21"/>
  <c r="E177" i="21" s="1"/>
  <c r="C177" i="21"/>
  <c r="D177" i="21"/>
  <c r="L177" i="21"/>
  <c r="M177" i="21" s="1"/>
  <c r="O177" i="21"/>
  <c r="A178" i="21"/>
  <c r="E178" i="21" s="1"/>
  <c r="C178" i="21"/>
  <c r="D178" i="21"/>
  <c r="O178" i="21"/>
  <c r="A179" i="21"/>
  <c r="H179" i="21" s="1"/>
  <c r="C179" i="21"/>
  <c r="E179" i="21"/>
  <c r="O179" i="21"/>
  <c r="A180" i="21"/>
  <c r="C180" i="21" s="1"/>
  <c r="L180" i="21"/>
  <c r="M180" i="21" s="1"/>
  <c r="O180" i="21"/>
  <c r="A181" i="21"/>
  <c r="O181" i="21"/>
  <c r="A182" i="21"/>
  <c r="C182" i="21"/>
  <c r="O182" i="21"/>
  <c r="A183" i="21"/>
  <c r="C183" i="21" s="1"/>
  <c r="O183" i="21"/>
  <c r="A184" i="21"/>
  <c r="C184" i="21"/>
  <c r="O184" i="21"/>
  <c r="A185" i="21"/>
  <c r="C185" i="21"/>
  <c r="O185" i="21"/>
  <c r="A186" i="21"/>
  <c r="C186" i="21"/>
  <c r="O186" i="21"/>
  <c r="A187" i="21"/>
  <c r="C187" i="21"/>
  <c r="O187" i="21"/>
  <c r="A188" i="21"/>
  <c r="D188" i="21"/>
  <c r="O188" i="21"/>
  <c r="A189" i="21"/>
  <c r="C189" i="21"/>
  <c r="D189" i="21"/>
  <c r="E189" i="21"/>
  <c r="H189" i="21"/>
  <c r="L189" i="21"/>
  <c r="J189" i="21" s="1"/>
  <c r="O189" i="21"/>
  <c r="A190" i="21"/>
  <c r="E190" i="21"/>
  <c r="L190" i="21"/>
  <c r="O190" i="21"/>
  <c r="A191" i="21"/>
  <c r="E191" i="21"/>
  <c r="O191" i="21"/>
  <c r="A192" i="21"/>
  <c r="E192" i="21"/>
  <c r="O192" i="21"/>
  <c r="A193" i="21"/>
  <c r="E193" i="21"/>
  <c r="O193" i="21"/>
  <c r="A194" i="21"/>
  <c r="H194" i="21"/>
  <c r="O194" i="21"/>
  <c r="A195" i="21"/>
  <c r="H195" i="21"/>
  <c r="O195" i="21"/>
  <c r="A196" i="21"/>
  <c r="H196" i="21" s="1"/>
  <c r="O196" i="21"/>
  <c r="A197" i="21"/>
  <c r="E197" i="21"/>
  <c r="H197" i="21"/>
  <c r="L197" i="21"/>
  <c r="J197" i="21" s="1"/>
  <c r="O197" i="21"/>
  <c r="A198" i="21"/>
  <c r="O198" i="21"/>
  <c r="A199" i="21"/>
  <c r="C199" i="21" s="1"/>
  <c r="H199" i="21"/>
  <c r="L199" i="21"/>
  <c r="J199" i="21" s="1"/>
  <c r="O199" i="21"/>
  <c r="A200" i="21"/>
  <c r="L200" i="21"/>
  <c r="M200" i="21" s="1"/>
  <c r="O200" i="21"/>
  <c r="A201" i="21"/>
  <c r="H201" i="21" s="1"/>
  <c r="O201" i="21"/>
  <c r="A202" i="21"/>
  <c r="O202" i="21"/>
  <c r="A203" i="21"/>
  <c r="D203" i="21" s="1"/>
  <c r="C203" i="21"/>
  <c r="O203" i="21"/>
  <c r="A204" i="21"/>
  <c r="D204" i="21" s="1"/>
  <c r="O204" i="21"/>
  <c r="A205" i="21"/>
  <c r="H205" i="21" s="1"/>
  <c r="O205" i="21"/>
  <c r="A206" i="21"/>
  <c r="E206" i="21"/>
  <c r="A207" i="21"/>
  <c r="D207" i="21" s="1"/>
  <c r="A208" i="21"/>
  <c r="C208" i="21"/>
  <c r="A210" i="21"/>
  <c r="C210" i="21" s="1"/>
  <c r="O210" i="21"/>
  <c r="A211" i="21"/>
  <c r="E211" i="21" s="1"/>
  <c r="O211" i="21"/>
  <c r="A212" i="21"/>
  <c r="O212" i="21"/>
  <c r="A213" i="21"/>
  <c r="C213" i="21" s="1"/>
  <c r="O213" i="21"/>
  <c r="A214" i="21"/>
  <c r="H214" i="21" s="1"/>
  <c r="O214" i="21"/>
  <c r="E171" i="11"/>
  <c r="E170" i="11"/>
  <c r="E169" i="11"/>
  <c r="E168" i="11"/>
  <c r="E167" i="11"/>
  <c r="E166" i="11"/>
  <c r="E165" i="11"/>
  <c r="S200" i="3"/>
  <c r="Z200" i="3" s="1"/>
  <c r="S201" i="3"/>
  <c r="Z201" i="3" s="1"/>
  <c r="S202" i="3"/>
  <c r="Z202" i="3" s="1"/>
  <c r="S203" i="3"/>
  <c r="Z203" i="3" s="1"/>
  <c r="S204" i="3"/>
  <c r="Z204" i="3" s="1"/>
  <c r="S205" i="3"/>
  <c r="Z205" i="3" s="1"/>
  <c r="S206" i="3"/>
  <c r="Z206" i="3" s="1"/>
  <c r="S207" i="3"/>
  <c r="Z207" i="3" s="1"/>
  <c r="S208" i="3"/>
  <c r="Z208" i="3" s="1"/>
  <c r="S209" i="3"/>
  <c r="Z209" i="3" s="1"/>
  <c r="S210" i="3"/>
  <c r="Z210" i="3" s="1"/>
  <c r="S211" i="3"/>
  <c r="Z211" i="3" s="1"/>
  <c r="S212" i="3"/>
  <c r="Z212" i="3" s="1"/>
  <c r="S213" i="3"/>
  <c r="Z213" i="3" s="1"/>
  <c r="S214" i="3"/>
  <c r="Z214" i="3" s="1"/>
  <c r="S215" i="3"/>
  <c r="Z215" i="3" s="1"/>
  <c r="S216" i="3"/>
  <c r="Z216" i="3" s="1"/>
  <c r="S217" i="3"/>
  <c r="Z217" i="3" s="1"/>
  <c r="S218" i="3"/>
  <c r="Z218" i="3" s="1"/>
  <c r="S219" i="3"/>
  <c r="Z219" i="3" s="1"/>
  <c r="S220" i="3"/>
  <c r="Z220" i="3" s="1"/>
  <c r="S221" i="3"/>
  <c r="S222" i="3"/>
  <c r="Z222" i="3" s="1"/>
  <c r="S223" i="3"/>
  <c r="Z223" i="3" s="1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199" i="3"/>
  <c r="Z199" i="3" s="1"/>
  <c r="T151" i="3"/>
  <c r="E67" i="15"/>
  <c r="E68" i="15"/>
  <c r="E69" i="15"/>
  <c r="E70" i="15"/>
  <c r="E71" i="15"/>
  <c r="E72" i="15"/>
  <c r="E73" i="15"/>
  <c r="E74" i="15"/>
  <c r="E75" i="15"/>
  <c r="E76" i="15"/>
  <c r="E77" i="15"/>
  <c r="E78" i="15"/>
  <c r="A81" i="21"/>
  <c r="L81" i="21" s="1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221" i="3"/>
  <c r="A105" i="21"/>
  <c r="A104" i="21"/>
  <c r="A103" i="21"/>
  <c r="A102" i="21"/>
  <c r="A101" i="21"/>
  <c r="A100" i="21"/>
  <c r="L100" i="21" s="1"/>
  <c r="A99" i="21"/>
  <c r="L99" i="21" s="1"/>
  <c r="A98" i="21"/>
  <c r="L98" i="21" s="1"/>
  <c r="A97" i="21"/>
  <c r="A96" i="21"/>
  <c r="L96" i="21" s="1"/>
  <c r="A95" i="21"/>
  <c r="L95" i="21" s="1"/>
  <c r="A94" i="21"/>
  <c r="A93" i="21"/>
  <c r="L93" i="21" s="1"/>
  <c r="A92" i="21"/>
  <c r="L92" i="21" s="1"/>
  <c r="A91" i="21"/>
  <c r="L91" i="21" s="1"/>
  <c r="A90" i="21"/>
  <c r="A89" i="21"/>
  <c r="L89" i="21" s="1"/>
  <c r="A88" i="21"/>
  <c r="L88" i="21" s="1"/>
  <c r="A87" i="21"/>
  <c r="L87" i="21" s="1"/>
  <c r="A86" i="21"/>
  <c r="L86" i="21" s="1"/>
  <c r="A85" i="21"/>
  <c r="A84" i="21"/>
  <c r="A83" i="21"/>
  <c r="A82" i="21"/>
  <c r="A80" i="21"/>
  <c r="A79" i="21"/>
  <c r="L79" i="21" s="1"/>
  <c r="A78" i="21"/>
  <c r="L78" i="21" s="1"/>
  <c r="A77" i="21"/>
  <c r="A76" i="21"/>
  <c r="A75" i="21"/>
  <c r="L75" i="21" s="1"/>
  <c r="A74" i="21"/>
  <c r="L74" i="21" s="1"/>
  <c r="A73" i="21"/>
  <c r="A72" i="21"/>
  <c r="L72" i="21" s="1"/>
  <c r="A71" i="21"/>
  <c r="L71" i="21" s="1"/>
  <c r="A70" i="21"/>
  <c r="L70" i="21" s="1"/>
  <c r="A69" i="21"/>
  <c r="A68" i="21"/>
  <c r="L68" i="21" s="1"/>
  <c r="A67" i="21"/>
  <c r="A66" i="21"/>
  <c r="L66" i="21" s="1"/>
  <c r="A65" i="21"/>
  <c r="A64" i="21"/>
  <c r="L64" i="21" s="1"/>
  <c r="A63" i="21"/>
  <c r="A62" i="21"/>
  <c r="L62" i="21" s="1"/>
  <c r="A61" i="21"/>
  <c r="A60" i="21"/>
  <c r="A59" i="21"/>
  <c r="L59" i="21" s="1"/>
  <c r="A58" i="21"/>
  <c r="A57" i="21"/>
  <c r="A56" i="21"/>
  <c r="L56" i="21" s="1"/>
  <c r="A55" i="21"/>
  <c r="A54" i="21"/>
  <c r="L54" i="21" s="1"/>
  <c r="A53" i="21"/>
  <c r="L53" i="21" s="1"/>
  <c r="A52" i="21"/>
  <c r="L52" i="21" s="1"/>
  <c r="A51" i="21"/>
  <c r="L51" i="21" s="1"/>
  <c r="A50" i="21"/>
  <c r="L50" i="21" s="1"/>
  <c r="A49" i="21"/>
  <c r="A48" i="21"/>
  <c r="L48" i="21" s="1"/>
  <c r="A47" i="21"/>
  <c r="A46" i="21"/>
  <c r="L46" i="21" s="1"/>
  <c r="A45" i="21"/>
  <c r="A44" i="21"/>
  <c r="A43" i="21"/>
  <c r="L43" i="21" s="1"/>
  <c r="A42" i="21"/>
  <c r="A41" i="21"/>
  <c r="L41" i="21" s="1"/>
  <c r="A40" i="21"/>
  <c r="L40" i="21" s="1"/>
  <c r="A39" i="21"/>
  <c r="A38" i="21"/>
  <c r="L38" i="21" s="1"/>
  <c r="A37" i="21"/>
  <c r="L37" i="21" s="1"/>
  <c r="A36" i="21"/>
  <c r="L36" i="21" s="1"/>
  <c r="A35" i="21"/>
  <c r="L35" i="21" s="1"/>
  <c r="A34" i="21"/>
  <c r="A33" i="21"/>
  <c r="L33" i="21" s="1"/>
  <c r="A32" i="21"/>
  <c r="L32" i="21" s="1"/>
  <c r="A31" i="21"/>
  <c r="A30" i="21"/>
  <c r="L30" i="21" s="1"/>
  <c r="A29" i="21"/>
  <c r="L29" i="21" s="1"/>
  <c r="A28" i="21"/>
  <c r="L28" i="21" s="1"/>
  <c r="A27" i="21"/>
  <c r="A26" i="21"/>
  <c r="L26" i="21" s="1"/>
  <c r="A25" i="21"/>
  <c r="A24" i="21"/>
  <c r="L24" i="21" s="1"/>
  <c r="A23" i="21"/>
  <c r="A22" i="21"/>
  <c r="L22" i="21" s="1"/>
  <c r="A21" i="21"/>
  <c r="L21" i="21" s="1"/>
  <c r="A20" i="21"/>
  <c r="L20" i="21" s="1"/>
  <c r="A19" i="21"/>
  <c r="L19" i="21" s="1"/>
  <c r="A18" i="21"/>
  <c r="L18" i="21" s="1"/>
  <c r="A17" i="21"/>
  <c r="A16" i="21"/>
  <c r="L16" i="21" s="1"/>
  <c r="A15" i="21"/>
  <c r="L15" i="21" s="1"/>
  <c r="A14" i="21"/>
  <c r="L14" i="21" s="1"/>
  <c r="A13" i="21"/>
  <c r="L13" i="21" s="1"/>
  <c r="A12" i="21"/>
  <c r="L12" i="21" s="1"/>
  <c r="A11" i="21"/>
  <c r="L11" i="21" s="1"/>
  <c r="A10" i="21"/>
  <c r="L10" i="21" s="1"/>
  <c r="A9" i="21"/>
  <c r="L9" i="21" s="1"/>
  <c r="L8" i="21"/>
  <c r="A7" i="21"/>
  <c r="L7" i="21" s="1"/>
  <c r="A6" i="21"/>
  <c r="L6" i="21" s="1"/>
  <c r="A5" i="21"/>
  <c r="L5" i="21" s="1"/>
  <c r="C1" i="21"/>
  <c r="F102" i="12"/>
  <c r="G102" i="12"/>
  <c r="H102" i="12"/>
  <c r="I102" i="12"/>
  <c r="J102" i="12"/>
  <c r="F100" i="12"/>
  <c r="G100" i="12"/>
  <c r="H100" i="12"/>
  <c r="I100" i="12"/>
  <c r="J100" i="12"/>
  <c r="F82" i="12"/>
  <c r="G82" i="12"/>
  <c r="H82" i="12"/>
  <c r="I82" i="12"/>
  <c r="J82" i="12"/>
  <c r="F95" i="12"/>
  <c r="G95" i="12"/>
  <c r="H95" i="12"/>
  <c r="I95" i="12"/>
  <c r="J95" i="12"/>
  <c r="F96" i="12"/>
  <c r="G96" i="12"/>
  <c r="H96" i="12"/>
  <c r="I96" i="12"/>
  <c r="J96" i="12"/>
  <c r="F81" i="12"/>
  <c r="G81" i="12"/>
  <c r="H81" i="12"/>
  <c r="I81" i="12"/>
  <c r="J81" i="12"/>
  <c r="F104" i="12"/>
  <c r="G104" i="12"/>
  <c r="H104" i="12"/>
  <c r="I104" i="12"/>
  <c r="J104" i="12"/>
  <c r="F92" i="12"/>
  <c r="G92" i="12"/>
  <c r="H92" i="12"/>
  <c r="I92" i="12"/>
  <c r="J92" i="12"/>
  <c r="F83" i="12"/>
  <c r="G83" i="12"/>
  <c r="H83" i="12"/>
  <c r="I83" i="12"/>
  <c r="J83" i="12"/>
  <c r="F103" i="12"/>
  <c r="G103" i="12"/>
  <c r="H103" i="12"/>
  <c r="I103" i="12"/>
  <c r="J103" i="12"/>
  <c r="F101" i="12"/>
  <c r="G101" i="12"/>
  <c r="H101" i="12"/>
  <c r="I101" i="12"/>
  <c r="J101" i="12"/>
  <c r="F93" i="12"/>
  <c r="G93" i="12"/>
  <c r="H93" i="12"/>
  <c r="I93" i="12"/>
  <c r="J93" i="12"/>
  <c r="F84" i="12"/>
  <c r="G84" i="12"/>
  <c r="H84" i="12"/>
  <c r="I84" i="12"/>
  <c r="J84" i="12"/>
  <c r="F85" i="12"/>
  <c r="G85" i="12"/>
  <c r="H85" i="12"/>
  <c r="I85" i="12"/>
  <c r="J85" i="12"/>
  <c r="F105" i="12"/>
  <c r="G105" i="12"/>
  <c r="H105" i="12"/>
  <c r="I105" i="12"/>
  <c r="J105" i="12"/>
  <c r="F94" i="12"/>
  <c r="G94" i="12"/>
  <c r="H94" i="12"/>
  <c r="I94" i="12"/>
  <c r="J94" i="12"/>
  <c r="F86" i="12"/>
  <c r="G86" i="12"/>
  <c r="H86" i="12"/>
  <c r="I86" i="12"/>
  <c r="J86" i="12"/>
  <c r="F87" i="12"/>
  <c r="G87" i="12"/>
  <c r="H87" i="12"/>
  <c r="I87" i="12"/>
  <c r="J87" i="12"/>
  <c r="F88" i="12"/>
  <c r="G88" i="12"/>
  <c r="H88" i="12"/>
  <c r="I88" i="12"/>
  <c r="J88" i="12"/>
  <c r="F89" i="12"/>
  <c r="G89" i="12"/>
  <c r="H89" i="12"/>
  <c r="I89" i="12"/>
  <c r="J89" i="12"/>
  <c r="F106" i="12"/>
  <c r="G106" i="12"/>
  <c r="H106" i="12"/>
  <c r="I106" i="12"/>
  <c r="J106" i="12"/>
  <c r="F107" i="12"/>
  <c r="G107" i="12"/>
  <c r="H107" i="12"/>
  <c r="I107" i="12"/>
  <c r="J107" i="12"/>
  <c r="F108" i="12"/>
  <c r="G108" i="12"/>
  <c r="H108" i="12"/>
  <c r="I108" i="12"/>
  <c r="J108" i="12"/>
  <c r="F109" i="12"/>
  <c r="G109" i="12"/>
  <c r="H109" i="12"/>
  <c r="I109" i="12"/>
  <c r="J109" i="12"/>
  <c r="F110" i="12"/>
  <c r="G110" i="12"/>
  <c r="H110" i="12"/>
  <c r="I110" i="12"/>
  <c r="J110" i="12"/>
  <c r="F111" i="12"/>
  <c r="G111" i="12"/>
  <c r="H111" i="12"/>
  <c r="I111" i="12"/>
  <c r="J111" i="12"/>
  <c r="F112" i="12"/>
  <c r="G112" i="12"/>
  <c r="H112" i="12"/>
  <c r="I112" i="12"/>
  <c r="J112" i="12"/>
  <c r="F113" i="12"/>
  <c r="G113" i="12"/>
  <c r="H113" i="12"/>
  <c r="I113" i="12"/>
  <c r="J113" i="12"/>
  <c r="F114" i="12"/>
  <c r="G114" i="12"/>
  <c r="H114" i="12"/>
  <c r="I114" i="12"/>
  <c r="J114" i="12"/>
  <c r="F115" i="12"/>
  <c r="G115" i="12"/>
  <c r="H115" i="12"/>
  <c r="I115" i="12"/>
  <c r="J115" i="12"/>
  <c r="F116" i="12"/>
  <c r="G116" i="12"/>
  <c r="H116" i="12"/>
  <c r="I116" i="12"/>
  <c r="J116" i="12"/>
  <c r="F117" i="12"/>
  <c r="G117" i="12"/>
  <c r="H117" i="12"/>
  <c r="I117" i="12"/>
  <c r="J117" i="12"/>
  <c r="F118" i="12"/>
  <c r="G118" i="12"/>
  <c r="H118" i="12"/>
  <c r="I118" i="12"/>
  <c r="J118" i="12"/>
  <c r="F119" i="12"/>
  <c r="G119" i="12"/>
  <c r="H119" i="12"/>
  <c r="I119" i="12"/>
  <c r="J119" i="12"/>
  <c r="G91" i="12"/>
  <c r="H91" i="12"/>
  <c r="I91" i="12"/>
  <c r="J91" i="12"/>
  <c r="F41" i="15"/>
  <c r="U190" i="3"/>
  <c r="V190" i="3" s="1"/>
  <c r="U191" i="3"/>
  <c r="V191" i="3" s="1"/>
  <c r="U192" i="3"/>
  <c r="V192" i="3" s="1"/>
  <c r="U193" i="3"/>
  <c r="V193" i="3" s="1"/>
  <c r="U194" i="3"/>
  <c r="V194" i="3" s="1"/>
  <c r="U195" i="3"/>
  <c r="U196" i="3"/>
  <c r="V196" i="3" s="1"/>
  <c r="U197" i="3"/>
  <c r="V197" i="3" s="1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V204" i="3" s="1"/>
  <c r="U205" i="3"/>
  <c r="V205" i="3" s="1"/>
  <c r="U206" i="3"/>
  <c r="V206" i="3" s="1"/>
  <c r="U207" i="3"/>
  <c r="V207" i="3" s="1"/>
  <c r="U208" i="3"/>
  <c r="U209" i="3"/>
  <c r="V209" i="3" s="1"/>
  <c r="U210" i="3"/>
  <c r="V210" i="3" s="1"/>
  <c r="U211" i="3"/>
  <c r="V211" i="3" s="1"/>
  <c r="U212" i="3"/>
  <c r="U213" i="3"/>
  <c r="V213" i="3" s="1"/>
  <c r="U214" i="3"/>
  <c r="V214" i="3" s="1"/>
  <c r="U215" i="3"/>
  <c r="V215" i="3" s="1"/>
  <c r="U216" i="3"/>
  <c r="U217" i="3"/>
  <c r="V217" i="3" s="1"/>
  <c r="U218" i="3"/>
  <c r="V218" i="3" s="1"/>
  <c r="U219" i="3"/>
  <c r="V219" i="3" s="1"/>
  <c r="U220" i="3"/>
  <c r="U221" i="3"/>
  <c r="U222" i="3"/>
  <c r="V222" i="3" s="1"/>
  <c r="U223" i="3"/>
  <c r="V223" i="3" s="1"/>
  <c r="U224" i="3"/>
  <c r="V224" i="3" s="1"/>
  <c r="U225" i="3"/>
  <c r="V225" i="3" s="1"/>
  <c r="U226" i="3"/>
  <c r="V226" i="3" s="1"/>
  <c r="U227" i="3"/>
  <c r="V227" i="3" s="1"/>
  <c r="U228" i="3"/>
  <c r="V228" i="3" s="1"/>
  <c r="U229" i="3"/>
  <c r="U230" i="3"/>
  <c r="V230" i="3" s="1"/>
  <c r="U153" i="3"/>
  <c r="U154" i="3"/>
  <c r="U155" i="3"/>
  <c r="V155" i="3" s="1"/>
  <c r="U156" i="3"/>
  <c r="U157" i="3"/>
  <c r="V157" i="3" s="1"/>
  <c r="U158" i="3"/>
  <c r="V158" i="3" s="1"/>
  <c r="U159" i="3"/>
  <c r="U160" i="3"/>
  <c r="U161" i="3"/>
  <c r="V161" i="3" s="1"/>
  <c r="U162" i="3"/>
  <c r="U163" i="3"/>
  <c r="V163" i="3" s="1"/>
  <c r="U164" i="3"/>
  <c r="V164" i="3" s="1"/>
  <c r="U165" i="3"/>
  <c r="V165" i="3" s="1"/>
  <c r="U166" i="3"/>
  <c r="U167" i="3"/>
  <c r="U168" i="3"/>
  <c r="V168" i="3" s="1"/>
  <c r="U169" i="3"/>
  <c r="V169" i="3" s="1"/>
  <c r="U170" i="3"/>
  <c r="U171" i="3"/>
  <c r="V171" i="3" s="1"/>
  <c r="U172" i="3"/>
  <c r="V172" i="3" s="1"/>
  <c r="U173" i="3"/>
  <c r="V173" i="3" s="1"/>
  <c r="U174" i="3"/>
  <c r="V174" i="3" s="1"/>
  <c r="U175" i="3"/>
  <c r="V175" i="3" s="1"/>
  <c r="U176" i="3"/>
  <c r="V176" i="3" s="1"/>
  <c r="U177" i="3"/>
  <c r="V177" i="3" s="1"/>
  <c r="U178" i="3"/>
  <c r="V178" i="3" s="1"/>
  <c r="U179" i="3"/>
  <c r="V179" i="3" s="1"/>
  <c r="U180" i="3"/>
  <c r="V180" i="3" s="1"/>
  <c r="U181" i="3"/>
  <c r="V181" i="3" s="1"/>
  <c r="U182" i="3"/>
  <c r="U183" i="3"/>
  <c r="V183" i="3" s="1"/>
  <c r="U184" i="3"/>
  <c r="V184" i="3" s="1"/>
  <c r="U185" i="3"/>
  <c r="V185" i="3" s="1"/>
  <c r="U186" i="3"/>
  <c r="V186" i="3" s="1"/>
  <c r="U187" i="3"/>
  <c r="V187" i="3" s="1"/>
  <c r="U188" i="3"/>
  <c r="V188" i="3" s="1"/>
  <c r="U189" i="3"/>
  <c r="V189" i="3" s="1"/>
  <c r="U152" i="3"/>
  <c r="T150" i="3"/>
  <c r="T148" i="3"/>
  <c r="G28" i="12"/>
  <c r="H28" i="12"/>
  <c r="I28" i="12"/>
  <c r="J28" i="12"/>
  <c r="G38" i="12"/>
  <c r="H38" i="12"/>
  <c r="I38" i="12"/>
  <c r="J38" i="12"/>
  <c r="G42" i="12"/>
  <c r="H42" i="12"/>
  <c r="I42" i="12"/>
  <c r="J42" i="12"/>
  <c r="G90" i="12"/>
  <c r="H90" i="12"/>
  <c r="I90" i="12"/>
  <c r="J90" i="12"/>
  <c r="G97" i="12"/>
  <c r="H97" i="12"/>
  <c r="I97" i="12"/>
  <c r="J97" i="12"/>
  <c r="G98" i="12"/>
  <c r="H98" i="12"/>
  <c r="I98" i="12"/>
  <c r="J98" i="12"/>
  <c r="G44" i="12"/>
  <c r="H44" i="12"/>
  <c r="I44" i="12"/>
  <c r="J44" i="12"/>
  <c r="G99" i="12"/>
  <c r="H99" i="12"/>
  <c r="I99" i="12"/>
  <c r="J99" i="12"/>
  <c r="F28" i="12"/>
  <c r="F38" i="12"/>
  <c r="F42" i="12"/>
  <c r="F90" i="12"/>
  <c r="F97" i="12"/>
  <c r="F98" i="12"/>
  <c r="F44" i="12"/>
  <c r="F99" i="12"/>
  <c r="F91" i="12"/>
  <c r="F33" i="12"/>
  <c r="G33" i="12"/>
  <c r="H33" i="12"/>
  <c r="I33" i="12"/>
  <c r="J33" i="12"/>
  <c r="F61" i="12"/>
  <c r="W151" i="3"/>
  <c r="V151" i="3"/>
  <c r="T136" i="3"/>
  <c r="W135" i="3"/>
  <c r="U135" i="3"/>
  <c r="V135" i="3" s="1"/>
  <c r="T135" i="3"/>
  <c r="J8" i="4"/>
  <c r="J15" i="4"/>
  <c r="J16" i="4"/>
  <c r="J17" i="4"/>
  <c r="J18" i="4"/>
  <c r="J19" i="4"/>
  <c r="J21" i="4"/>
  <c r="J22" i="4"/>
  <c r="J23" i="4"/>
  <c r="J24" i="4"/>
  <c r="U136" i="3"/>
  <c r="V136" i="3" s="1"/>
  <c r="F49" i="12"/>
  <c r="F48" i="12"/>
  <c r="V31" i="3"/>
  <c r="V32" i="3"/>
  <c r="V33" i="3"/>
  <c r="V34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111" i="3"/>
  <c r="V112" i="3"/>
  <c r="V113" i="3"/>
  <c r="V114" i="3"/>
  <c r="V115" i="3"/>
  <c r="V116" i="3"/>
  <c r="V117" i="3"/>
  <c r="V118" i="3"/>
  <c r="A129" i="5"/>
  <c r="B129" i="5" s="1"/>
  <c r="A130" i="5"/>
  <c r="B130" i="5" s="1"/>
  <c r="A131" i="5"/>
  <c r="B131" i="5" s="1"/>
  <c r="A132" i="5"/>
  <c r="B132" i="5" s="1"/>
  <c r="A133" i="5"/>
  <c r="B133" i="5" s="1"/>
  <c r="A134" i="5"/>
  <c r="B134" i="5" s="1"/>
  <c r="A135" i="5"/>
  <c r="B135" i="5" s="1"/>
  <c r="A136" i="5"/>
  <c r="B136" i="5" s="1"/>
  <c r="A137" i="5"/>
  <c r="B137" i="5" s="1"/>
  <c r="A138" i="5"/>
  <c r="B138" i="5" s="1"/>
  <c r="A139" i="5"/>
  <c r="B139" i="5" s="1"/>
  <c r="A140" i="5"/>
  <c r="B140" i="5" s="1"/>
  <c r="A141" i="5"/>
  <c r="B141" i="5" s="1"/>
  <c r="A142" i="5"/>
  <c r="B142" i="5" s="1"/>
  <c r="A143" i="5"/>
  <c r="B143" i="5" s="1"/>
  <c r="A144" i="5"/>
  <c r="B144" i="5" s="1"/>
  <c r="A145" i="5"/>
  <c r="B145" i="5" s="1"/>
  <c r="A146" i="5"/>
  <c r="B146" i="5" s="1"/>
  <c r="A147" i="5"/>
  <c r="B147" i="5" s="1"/>
  <c r="A148" i="5"/>
  <c r="B148" i="5" s="1"/>
  <c r="A149" i="5"/>
  <c r="B149" i="5" s="1"/>
  <c r="A150" i="5"/>
  <c r="B150" i="5" s="1"/>
  <c r="A151" i="5"/>
  <c r="B151" i="5" s="1"/>
  <c r="A152" i="5"/>
  <c r="B152" i="5" s="1"/>
  <c r="A153" i="5"/>
  <c r="B153" i="5" s="1"/>
  <c r="A154" i="5"/>
  <c r="B154" i="5" s="1"/>
  <c r="A155" i="5"/>
  <c r="B155" i="5" s="1"/>
  <c r="A156" i="5"/>
  <c r="B156" i="5" s="1"/>
  <c r="A157" i="5"/>
  <c r="B157" i="5" s="1"/>
  <c r="A158" i="5"/>
  <c r="B158" i="5" s="1"/>
  <c r="A159" i="5"/>
  <c r="B159" i="5" s="1"/>
  <c r="A160" i="5"/>
  <c r="B160" i="5" s="1"/>
  <c r="A161" i="5"/>
  <c r="B161" i="5" s="1"/>
  <c r="A162" i="5"/>
  <c r="B162" i="5" s="1"/>
  <c r="A163" i="5"/>
  <c r="B163" i="5" s="1"/>
  <c r="A164" i="5"/>
  <c r="B164" i="5" s="1"/>
  <c r="A165" i="5"/>
  <c r="B165" i="5" s="1"/>
  <c r="A166" i="5"/>
  <c r="B166" i="5" s="1"/>
  <c r="A167" i="5"/>
  <c r="B167" i="5"/>
  <c r="C167" i="5"/>
  <c r="A168" i="5"/>
  <c r="B168" i="5"/>
  <c r="C168" i="5"/>
  <c r="A169" i="5"/>
  <c r="B169" i="5"/>
  <c r="C169" i="5"/>
  <c r="A170" i="5"/>
  <c r="B170" i="5"/>
  <c r="C170" i="5"/>
  <c r="A171" i="5"/>
  <c r="B171" i="5"/>
  <c r="C171" i="5"/>
  <c r="A172" i="5"/>
  <c r="B172" i="5"/>
  <c r="C172" i="5"/>
  <c r="A173" i="5"/>
  <c r="B173" i="5"/>
  <c r="C173" i="5"/>
  <c r="A174" i="5"/>
  <c r="B174" i="5"/>
  <c r="C174" i="5"/>
  <c r="A175" i="5"/>
  <c r="B175" i="5"/>
  <c r="C175" i="5"/>
  <c r="A176" i="5"/>
  <c r="B176" i="5"/>
  <c r="C176" i="5"/>
  <c r="A177" i="5"/>
  <c r="B177" i="5"/>
  <c r="C177" i="5"/>
  <c r="A178" i="5"/>
  <c r="B178" i="5"/>
  <c r="C178" i="5"/>
  <c r="A179" i="5"/>
  <c r="B179" i="5"/>
  <c r="C179" i="5"/>
  <c r="A180" i="5"/>
  <c r="B180" i="5"/>
  <c r="C180" i="5"/>
  <c r="A181" i="5"/>
  <c r="B181" i="5"/>
  <c r="C181" i="5"/>
  <c r="A182" i="5"/>
  <c r="B182" i="5"/>
  <c r="C182" i="5"/>
  <c r="A183" i="5"/>
  <c r="B183" i="5"/>
  <c r="C183" i="5"/>
  <c r="A184" i="5"/>
  <c r="B184" i="5"/>
  <c r="C184" i="5"/>
  <c r="A185" i="5"/>
  <c r="B185" i="5"/>
  <c r="C185" i="5"/>
  <c r="A186" i="5"/>
  <c r="B186" i="5"/>
  <c r="C186" i="5"/>
  <c r="A187" i="5"/>
  <c r="B187" i="5"/>
  <c r="C187" i="5"/>
  <c r="A188" i="5"/>
  <c r="B188" i="5"/>
  <c r="C188" i="5"/>
  <c r="A189" i="5"/>
  <c r="B189" i="5"/>
  <c r="C189" i="5"/>
  <c r="A190" i="5"/>
  <c r="B190" i="5"/>
  <c r="C190" i="5"/>
  <c r="A191" i="5"/>
  <c r="B191" i="5"/>
  <c r="C191" i="5"/>
  <c r="A192" i="5"/>
  <c r="B192" i="5"/>
  <c r="C192" i="5"/>
  <c r="A193" i="5"/>
  <c r="B193" i="5"/>
  <c r="C193" i="5"/>
  <c r="A194" i="5"/>
  <c r="B194" i="5"/>
  <c r="C194" i="5"/>
  <c r="A195" i="5"/>
  <c r="B195" i="5"/>
  <c r="C195" i="5"/>
  <c r="A196" i="5"/>
  <c r="B196" i="5"/>
  <c r="C196" i="5"/>
  <c r="A197" i="5"/>
  <c r="B197" i="5"/>
  <c r="C197" i="5"/>
  <c r="A198" i="5"/>
  <c r="B198" i="5"/>
  <c r="C198" i="5"/>
  <c r="A199" i="5"/>
  <c r="B199" i="5"/>
  <c r="C199" i="5"/>
  <c r="A200" i="5"/>
  <c r="B200" i="5"/>
  <c r="C200" i="5"/>
  <c r="A201" i="5"/>
  <c r="B201" i="5"/>
  <c r="C201" i="5"/>
  <c r="A202" i="5"/>
  <c r="B202" i="5"/>
  <c r="C202" i="5"/>
  <c r="A203" i="5"/>
  <c r="B203" i="5"/>
  <c r="C203" i="5"/>
  <c r="A204" i="5"/>
  <c r="B204" i="5"/>
  <c r="C204" i="5"/>
  <c r="A205" i="5"/>
  <c r="B205" i="5"/>
  <c r="C205" i="5"/>
  <c r="A206" i="5"/>
  <c r="B206" i="5"/>
  <c r="C206" i="5"/>
  <c r="A207" i="5"/>
  <c r="B207" i="5"/>
  <c r="C207" i="5"/>
  <c r="A208" i="5"/>
  <c r="B208" i="5"/>
  <c r="C208" i="5"/>
  <c r="A209" i="5"/>
  <c r="B209" i="5"/>
  <c r="C209" i="5"/>
  <c r="A210" i="5"/>
  <c r="B210" i="5"/>
  <c r="C210" i="5"/>
  <c r="A211" i="5"/>
  <c r="B211" i="5"/>
  <c r="C211" i="5"/>
  <c r="A212" i="5"/>
  <c r="B212" i="5"/>
  <c r="C212" i="5"/>
  <c r="A213" i="5"/>
  <c r="B213" i="5"/>
  <c r="C213" i="5"/>
  <c r="A214" i="5"/>
  <c r="B214" i="5"/>
  <c r="C214" i="5"/>
  <c r="A215" i="5"/>
  <c r="B215" i="5"/>
  <c r="C215" i="5"/>
  <c r="A216" i="5"/>
  <c r="B216" i="5"/>
  <c r="C216" i="5"/>
  <c r="A217" i="5"/>
  <c r="B217" i="5"/>
  <c r="C217" i="5"/>
  <c r="A218" i="5"/>
  <c r="B218" i="5"/>
  <c r="C218" i="5"/>
  <c r="A219" i="5"/>
  <c r="B219" i="5"/>
  <c r="C219" i="5"/>
  <c r="A220" i="5"/>
  <c r="B220" i="5"/>
  <c r="C220" i="5"/>
  <c r="A221" i="5"/>
  <c r="B221" i="5"/>
  <c r="C221" i="5"/>
  <c r="A222" i="5"/>
  <c r="B222" i="5"/>
  <c r="C222" i="5"/>
  <c r="A223" i="5"/>
  <c r="B223" i="5"/>
  <c r="C223" i="5"/>
  <c r="A224" i="5"/>
  <c r="B224" i="5"/>
  <c r="C224" i="5"/>
  <c r="A225" i="5"/>
  <c r="B225" i="5"/>
  <c r="C225" i="5"/>
  <c r="A226" i="5"/>
  <c r="B226" i="5"/>
  <c r="C226" i="5"/>
  <c r="A227" i="5"/>
  <c r="B227" i="5"/>
  <c r="C227" i="5"/>
  <c r="A228" i="5"/>
  <c r="B228" i="5"/>
  <c r="C228" i="5"/>
  <c r="A229" i="5"/>
  <c r="B229" i="5"/>
  <c r="C229" i="5"/>
  <c r="A230" i="5"/>
  <c r="B230" i="5"/>
  <c r="C230" i="5"/>
  <c r="A231" i="5"/>
  <c r="B231" i="5"/>
  <c r="C231" i="5"/>
  <c r="A232" i="5"/>
  <c r="B232" i="5"/>
  <c r="C232" i="5"/>
  <c r="A233" i="5"/>
  <c r="B233" i="5"/>
  <c r="C233" i="5"/>
  <c r="A234" i="5"/>
  <c r="B234" i="5"/>
  <c r="C234" i="5"/>
  <c r="A235" i="5"/>
  <c r="B235" i="5"/>
  <c r="C235" i="5"/>
  <c r="A236" i="5"/>
  <c r="B236" i="5"/>
  <c r="C236" i="5"/>
  <c r="A237" i="5"/>
  <c r="B237" i="5"/>
  <c r="C237" i="5"/>
  <c r="A238" i="5"/>
  <c r="B238" i="5"/>
  <c r="C238" i="5"/>
  <c r="A239" i="5"/>
  <c r="B239" i="5"/>
  <c r="C239" i="5"/>
  <c r="A240" i="5"/>
  <c r="B240" i="5"/>
  <c r="C240" i="5"/>
  <c r="A241" i="5"/>
  <c r="B241" i="5"/>
  <c r="C241" i="5"/>
  <c r="A242" i="5"/>
  <c r="B242" i="5"/>
  <c r="C242" i="5"/>
  <c r="A243" i="5"/>
  <c r="B243" i="5"/>
  <c r="C243" i="5"/>
  <c r="A244" i="5"/>
  <c r="B244" i="5"/>
  <c r="C244" i="5"/>
  <c r="A245" i="5"/>
  <c r="B245" i="5"/>
  <c r="C245" i="5"/>
  <c r="A246" i="5"/>
  <c r="B246" i="5"/>
  <c r="C246" i="5"/>
  <c r="A247" i="5"/>
  <c r="B247" i="5"/>
  <c r="C247" i="5"/>
  <c r="A248" i="5"/>
  <c r="B248" i="5"/>
  <c r="C248" i="5"/>
  <c r="A249" i="5"/>
  <c r="B249" i="5"/>
  <c r="C249" i="5"/>
  <c r="A250" i="5"/>
  <c r="B250" i="5"/>
  <c r="C250" i="5"/>
  <c r="A251" i="5"/>
  <c r="B251" i="5"/>
  <c r="C251" i="5"/>
  <c r="A252" i="5"/>
  <c r="B252" i="5"/>
  <c r="C252" i="5"/>
  <c r="A253" i="5"/>
  <c r="B253" i="5"/>
  <c r="C253" i="5"/>
  <c r="A254" i="5"/>
  <c r="B254" i="5"/>
  <c r="C254" i="5"/>
  <c r="A255" i="5"/>
  <c r="B255" i="5"/>
  <c r="C255" i="5"/>
  <c r="A256" i="5"/>
  <c r="B256" i="5"/>
  <c r="C256" i="5"/>
  <c r="A257" i="5"/>
  <c r="B257" i="5"/>
  <c r="C257" i="5"/>
  <c r="A258" i="5"/>
  <c r="B258" i="5"/>
  <c r="C258" i="5"/>
  <c r="A259" i="5"/>
  <c r="B259" i="5"/>
  <c r="C259" i="5"/>
  <c r="A260" i="5"/>
  <c r="B260" i="5"/>
  <c r="C260" i="5"/>
  <c r="A261" i="5"/>
  <c r="B261" i="5"/>
  <c r="C261" i="5"/>
  <c r="A262" i="5"/>
  <c r="B262" i="5"/>
  <c r="C262" i="5"/>
  <c r="A263" i="5"/>
  <c r="B263" i="5"/>
  <c r="C263" i="5"/>
  <c r="A264" i="5"/>
  <c r="B264" i="5"/>
  <c r="C264" i="5"/>
  <c r="A265" i="5"/>
  <c r="B265" i="5"/>
  <c r="C265" i="5"/>
  <c r="A266" i="5"/>
  <c r="B266" i="5"/>
  <c r="C266" i="5"/>
  <c r="A267" i="5"/>
  <c r="B267" i="5"/>
  <c r="C267" i="5"/>
  <c r="A268" i="5"/>
  <c r="B268" i="5"/>
  <c r="C268" i="5"/>
  <c r="A269" i="5"/>
  <c r="B269" i="5"/>
  <c r="C269" i="5"/>
  <c r="A270" i="5"/>
  <c r="B270" i="5"/>
  <c r="C270" i="5"/>
  <c r="A271" i="5"/>
  <c r="B271" i="5"/>
  <c r="C271" i="5"/>
  <c r="A272" i="5"/>
  <c r="B272" i="5"/>
  <c r="C272" i="5"/>
  <c r="A273" i="5"/>
  <c r="B273" i="5"/>
  <c r="C273" i="5"/>
  <c r="A274" i="5"/>
  <c r="B274" i="5"/>
  <c r="C274" i="5"/>
  <c r="A275" i="5"/>
  <c r="B275" i="5"/>
  <c r="C275" i="5"/>
  <c r="A276" i="5"/>
  <c r="B276" i="5"/>
  <c r="C276" i="5"/>
  <c r="A277" i="5"/>
  <c r="B277" i="5"/>
  <c r="C277" i="5"/>
  <c r="A278" i="5"/>
  <c r="B278" i="5"/>
  <c r="C278" i="5"/>
  <c r="A279" i="5"/>
  <c r="B279" i="5"/>
  <c r="C279" i="5"/>
  <c r="A280" i="5"/>
  <c r="B280" i="5"/>
  <c r="C280" i="5"/>
  <c r="A281" i="5"/>
  <c r="B281" i="5"/>
  <c r="C281" i="5"/>
  <c r="A282" i="5"/>
  <c r="B282" i="5"/>
  <c r="C282" i="5"/>
  <c r="A283" i="5"/>
  <c r="B283" i="5"/>
  <c r="C283" i="5"/>
  <c r="A284" i="5"/>
  <c r="B284" i="5"/>
  <c r="C284" i="5"/>
  <c r="A285" i="5"/>
  <c r="B285" i="5"/>
  <c r="C285" i="5"/>
  <c r="A286" i="5"/>
  <c r="B286" i="5"/>
  <c r="C286" i="5"/>
  <c r="A287" i="5"/>
  <c r="B287" i="5"/>
  <c r="C287" i="5"/>
  <c r="A288" i="5"/>
  <c r="B288" i="5"/>
  <c r="C288" i="5"/>
  <c r="A289" i="5"/>
  <c r="B289" i="5"/>
  <c r="C289" i="5"/>
  <c r="A290" i="5"/>
  <c r="B290" i="5"/>
  <c r="C290" i="5"/>
  <c r="A291" i="5"/>
  <c r="B291" i="5"/>
  <c r="C291" i="5"/>
  <c r="A292" i="5"/>
  <c r="B292" i="5"/>
  <c r="C292" i="5"/>
  <c r="A293" i="5"/>
  <c r="B293" i="5"/>
  <c r="C293" i="5"/>
  <c r="A294" i="5"/>
  <c r="B294" i="5"/>
  <c r="C294" i="5"/>
  <c r="A295" i="5"/>
  <c r="B295" i="5"/>
  <c r="C295" i="5"/>
  <c r="A296" i="5"/>
  <c r="B296" i="5"/>
  <c r="C296" i="5"/>
  <c r="A297" i="5"/>
  <c r="B297" i="5"/>
  <c r="C297" i="5"/>
  <c r="A298" i="5"/>
  <c r="B298" i="5"/>
  <c r="C298" i="5"/>
  <c r="A299" i="5"/>
  <c r="B299" i="5"/>
  <c r="C299" i="5"/>
  <c r="A300" i="5"/>
  <c r="B300" i="5"/>
  <c r="C300" i="5"/>
  <c r="A301" i="5"/>
  <c r="B301" i="5"/>
  <c r="C301" i="5"/>
  <c r="A302" i="5"/>
  <c r="B302" i="5"/>
  <c r="C302" i="5"/>
  <c r="A303" i="5"/>
  <c r="B303" i="5"/>
  <c r="C303" i="5"/>
  <c r="A304" i="5"/>
  <c r="B304" i="5"/>
  <c r="C304" i="5"/>
  <c r="A305" i="5"/>
  <c r="B305" i="5"/>
  <c r="C305" i="5"/>
  <c r="A306" i="5"/>
  <c r="B306" i="5"/>
  <c r="C306" i="5"/>
  <c r="A307" i="5"/>
  <c r="B307" i="5"/>
  <c r="C307" i="5"/>
  <c r="A308" i="5"/>
  <c r="B308" i="5"/>
  <c r="C308" i="5"/>
  <c r="A309" i="5"/>
  <c r="B309" i="5"/>
  <c r="C309" i="5"/>
  <c r="A310" i="5"/>
  <c r="B310" i="5"/>
  <c r="C310" i="5"/>
  <c r="A311" i="5"/>
  <c r="B311" i="5"/>
  <c r="C311" i="5"/>
  <c r="A312" i="5"/>
  <c r="B312" i="5"/>
  <c r="C312" i="5"/>
  <c r="A313" i="5"/>
  <c r="B313" i="5"/>
  <c r="C313" i="5"/>
  <c r="A314" i="5"/>
  <c r="B314" i="5"/>
  <c r="C314" i="5"/>
  <c r="A315" i="5"/>
  <c r="B315" i="5"/>
  <c r="C315" i="5"/>
  <c r="A316" i="5"/>
  <c r="B316" i="5"/>
  <c r="C316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F86" i="5" s="1" a="1"/>
  <c r="F86" i="5" s="1"/>
  <c r="A87" i="5"/>
  <c r="A88" i="5"/>
  <c r="F88" i="5" s="1" a="1"/>
  <c r="F88" i="5" s="1"/>
  <c r="A89" i="5"/>
  <c r="F89" i="5" s="1" a="1"/>
  <c r="F89" i="5" s="1"/>
  <c r="A90" i="5"/>
  <c r="A91" i="5"/>
  <c r="F91" i="5" s="1" a="1"/>
  <c r="F91" i="5" s="1"/>
  <c r="A92" i="5"/>
  <c r="T92" i="5" s="1"/>
  <c r="A93" i="5"/>
  <c r="A94" i="5"/>
  <c r="G94" i="5" s="1"/>
  <c r="A95" i="5"/>
  <c r="A96" i="5"/>
  <c r="A97" i="5"/>
  <c r="A98" i="5"/>
  <c r="G98" i="5" s="1"/>
  <c r="A99" i="5"/>
  <c r="A100" i="5"/>
  <c r="A101" i="5"/>
  <c r="S101" i="5" s="1"/>
  <c r="A102" i="5"/>
  <c r="A103" i="5"/>
  <c r="G103" i="5" s="1"/>
  <c r="A104" i="5"/>
  <c r="T104" i="5" s="1"/>
  <c r="A105" i="5"/>
  <c r="T105" i="5" s="1"/>
  <c r="A106" i="5"/>
  <c r="T106" i="5" s="1"/>
  <c r="A107" i="5"/>
  <c r="S107" i="5" s="1"/>
  <c r="A108" i="5"/>
  <c r="S108" i="5" s="1"/>
  <c r="A109" i="5"/>
  <c r="G109" i="5" s="1"/>
  <c r="A110" i="5"/>
  <c r="S110" i="5" s="1"/>
  <c r="A111" i="5"/>
  <c r="S111" i="5" s="1"/>
  <c r="A112" i="5"/>
  <c r="T112" i="5" s="1"/>
  <c r="A113" i="5"/>
  <c r="S113" i="5" s="1"/>
  <c r="A114" i="5"/>
  <c r="S114" i="5" s="1"/>
  <c r="A115" i="5"/>
  <c r="S115" i="5" s="1"/>
  <c r="A116" i="5"/>
  <c r="S116" i="5" s="1"/>
  <c r="A117" i="5"/>
  <c r="S117" i="5" s="1"/>
  <c r="A118" i="5"/>
  <c r="G118" i="5" s="1"/>
  <c r="A119" i="5"/>
  <c r="S119" i="5" s="1"/>
  <c r="A120" i="5"/>
  <c r="S120" i="5" s="1"/>
  <c r="A121" i="5"/>
  <c r="T121" i="5" s="1"/>
  <c r="A122" i="5"/>
  <c r="S122" i="5" s="1"/>
  <c r="A123" i="5"/>
  <c r="S123" i="5" s="1"/>
  <c r="A124" i="5"/>
  <c r="S124" i="5" s="1"/>
  <c r="A125" i="5"/>
  <c r="S125" i="5" s="1"/>
  <c r="A126" i="5"/>
  <c r="S126" i="5" s="1"/>
  <c r="A127" i="5"/>
  <c r="G127" i="5" s="1"/>
  <c r="A128" i="5"/>
  <c r="S128" i="5" s="1"/>
  <c r="G74" i="5"/>
  <c r="S74" i="5"/>
  <c r="G75" i="5"/>
  <c r="S75" i="5"/>
  <c r="G76" i="5"/>
  <c r="S76" i="5"/>
  <c r="G77" i="5"/>
  <c r="S77" i="5"/>
  <c r="G78" i="5"/>
  <c r="S78" i="5"/>
  <c r="G79" i="5"/>
  <c r="S79" i="5"/>
  <c r="G80" i="5"/>
  <c r="S80" i="5"/>
  <c r="G81" i="5"/>
  <c r="S81" i="5"/>
  <c r="G82" i="5"/>
  <c r="S82" i="5"/>
  <c r="G83" i="5"/>
  <c r="S83" i="5"/>
  <c r="G84" i="5"/>
  <c r="S84" i="5"/>
  <c r="G85" i="5"/>
  <c r="S85" i="5"/>
  <c r="T85" i="5"/>
  <c r="G86" i="5"/>
  <c r="S86" i="5"/>
  <c r="T86" i="5"/>
  <c r="G87" i="5"/>
  <c r="S87" i="5"/>
  <c r="T87" i="5"/>
  <c r="G88" i="5"/>
  <c r="T88" i="5"/>
  <c r="G89" i="5"/>
  <c r="T89" i="5"/>
  <c r="G90" i="5"/>
  <c r="S90" i="5"/>
  <c r="T90" i="5"/>
  <c r="G91" i="5"/>
  <c r="G92" i="5"/>
  <c r="G93" i="5"/>
  <c r="S93" i="5"/>
  <c r="S94" i="5"/>
  <c r="S95" i="5"/>
  <c r="G96" i="5"/>
  <c r="S96" i="5"/>
  <c r="S98" i="5"/>
  <c r="G99" i="5"/>
  <c r="S99" i="5"/>
  <c r="G101" i="5"/>
  <c r="G102" i="5"/>
  <c r="S102" i="5"/>
  <c r="G105" i="5"/>
  <c r="S105" i="5"/>
  <c r="G107" i="5"/>
  <c r="G108" i="5"/>
  <c r="T108" i="5"/>
  <c r="S109" i="5"/>
  <c r="T110" i="5"/>
  <c r="G111" i="5"/>
  <c r="T111" i="5"/>
  <c r="T113" i="5"/>
  <c r="G114" i="5"/>
  <c r="T114" i="5"/>
  <c r="T115" i="5"/>
  <c r="G116" i="5"/>
  <c r="G117" i="5"/>
  <c r="T117" i="5"/>
  <c r="G120" i="5"/>
  <c r="T120" i="5"/>
  <c r="G122" i="5"/>
  <c r="T122" i="5"/>
  <c r="G123" i="5"/>
  <c r="T123" i="5"/>
  <c r="G126" i="5"/>
  <c r="T126" i="5"/>
  <c r="T128" i="5"/>
  <c r="G129" i="5"/>
  <c r="S129" i="5"/>
  <c r="T129" i="5"/>
  <c r="G130" i="5"/>
  <c r="S130" i="5"/>
  <c r="T130" i="5"/>
  <c r="G131" i="5"/>
  <c r="S131" i="5"/>
  <c r="T131" i="5"/>
  <c r="G132" i="5"/>
  <c r="S132" i="5"/>
  <c r="T132" i="5"/>
  <c r="G133" i="5"/>
  <c r="S133" i="5"/>
  <c r="T133" i="5"/>
  <c r="G134" i="5"/>
  <c r="S134" i="5"/>
  <c r="T134" i="5"/>
  <c r="G135" i="5"/>
  <c r="S135" i="5"/>
  <c r="T135" i="5"/>
  <c r="G136" i="5"/>
  <c r="S136" i="5"/>
  <c r="T136" i="5"/>
  <c r="G137" i="5"/>
  <c r="S137" i="5"/>
  <c r="T137" i="5"/>
  <c r="G138" i="5"/>
  <c r="S138" i="5"/>
  <c r="T138" i="5"/>
  <c r="G139" i="5"/>
  <c r="S139" i="5"/>
  <c r="T139" i="5"/>
  <c r="G140" i="5"/>
  <c r="S140" i="5"/>
  <c r="T140" i="5"/>
  <c r="G141" i="5"/>
  <c r="S141" i="5"/>
  <c r="T141" i="5"/>
  <c r="G142" i="5"/>
  <c r="S142" i="5"/>
  <c r="T142" i="5"/>
  <c r="G143" i="5"/>
  <c r="S143" i="5"/>
  <c r="T143" i="5"/>
  <c r="G144" i="5"/>
  <c r="S144" i="5"/>
  <c r="T144" i="5"/>
  <c r="G145" i="5"/>
  <c r="S145" i="5"/>
  <c r="T145" i="5"/>
  <c r="G146" i="5"/>
  <c r="S146" i="5"/>
  <c r="T146" i="5"/>
  <c r="G147" i="5"/>
  <c r="S147" i="5"/>
  <c r="T147" i="5"/>
  <c r="G148" i="5"/>
  <c r="S148" i="5"/>
  <c r="T148" i="5"/>
  <c r="G149" i="5"/>
  <c r="S149" i="5"/>
  <c r="T149" i="5"/>
  <c r="G150" i="5"/>
  <c r="S150" i="5"/>
  <c r="T150" i="5"/>
  <c r="G151" i="5"/>
  <c r="S151" i="5"/>
  <c r="T151" i="5"/>
  <c r="G152" i="5"/>
  <c r="S152" i="5"/>
  <c r="T152" i="5"/>
  <c r="G153" i="5"/>
  <c r="S153" i="5"/>
  <c r="T153" i="5"/>
  <c r="G154" i="5"/>
  <c r="S154" i="5"/>
  <c r="T154" i="5"/>
  <c r="G155" i="5"/>
  <c r="S155" i="5"/>
  <c r="T155" i="5"/>
  <c r="G156" i="5"/>
  <c r="S156" i="5"/>
  <c r="T156" i="5"/>
  <c r="G157" i="5"/>
  <c r="S157" i="5"/>
  <c r="T157" i="5"/>
  <c r="G158" i="5"/>
  <c r="S158" i="5"/>
  <c r="T158" i="5"/>
  <c r="G159" i="5"/>
  <c r="S159" i="5"/>
  <c r="T159" i="5"/>
  <c r="G160" i="5"/>
  <c r="S160" i="5"/>
  <c r="T160" i="5"/>
  <c r="G161" i="5"/>
  <c r="S161" i="5"/>
  <c r="T161" i="5"/>
  <c r="G162" i="5"/>
  <c r="S162" i="5"/>
  <c r="T162" i="5"/>
  <c r="G163" i="5"/>
  <c r="S163" i="5"/>
  <c r="T163" i="5"/>
  <c r="G164" i="5"/>
  <c r="S164" i="5"/>
  <c r="T164" i="5"/>
  <c r="G165" i="5"/>
  <c r="S165" i="5"/>
  <c r="T165" i="5"/>
  <c r="G166" i="5"/>
  <c r="S166" i="5"/>
  <c r="T166" i="5"/>
  <c r="G167" i="5"/>
  <c r="S167" i="5"/>
  <c r="T167" i="5"/>
  <c r="G168" i="5"/>
  <c r="S168" i="5"/>
  <c r="T168" i="5"/>
  <c r="G169" i="5"/>
  <c r="S169" i="5"/>
  <c r="T169" i="5"/>
  <c r="G170" i="5"/>
  <c r="S170" i="5"/>
  <c r="T170" i="5"/>
  <c r="G171" i="5"/>
  <c r="S171" i="5"/>
  <c r="T171" i="5"/>
  <c r="G172" i="5"/>
  <c r="S172" i="5"/>
  <c r="T172" i="5"/>
  <c r="G173" i="5"/>
  <c r="S173" i="5"/>
  <c r="T173" i="5"/>
  <c r="G174" i="5"/>
  <c r="S174" i="5"/>
  <c r="T174" i="5"/>
  <c r="G175" i="5"/>
  <c r="S175" i="5"/>
  <c r="T175" i="5"/>
  <c r="G176" i="5"/>
  <c r="S176" i="5"/>
  <c r="T176" i="5"/>
  <c r="G177" i="5"/>
  <c r="S177" i="5"/>
  <c r="T177" i="5"/>
  <c r="G178" i="5"/>
  <c r="S178" i="5"/>
  <c r="T178" i="5"/>
  <c r="G179" i="5"/>
  <c r="S179" i="5"/>
  <c r="T179" i="5"/>
  <c r="G180" i="5"/>
  <c r="S180" i="5"/>
  <c r="T180" i="5"/>
  <c r="G181" i="5"/>
  <c r="S181" i="5"/>
  <c r="T181" i="5"/>
  <c r="G182" i="5"/>
  <c r="S182" i="5"/>
  <c r="T182" i="5"/>
  <c r="G183" i="5"/>
  <c r="S183" i="5"/>
  <c r="T183" i="5"/>
  <c r="G184" i="5"/>
  <c r="S184" i="5"/>
  <c r="T184" i="5"/>
  <c r="G185" i="5"/>
  <c r="S185" i="5"/>
  <c r="T185" i="5"/>
  <c r="G186" i="5"/>
  <c r="S186" i="5"/>
  <c r="T186" i="5"/>
  <c r="G187" i="5"/>
  <c r="S187" i="5"/>
  <c r="T187" i="5"/>
  <c r="G188" i="5"/>
  <c r="S188" i="5"/>
  <c r="T188" i="5"/>
  <c r="G189" i="5"/>
  <c r="S189" i="5"/>
  <c r="T189" i="5"/>
  <c r="G190" i="5"/>
  <c r="S190" i="5"/>
  <c r="T190" i="5"/>
  <c r="G191" i="5"/>
  <c r="S191" i="5"/>
  <c r="T191" i="5"/>
  <c r="G192" i="5"/>
  <c r="S192" i="5"/>
  <c r="T192" i="5"/>
  <c r="G193" i="5"/>
  <c r="S193" i="5"/>
  <c r="T193" i="5"/>
  <c r="G194" i="5"/>
  <c r="S194" i="5"/>
  <c r="T194" i="5"/>
  <c r="G195" i="5"/>
  <c r="S195" i="5"/>
  <c r="T195" i="5"/>
  <c r="G196" i="5"/>
  <c r="S196" i="5"/>
  <c r="T196" i="5"/>
  <c r="G197" i="5"/>
  <c r="S197" i="5"/>
  <c r="T197" i="5"/>
  <c r="G198" i="5"/>
  <c r="S198" i="5"/>
  <c r="T198" i="5"/>
  <c r="G199" i="5"/>
  <c r="S199" i="5"/>
  <c r="T199" i="5"/>
  <c r="G200" i="5"/>
  <c r="S200" i="5"/>
  <c r="T200" i="5"/>
  <c r="G201" i="5"/>
  <c r="S201" i="5"/>
  <c r="T201" i="5"/>
  <c r="G202" i="5"/>
  <c r="S202" i="5"/>
  <c r="T202" i="5"/>
  <c r="G203" i="5"/>
  <c r="S203" i="5"/>
  <c r="T203" i="5"/>
  <c r="G204" i="5"/>
  <c r="S204" i="5"/>
  <c r="T204" i="5"/>
  <c r="G205" i="5"/>
  <c r="S205" i="5"/>
  <c r="T205" i="5"/>
  <c r="G206" i="5"/>
  <c r="S206" i="5"/>
  <c r="T206" i="5"/>
  <c r="G207" i="5"/>
  <c r="S207" i="5"/>
  <c r="T207" i="5"/>
  <c r="G208" i="5"/>
  <c r="S208" i="5"/>
  <c r="T208" i="5"/>
  <c r="G209" i="5"/>
  <c r="S209" i="5"/>
  <c r="T209" i="5"/>
  <c r="G210" i="5"/>
  <c r="S210" i="5"/>
  <c r="T210" i="5"/>
  <c r="G211" i="5"/>
  <c r="S211" i="5"/>
  <c r="T211" i="5"/>
  <c r="G212" i="5"/>
  <c r="S212" i="5"/>
  <c r="T212" i="5"/>
  <c r="G213" i="5"/>
  <c r="S213" i="5"/>
  <c r="T213" i="5"/>
  <c r="G214" i="5"/>
  <c r="S214" i="5"/>
  <c r="T214" i="5"/>
  <c r="G215" i="5"/>
  <c r="S215" i="5"/>
  <c r="T215" i="5"/>
  <c r="G216" i="5"/>
  <c r="S216" i="5"/>
  <c r="T216" i="5"/>
  <c r="G217" i="5"/>
  <c r="S217" i="5"/>
  <c r="T217" i="5"/>
  <c r="G218" i="5"/>
  <c r="S218" i="5"/>
  <c r="T218" i="5"/>
  <c r="G219" i="5"/>
  <c r="S219" i="5"/>
  <c r="T219" i="5"/>
  <c r="G220" i="5"/>
  <c r="S220" i="5"/>
  <c r="T220" i="5"/>
  <c r="G221" i="5"/>
  <c r="S221" i="5"/>
  <c r="T221" i="5"/>
  <c r="G222" i="5"/>
  <c r="S222" i="5"/>
  <c r="T222" i="5"/>
  <c r="G223" i="5"/>
  <c r="S223" i="5"/>
  <c r="T223" i="5"/>
  <c r="G224" i="5"/>
  <c r="S224" i="5"/>
  <c r="T224" i="5"/>
  <c r="G225" i="5"/>
  <c r="S225" i="5"/>
  <c r="T225" i="5"/>
  <c r="G226" i="5"/>
  <c r="S226" i="5"/>
  <c r="T226" i="5"/>
  <c r="G227" i="5"/>
  <c r="S227" i="5"/>
  <c r="T227" i="5"/>
  <c r="G228" i="5"/>
  <c r="S228" i="5"/>
  <c r="T228" i="5"/>
  <c r="G229" i="5"/>
  <c r="S229" i="5"/>
  <c r="T229" i="5"/>
  <c r="G230" i="5"/>
  <c r="S230" i="5"/>
  <c r="T230" i="5"/>
  <c r="G231" i="5"/>
  <c r="S231" i="5"/>
  <c r="T231" i="5"/>
  <c r="G232" i="5"/>
  <c r="S232" i="5"/>
  <c r="T232" i="5"/>
  <c r="G233" i="5"/>
  <c r="S233" i="5"/>
  <c r="T233" i="5"/>
  <c r="G234" i="5"/>
  <c r="S234" i="5"/>
  <c r="T234" i="5"/>
  <c r="G235" i="5"/>
  <c r="S235" i="5"/>
  <c r="T235" i="5"/>
  <c r="G236" i="5"/>
  <c r="S236" i="5"/>
  <c r="T236" i="5"/>
  <c r="G237" i="5"/>
  <c r="S237" i="5"/>
  <c r="T237" i="5"/>
  <c r="G238" i="5"/>
  <c r="S238" i="5"/>
  <c r="T238" i="5"/>
  <c r="G239" i="5"/>
  <c r="S239" i="5"/>
  <c r="T239" i="5"/>
  <c r="G240" i="5"/>
  <c r="S240" i="5"/>
  <c r="T240" i="5"/>
  <c r="G241" i="5"/>
  <c r="S241" i="5"/>
  <c r="T241" i="5"/>
  <c r="G242" i="5"/>
  <c r="S242" i="5"/>
  <c r="T242" i="5"/>
  <c r="G243" i="5"/>
  <c r="S243" i="5"/>
  <c r="T243" i="5"/>
  <c r="G244" i="5"/>
  <c r="S244" i="5"/>
  <c r="T244" i="5"/>
  <c r="G245" i="5"/>
  <c r="S245" i="5"/>
  <c r="T245" i="5"/>
  <c r="G246" i="5"/>
  <c r="S246" i="5"/>
  <c r="T246" i="5"/>
  <c r="G247" i="5"/>
  <c r="S247" i="5"/>
  <c r="T247" i="5"/>
  <c r="G248" i="5"/>
  <c r="S248" i="5"/>
  <c r="T248" i="5"/>
  <c r="G249" i="5"/>
  <c r="S249" i="5"/>
  <c r="T249" i="5"/>
  <c r="G250" i="5"/>
  <c r="S250" i="5"/>
  <c r="T250" i="5"/>
  <c r="G251" i="5"/>
  <c r="S251" i="5"/>
  <c r="T251" i="5"/>
  <c r="G252" i="5"/>
  <c r="S252" i="5"/>
  <c r="T252" i="5"/>
  <c r="G253" i="5"/>
  <c r="S253" i="5"/>
  <c r="T253" i="5"/>
  <c r="G254" i="5"/>
  <c r="S254" i="5"/>
  <c r="T254" i="5"/>
  <c r="G255" i="5"/>
  <c r="S255" i="5"/>
  <c r="T255" i="5"/>
  <c r="G256" i="5"/>
  <c r="S256" i="5"/>
  <c r="T256" i="5"/>
  <c r="G257" i="5"/>
  <c r="S257" i="5"/>
  <c r="T257" i="5"/>
  <c r="G258" i="5"/>
  <c r="S258" i="5"/>
  <c r="T258" i="5"/>
  <c r="G259" i="5"/>
  <c r="S259" i="5"/>
  <c r="T259" i="5"/>
  <c r="G260" i="5"/>
  <c r="S260" i="5"/>
  <c r="T260" i="5"/>
  <c r="G261" i="5"/>
  <c r="S261" i="5"/>
  <c r="T261" i="5"/>
  <c r="G262" i="5"/>
  <c r="S262" i="5"/>
  <c r="T262" i="5"/>
  <c r="G263" i="5"/>
  <c r="S263" i="5"/>
  <c r="T263" i="5"/>
  <c r="G264" i="5"/>
  <c r="S264" i="5"/>
  <c r="T264" i="5"/>
  <c r="G265" i="5"/>
  <c r="S265" i="5"/>
  <c r="T265" i="5"/>
  <c r="G266" i="5"/>
  <c r="S266" i="5"/>
  <c r="T266" i="5"/>
  <c r="G267" i="5"/>
  <c r="S267" i="5"/>
  <c r="T267" i="5"/>
  <c r="G268" i="5"/>
  <c r="S268" i="5"/>
  <c r="T268" i="5"/>
  <c r="G269" i="5"/>
  <c r="S269" i="5"/>
  <c r="T269" i="5"/>
  <c r="G270" i="5"/>
  <c r="S270" i="5"/>
  <c r="T270" i="5"/>
  <c r="G271" i="5"/>
  <c r="S271" i="5"/>
  <c r="T271" i="5"/>
  <c r="G272" i="5"/>
  <c r="S272" i="5"/>
  <c r="T272" i="5"/>
  <c r="G273" i="5"/>
  <c r="S273" i="5"/>
  <c r="T273" i="5"/>
  <c r="G274" i="5"/>
  <c r="S274" i="5"/>
  <c r="T274" i="5"/>
  <c r="G275" i="5"/>
  <c r="S275" i="5"/>
  <c r="T275" i="5"/>
  <c r="G276" i="5"/>
  <c r="S276" i="5"/>
  <c r="T276" i="5"/>
  <c r="G277" i="5"/>
  <c r="S277" i="5"/>
  <c r="T277" i="5"/>
  <c r="G278" i="5"/>
  <c r="S278" i="5"/>
  <c r="T278" i="5"/>
  <c r="G279" i="5"/>
  <c r="S279" i="5"/>
  <c r="T279" i="5"/>
  <c r="G280" i="5"/>
  <c r="S280" i="5"/>
  <c r="T280" i="5"/>
  <c r="G281" i="5"/>
  <c r="S281" i="5"/>
  <c r="T281" i="5"/>
  <c r="G282" i="5"/>
  <c r="S282" i="5"/>
  <c r="T282" i="5"/>
  <c r="G283" i="5"/>
  <c r="S283" i="5"/>
  <c r="T283" i="5"/>
  <c r="G284" i="5"/>
  <c r="S284" i="5"/>
  <c r="T284" i="5"/>
  <c r="G285" i="5"/>
  <c r="S285" i="5"/>
  <c r="T285" i="5"/>
  <c r="G286" i="5"/>
  <c r="S286" i="5"/>
  <c r="T286" i="5"/>
  <c r="G287" i="5"/>
  <c r="S287" i="5"/>
  <c r="T287" i="5"/>
  <c r="G288" i="5"/>
  <c r="S288" i="5"/>
  <c r="T288" i="5"/>
  <c r="G289" i="5"/>
  <c r="S289" i="5"/>
  <c r="T289" i="5"/>
  <c r="G290" i="5"/>
  <c r="S290" i="5"/>
  <c r="T290" i="5"/>
  <c r="G291" i="5"/>
  <c r="S291" i="5"/>
  <c r="T291" i="5"/>
  <c r="G292" i="5"/>
  <c r="S292" i="5"/>
  <c r="T292" i="5"/>
  <c r="G293" i="5"/>
  <c r="S293" i="5"/>
  <c r="T293" i="5"/>
  <c r="G294" i="5"/>
  <c r="S294" i="5"/>
  <c r="T294" i="5"/>
  <c r="G295" i="5"/>
  <c r="S295" i="5"/>
  <c r="T295" i="5"/>
  <c r="G296" i="5"/>
  <c r="S296" i="5"/>
  <c r="T296" i="5"/>
  <c r="G297" i="5"/>
  <c r="S297" i="5"/>
  <c r="T297" i="5"/>
  <c r="G298" i="5"/>
  <c r="S298" i="5"/>
  <c r="T298" i="5"/>
  <c r="G299" i="5"/>
  <c r="S299" i="5"/>
  <c r="T299" i="5"/>
  <c r="G300" i="5"/>
  <c r="S300" i="5"/>
  <c r="T300" i="5"/>
  <c r="G301" i="5"/>
  <c r="S301" i="5"/>
  <c r="T301" i="5"/>
  <c r="G302" i="5"/>
  <c r="S302" i="5"/>
  <c r="T302" i="5"/>
  <c r="G303" i="5"/>
  <c r="S303" i="5"/>
  <c r="T303" i="5"/>
  <c r="G304" i="5"/>
  <c r="S304" i="5"/>
  <c r="T304" i="5"/>
  <c r="G305" i="5"/>
  <c r="S305" i="5"/>
  <c r="T305" i="5"/>
  <c r="G306" i="5"/>
  <c r="S306" i="5"/>
  <c r="T306" i="5"/>
  <c r="G307" i="5"/>
  <c r="S307" i="5"/>
  <c r="T307" i="5"/>
  <c r="G308" i="5"/>
  <c r="S308" i="5"/>
  <c r="T308" i="5"/>
  <c r="G309" i="5"/>
  <c r="S309" i="5"/>
  <c r="T309" i="5"/>
  <c r="G310" i="5"/>
  <c r="S310" i="5"/>
  <c r="T310" i="5"/>
  <c r="G311" i="5"/>
  <c r="S311" i="5"/>
  <c r="T311" i="5"/>
  <c r="G312" i="5"/>
  <c r="S312" i="5"/>
  <c r="T312" i="5"/>
  <c r="G313" i="5"/>
  <c r="S313" i="5"/>
  <c r="T313" i="5"/>
  <c r="G314" i="5"/>
  <c r="S314" i="5"/>
  <c r="T314" i="5"/>
  <c r="G315" i="5"/>
  <c r="S315" i="5"/>
  <c r="T315" i="5"/>
  <c r="G316" i="5"/>
  <c r="S316" i="5"/>
  <c r="T316" i="5"/>
  <c r="A14" i="1"/>
  <c r="A13" i="1" s="1"/>
  <c r="A12" i="1" s="1"/>
  <c r="A11" i="1" s="1"/>
  <c r="A10" i="1" s="1"/>
  <c r="A9" i="1" s="1"/>
  <c r="A8" i="1" s="1"/>
  <c r="A7" i="1" s="1"/>
  <c r="A6" i="1" s="1"/>
  <c r="A5" i="1" s="1"/>
  <c r="C7" i="19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W136" i="3"/>
  <c r="T137" i="3"/>
  <c r="U137" i="3"/>
  <c r="V137" i="3" s="1"/>
  <c r="W137" i="3"/>
  <c r="T138" i="3"/>
  <c r="U138" i="3"/>
  <c r="V138" i="3" s="1"/>
  <c r="W138" i="3"/>
  <c r="T139" i="3"/>
  <c r="U139" i="3"/>
  <c r="V139" i="3" s="1"/>
  <c r="W139" i="3"/>
  <c r="T140" i="3"/>
  <c r="U140" i="3"/>
  <c r="V140" i="3" s="1"/>
  <c r="W140" i="3"/>
  <c r="T141" i="3"/>
  <c r="V141" i="3"/>
  <c r="W141" i="3"/>
  <c r="T142" i="3"/>
  <c r="V142" i="3"/>
  <c r="W142" i="3"/>
  <c r="T143" i="3"/>
  <c r="V143" i="3"/>
  <c r="W143" i="3"/>
  <c r="T144" i="3"/>
  <c r="V144" i="3"/>
  <c r="W144" i="3"/>
  <c r="T145" i="3"/>
  <c r="V145" i="3"/>
  <c r="W145" i="3"/>
  <c r="T146" i="3"/>
  <c r="V146" i="3"/>
  <c r="W146" i="3"/>
  <c r="T147" i="3"/>
  <c r="V147" i="3"/>
  <c r="W147" i="3"/>
  <c r="V148" i="3"/>
  <c r="W148" i="3"/>
  <c r="T149" i="3"/>
  <c r="V149" i="3"/>
  <c r="W149" i="3"/>
  <c r="V150" i="3"/>
  <c r="W150" i="3"/>
  <c r="T152" i="3"/>
  <c r="W152" i="3"/>
  <c r="T153" i="3"/>
  <c r="W153" i="3"/>
  <c r="T154" i="3"/>
  <c r="V154" i="3"/>
  <c r="W154" i="3"/>
  <c r="T155" i="3"/>
  <c r="W155" i="3"/>
  <c r="T156" i="3"/>
  <c r="V156" i="3"/>
  <c r="W156" i="3"/>
  <c r="T157" i="3"/>
  <c r="W157" i="3"/>
  <c r="T158" i="3"/>
  <c r="W158" i="3"/>
  <c r="T159" i="3"/>
  <c r="V159" i="3"/>
  <c r="W159" i="3"/>
  <c r="T160" i="3"/>
  <c r="V160" i="3"/>
  <c r="W160" i="3"/>
  <c r="T161" i="3"/>
  <c r="W161" i="3"/>
  <c r="T162" i="3"/>
  <c r="V162" i="3"/>
  <c r="W162" i="3"/>
  <c r="T163" i="3"/>
  <c r="W163" i="3"/>
  <c r="T164" i="3"/>
  <c r="W164" i="3"/>
  <c r="T165" i="3"/>
  <c r="W165" i="3"/>
  <c r="T166" i="3"/>
  <c r="V166" i="3"/>
  <c r="W166" i="3"/>
  <c r="T167" i="3"/>
  <c r="W167" i="3"/>
  <c r="T168" i="3"/>
  <c r="W168" i="3"/>
  <c r="T169" i="3"/>
  <c r="W169" i="3"/>
  <c r="T170" i="3"/>
  <c r="V170" i="3"/>
  <c r="W170" i="3"/>
  <c r="T171" i="3"/>
  <c r="W171" i="3"/>
  <c r="T172" i="3"/>
  <c r="W172" i="3"/>
  <c r="T173" i="3"/>
  <c r="W173" i="3"/>
  <c r="T174" i="3"/>
  <c r="W174" i="3"/>
  <c r="T175" i="3"/>
  <c r="W175" i="3"/>
  <c r="T176" i="3"/>
  <c r="W176" i="3"/>
  <c r="T177" i="3"/>
  <c r="W177" i="3"/>
  <c r="T178" i="3"/>
  <c r="W178" i="3"/>
  <c r="T179" i="3"/>
  <c r="W179" i="3"/>
  <c r="T180" i="3"/>
  <c r="W180" i="3"/>
  <c r="T181" i="3"/>
  <c r="W181" i="3"/>
  <c r="T182" i="3"/>
  <c r="V182" i="3"/>
  <c r="W182" i="3"/>
  <c r="T183" i="3"/>
  <c r="W183" i="3"/>
  <c r="T184" i="3"/>
  <c r="W184" i="3"/>
  <c r="T185" i="3"/>
  <c r="W185" i="3"/>
  <c r="T186" i="3"/>
  <c r="W186" i="3"/>
  <c r="T187" i="3"/>
  <c r="W187" i="3"/>
  <c r="T188" i="3"/>
  <c r="W188" i="3"/>
  <c r="T189" i="3"/>
  <c r="W189" i="3"/>
  <c r="T190" i="3"/>
  <c r="W190" i="3"/>
  <c r="T191" i="3"/>
  <c r="W191" i="3"/>
  <c r="T192" i="3"/>
  <c r="W192" i="3"/>
  <c r="T193" i="3"/>
  <c r="W193" i="3"/>
  <c r="T194" i="3"/>
  <c r="W194" i="3"/>
  <c r="T195" i="3"/>
  <c r="V195" i="3"/>
  <c r="W195" i="3"/>
  <c r="T196" i="3"/>
  <c r="W196" i="3"/>
  <c r="T197" i="3"/>
  <c r="W197" i="3"/>
  <c r="T198" i="3"/>
  <c r="W198" i="3"/>
  <c r="T199" i="3"/>
  <c r="W199" i="3"/>
  <c r="T200" i="3"/>
  <c r="W200" i="3"/>
  <c r="T201" i="3"/>
  <c r="W201" i="3"/>
  <c r="T202" i="3"/>
  <c r="W202" i="3"/>
  <c r="T203" i="3"/>
  <c r="W203" i="3"/>
  <c r="T204" i="3"/>
  <c r="W204" i="3"/>
  <c r="T205" i="3"/>
  <c r="W205" i="3"/>
  <c r="T206" i="3"/>
  <c r="W206" i="3"/>
  <c r="T207" i="3"/>
  <c r="W207" i="3"/>
  <c r="T208" i="3"/>
  <c r="V208" i="3"/>
  <c r="W208" i="3"/>
  <c r="T209" i="3"/>
  <c r="W209" i="3"/>
  <c r="T210" i="3"/>
  <c r="W210" i="3"/>
  <c r="T211" i="3"/>
  <c r="W211" i="3"/>
  <c r="T212" i="3"/>
  <c r="V212" i="3"/>
  <c r="W212" i="3"/>
  <c r="T213" i="3"/>
  <c r="W213" i="3"/>
  <c r="T214" i="3"/>
  <c r="W214" i="3"/>
  <c r="T215" i="3"/>
  <c r="W215" i="3"/>
  <c r="T216" i="3"/>
  <c r="V216" i="3"/>
  <c r="W216" i="3"/>
  <c r="T217" i="3"/>
  <c r="W217" i="3"/>
  <c r="T218" i="3"/>
  <c r="W218" i="3"/>
  <c r="T219" i="3"/>
  <c r="W219" i="3"/>
  <c r="T220" i="3"/>
  <c r="V220" i="3"/>
  <c r="W220" i="3"/>
  <c r="T221" i="3"/>
  <c r="V221" i="3"/>
  <c r="W221" i="3"/>
  <c r="T222" i="3"/>
  <c r="W222" i="3"/>
  <c r="T223" i="3"/>
  <c r="W223" i="3"/>
  <c r="T224" i="3"/>
  <c r="W224" i="3"/>
  <c r="T225" i="3"/>
  <c r="W225" i="3"/>
  <c r="T226" i="3"/>
  <c r="W226" i="3"/>
  <c r="T227" i="3"/>
  <c r="W227" i="3"/>
  <c r="T228" i="3"/>
  <c r="W228" i="3"/>
  <c r="T229" i="3"/>
  <c r="V229" i="3"/>
  <c r="W229" i="3"/>
  <c r="T230" i="3"/>
  <c r="W230" i="3"/>
  <c r="W127" i="3"/>
  <c r="W128" i="3"/>
  <c r="W129" i="3"/>
  <c r="W130" i="3"/>
  <c r="U134" i="3"/>
  <c r="G12" i="6" s="1" a="1"/>
  <c r="G12" i="6" s="1"/>
  <c r="U133" i="3"/>
  <c r="V133" i="3" s="1"/>
  <c r="U132" i="3"/>
  <c r="U131" i="3"/>
  <c r="U130" i="3"/>
  <c r="V130" i="3" s="1"/>
  <c r="U129" i="3"/>
  <c r="U128" i="3"/>
  <c r="V128" i="3" s="1"/>
  <c r="U127" i="3"/>
  <c r="U126" i="3"/>
  <c r="U125" i="3"/>
  <c r="U124" i="3"/>
  <c r="U123" i="3"/>
  <c r="V123" i="3" s="1"/>
  <c r="U122" i="3"/>
  <c r="U121" i="3"/>
  <c r="V121" i="3" s="1"/>
  <c r="U120" i="3"/>
  <c r="V120" i="3" s="1"/>
  <c r="U119" i="3"/>
  <c r="V119" i="3" s="1"/>
  <c r="B103" i="17"/>
  <c r="C103" i="17"/>
  <c r="D103" i="17"/>
  <c r="E103" i="17"/>
  <c r="B104" i="17"/>
  <c r="C104" i="17"/>
  <c r="D104" i="17"/>
  <c r="E104" i="17"/>
  <c r="B105" i="17"/>
  <c r="C105" i="17"/>
  <c r="D105" i="17"/>
  <c r="E105" i="17"/>
  <c r="B106" i="17"/>
  <c r="C106" i="17"/>
  <c r="D106" i="17"/>
  <c r="E106" i="17"/>
  <c r="B107" i="17"/>
  <c r="C107" i="17"/>
  <c r="D107" i="17"/>
  <c r="E107" i="17"/>
  <c r="B108" i="17"/>
  <c r="C108" i="17"/>
  <c r="D108" i="17"/>
  <c r="E108" i="17"/>
  <c r="B109" i="17"/>
  <c r="C109" i="17"/>
  <c r="D109" i="17"/>
  <c r="E109" i="17"/>
  <c r="B110" i="17"/>
  <c r="C110" i="17"/>
  <c r="D110" i="17"/>
  <c r="E110" i="17"/>
  <c r="B111" i="17"/>
  <c r="C111" i="17"/>
  <c r="D111" i="17"/>
  <c r="E111" i="17"/>
  <c r="B112" i="17"/>
  <c r="C112" i="17"/>
  <c r="D112" i="17"/>
  <c r="E112" i="17"/>
  <c r="B113" i="17"/>
  <c r="C113" i="17"/>
  <c r="D113" i="17"/>
  <c r="E113" i="17"/>
  <c r="B114" i="17"/>
  <c r="C114" i="17"/>
  <c r="D114" i="17"/>
  <c r="E114" i="17"/>
  <c r="B115" i="17"/>
  <c r="C115" i="17"/>
  <c r="D115" i="17"/>
  <c r="E115" i="17"/>
  <c r="B116" i="17"/>
  <c r="C116" i="17"/>
  <c r="D116" i="17"/>
  <c r="E116" i="17"/>
  <c r="B117" i="17"/>
  <c r="C117" i="17"/>
  <c r="D117" i="17"/>
  <c r="E117" i="17"/>
  <c r="B118" i="17"/>
  <c r="C118" i="17"/>
  <c r="D118" i="17"/>
  <c r="E118" i="17"/>
  <c r="B119" i="17"/>
  <c r="C119" i="17"/>
  <c r="D119" i="17"/>
  <c r="E119" i="17"/>
  <c r="B120" i="17"/>
  <c r="C120" i="17"/>
  <c r="D120" i="17"/>
  <c r="E120" i="17"/>
  <c r="B121" i="17"/>
  <c r="C121" i="17"/>
  <c r="D121" i="17"/>
  <c r="E121" i="17"/>
  <c r="B122" i="17"/>
  <c r="C122" i="17"/>
  <c r="D122" i="17"/>
  <c r="E122" i="17"/>
  <c r="B123" i="17"/>
  <c r="C123" i="17"/>
  <c r="D123" i="17"/>
  <c r="E123" i="17"/>
  <c r="B124" i="17"/>
  <c r="C124" i="17"/>
  <c r="D124" i="17"/>
  <c r="E124" i="17"/>
  <c r="B125" i="17"/>
  <c r="C125" i="17"/>
  <c r="D125" i="17"/>
  <c r="E125" i="17"/>
  <c r="B126" i="17"/>
  <c r="C126" i="17"/>
  <c r="D126" i="17"/>
  <c r="E126" i="17"/>
  <c r="B127" i="17"/>
  <c r="C127" i="17"/>
  <c r="D127" i="17"/>
  <c r="E127" i="17"/>
  <c r="B128" i="17"/>
  <c r="C128" i="17"/>
  <c r="D128" i="17"/>
  <c r="E128" i="17"/>
  <c r="B129" i="17"/>
  <c r="C129" i="17"/>
  <c r="D129" i="17"/>
  <c r="E129" i="17"/>
  <c r="B130" i="17"/>
  <c r="C130" i="17"/>
  <c r="D130" i="17"/>
  <c r="E130" i="17"/>
  <c r="B131" i="17"/>
  <c r="C131" i="17"/>
  <c r="D131" i="17"/>
  <c r="E131" i="17"/>
  <c r="B132" i="17"/>
  <c r="C132" i="17"/>
  <c r="D132" i="17"/>
  <c r="E132" i="17"/>
  <c r="B133" i="17"/>
  <c r="C133" i="17"/>
  <c r="D133" i="17"/>
  <c r="E133" i="17"/>
  <c r="B134" i="17"/>
  <c r="C134" i="17"/>
  <c r="D134" i="17"/>
  <c r="E134" i="17"/>
  <c r="B135" i="17"/>
  <c r="C135" i="17"/>
  <c r="D135" i="17"/>
  <c r="E135" i="17"/>
  <c r="B136" i="17"/>
  <c r="C136" i="17"/>
  <c r="D136" i="17"/>
  <c r="E136" i="17"/>
  <c r="B137" i="17"/>
  <c r="C137" i="17"/>
  <c r="D137" i="17"/>
  <c r="E137" i="17"/>
  <c r="B138" i="17"/>
  <c r="C138" i="17"/>
  <c r="D138" i="17"/>
  <c r="E138" i="17"/>
  <c r="B139" i="17"/>
  <c r="C139" i="17"/>
  <c r="D139" i="17"/>
  <c r="E139" i="17"/>
  <c r="B140" i="17"/>
  <c r="C140" i="17"/>
  <c r="D140" i="17"/>
  <c r="E140" i="17"/>
  <c r="B141" i="17"/>
  <c r="C141" i="17"/>
  <c r="D141" i="17"/>
  <c r="E141" i="17"/>
  <c r="B142" i="17"/>
  <c r="C142" i="17"/>
  <c r="D142" i="17"/>
  <c r="E142" i="17"/>
  <c r="B143" i="17"/>
  <c r="C143" i="17"/>
  <c r="D143" i="17"/>
  <c r="E143" i="17"/>
  <c r="B144" i="17"/>
  <c r="C144" i="17"/>
  <c r="D144" i="17"/>
  <c r="E144" i="17"/>
  <c r="B145" i="17"/>
  <c r="C145" i="17"/>
  <c r="D145" i="17"/>
  <c r="E145" i="17"/>
  <c r="B146" i="17"/>
  <c r="C146" i="17"/>
  <c r="D146" i="17"/>
  <c r="E146" i="17"/>
  <c r="B147" i="17"/>
  <c r="C147" i="17"/>
  <c r="D147" i="17"/>
  <c r="E147" i="17"/>
  <c r="B148" i="17"/>
  <c r="C148" i="17"/>
  <c r="D148" i="17"/>
  <c r="E148" i="17"/>
  <c r="B149" i="17"/>
  <c r="C149" i="17"/>
  <c r="D149" i="17"/>
  <c r="E149" i="17"/>
  <c r="B150" i="17"/>
  <c r="C150" i="17"/>
  <c r="D150" i="17"/>
  <c r="E150" i="17"/>
  <c r="B151" i="17"/>
  <c r="C151" i="17"/>
  <c r="D151" i="17"/>
  <c r="E151" i="17"/>
  <c r="B152" i="17"/>
  <c r="C152" i="17"/>
  <c r="D152" i="17"/>
  <c r="E152" i="17"/>
  <c r="B153" i="17"/>
  <c r="C153" i="17"/>
  <c r="D153" i="17"/>
  <c r="E153" i="17"/>
  <c r="B154" i="17"/>
  <c r="C154" i="17"/>
  <c r="D154" i="17"/>
  <c r="E154" i="17"/>
  <c r="B155" i="17"/>
  <c r="C155" i="17"/>
  <c r="D155" i="17"/>
  <c r="E155" i="17"/>
  <c r="B156" i="17"/>
  <c r="C156" i="17"/>
  <c r="D156" i="17"/>
  <c r="E156" i="17"/>
  <c r="B157" i="17"/>
  <c r="C157" i="17"/>
  <c r="D157" i="17"/>
  <c r="E157" i="17"/>
  <c r="B158" i="17"/>
  <c r="C158" i="17"/>
  <c r="D158" i="17"/>
  <c r="E158" i="17"/>
  <c r="B159" i="17"/>
  <c r="C159" i="17"/>
  <c r="D159" i="17"/>
  <c r="E159" i="17"/>
  <c r="B160" i="17"/>
  <c r="C160" i="17"/>
  <c r="D160" i="17"/>
  <c r="E160" i="17"/>
  <c r="B161" i="17"/>
  <c r="C161" i="17"/>
  <c r="D161" i="17"/>
  <c r="E161" i="17"/>
  <c r="B162" i="17"/>
  <c r="C162" i="17"/>
  <c r="D162" i="17"/>
  <c r="E162" i="17"/>
  <c r="B163" i="17"/>
  <c r="C163" i="17"/>
  <c r="D163" i="17"/>
  <c r="E163" i="17"/>
  <c r="B164" i="17"/>
  <c r="C164" i="17"/>
  <c r="D164" i="17"/>
  <c r="E164" i="17"/>
  <c r="B165" i="17"/>
  <c r="C165" i="17"/>
  <c r="D165" i="17"/>
  <c r="E165" i="17"/>
  <c r="B166" i="17"/>
  <c r="C166" i="17"/>
  <c r="D166" i="17"/>
  <c r="E166" i="17"/>
  <c r="B167" i="17"/>
  <c r="C167" i="17"/>
  <c r="D167" i="17"/>
  <c r="E167" i="17"/>
  <c r="B168" i="17"/>
  <c r="C168" i="17"/>
  <c r="D168" i="17"/>
  <c r="E168" i="17"/>
  <c r="B169" i="17"/>
  <c r="C169" i="17"/>
  <c r="D169" i="17"/>
  <c r="E169" i="17"/>
  <c r="B170" i="17"/>
  <c r="C170" i="17"/>
  <c r="D170" i="17"/>
  <c r="E170" i="17"/>
  <c r="B171" i="17"/>
  <c r="C171" i="17"/>
  <c r="D171" i="17"/>
  <c r="E171" i="17"/>
  <c r="B172" i="17"/>
  <c r="C172" i="17"/>
  <c r="D172" i="17"/>
  <c r="E172" i="17"/>
  <c r="B173" i="17"/>
  <c r="C173" i="17"/>
  <c r="D173" i="17"/>
  <c r="E173" i="17"/>
  <c r="B174" i="17"/>
  <c r="C174" i="17"/>
  <c r="D174" i="17"/>
  <c r="E174" i="17"/>
  <c r="B175" i="17"/>
  <c r="C175" i="17"/>
  <c r="D175" i="17"/>
  <c r="E175" i="17"/>
  <c r="B176" i="17"/>
  <c r="C176" i="17"/>
  <c r="D176" i="17"/>
  <c r="E176" i="17"/>
  <c r="B177" i="17"/>
  <c r="C177" i="17"/>
  <c r="D177" i="17"/>
  <c r="E177" i="17"/>
  <c r="B178" i="17"/>
  <c r="C178" i="17"/>
  <c r="D178" i="17"/>
  <c r="E178" i="17"/>
  <c r="B179" i="17"/>
  <c r="C179" i="17"/>
  <c r="D179" i="17"/>
  <c r="E179" i="17"/>
  <c r="B180" i="17"/>
  <c r="C180" i="17"/>
  <c r="D180" i="17"/>
  <c r="E180" i="17"/>
  <c r="B181" i="17"/>
  <c r="C181" i="17"/>
  <c r="D181" i="17"/>
  <c r="E181" i="17"/>
  <c r="B182" i="17"/>
  <c r="C182" i="17"/>
  <c r="D182" i="17"/>
  <c r="E182" i="17"/>
  <c r="B183" i="17"/>
  <c r="C183" i="17"/>
  <c r="D183" i="17"/>
  <c r="E183" i="17"/>
  <c r="B184" i="17"/>
  <c r="C184" i="17"/>
  <c r="D184" i="17"/>
  <c r="E184" i="17"/>
  <c r="B185" i="17"/>
  <c r="C185" i="17"/>
  <c r="D185" i="17"/>
  <c r="E185" i="17"/>
  <c r="B186" i="17"/>
  <c r="C186" i="17"/>
  <c r="D186" i="17"/>
  <c r="E186" i="17"/>
  <c r="B187" i="17"/>
  <c r="C187" i="17"/>
  <c r="D187" i="17"/>
  <c r="E187" i="17"/>
  <c r="B188" i="17"/>
  <c r="C188" i="17"/>
  <c r="D188" i="17"/>
  <c r="E188" i="17"/>
  <c r="B189" i="17"/>
  <c r="C189" i="17"/>
  <c r="D189" i="17"/>
  <c r="E189" i="17"/>
  <c r="B190" i="17"/>
  <c r="C190" i="17"/>
  <c r="D190" i="17"/>
  <c r="E190" i="17"/>
  <c r="B191" i="17"/>
  <c r="C191" i="17"/>
  <c r="D191" i="17"/>
  <c r="E191" i="17"/>
  <c r="B192" i="17"/>
  <c r="C192" i="17"/>
  <c r="D192" i="17"/>
  <c r="E192" i="17"/>
  <c r="B193" i="17"/>
  <c r="C193" i="17"/>
  <c r="D193" i="17"/>
  <c r="E193" i="17"/>
  <c r="B194" i="17"/>
  <c r="C194" i="17"/>
  <c r="D194" i="17"/>
  <c r="E194" i="17"/>
  <c r="B195" i="17"/>
  <c r="C195" i="17"/>
  <c r="D195" i="17"/>
  <c r="E195" i="17"/>
  <c r="B196" i="17"/>
  <c r="C196" i="17"/>
  <c r="D196" i="17"/>
  <c r="E196" i="17"/>
  <c r="B197" i="17"/>
  <c r="C197" i="17"/>
  <c r="D197" i="17"/>
  <c r="E197" i="17"/>
  <c r="B198" i="17"/>
  <c r="C198" i="17"/>
  <c r="D198" i="17"/>
  <c r="E198" i="17"/>
  <c r="B199" i="17"/>
  <c r="C199" i="17"/>
  <c r="D199" i="17"/>
  <c r="E199" i="17"/>
  <c r="B200" i="17"/>
  <c r="C200" i="17"/>
  <c r="D200" i="17"/>
  <c r="E200" i="17"/>
  <c r="B201" i="17"/>
  <c r="C201" i="17"/>
  <c r="D201" i="17"/>
  <c r="E201" i="17"/>
  <c r="B202" i="17"/>
  <c r="C202" i="17"/>
  <c r="D202" i="17"/>
  <c r="E202" i="17"/>
  <c r="B203" i="17"/>
  <c r="C203" i="17"/>
  <c r="D203" i="17"/>
  <c r="E203" i="17"/>
  <c r="B204" i="17"/>
  <c r="C204" i="17"/>
  <c r="D204" i="17"/>
  <c r="E204" i="17"/>
  <c r="B205" i="17"/>
  <c r="C205" i="17"/>
  <c r="D205" i="17"/>
  <c r="E205" i="17"/>
  <c r="T119" i="3"/>
  <c r="W119" i="3"/>
  <c r="T120" i="3"/>
  <c r="W120" i="3"/>
  <c r="T121" i="3"/>
  <c r="W121" i="3"/>
  <c r="T122" i="3"/>
  <c r="W122" i="3"/>
  <c r="T123" i="3"/>
  <c r="W123" i="3"/>
  <c r="T124" i="3"/>
  <c r="W124" i="3"/>
  <c r="T125" i="3"/>
  <c r="W125" i="3"/>
  <c r="T126" i="3"/>
  <c r="W126" i="3"/>
  <c r="T127" i="3"/>
  <c r="T128" i="3"/>
  <c r="T129" i="3"/>
  <c r="T130" i="3"/>
  <c r="T131" i="3"/>
  <c r="W131" i="3"/>
  <c r="T132" i="3"/>
  <c r="W132" i="3"/>
  <c r="T133" i="3"/>
  <c r="W133" i="3"/>
  <c r="T134" i="3"/>
  <c r="W134" i="3"/>
  <c r="E71" i="11"/>
  <c r="E72" i="11"/>
  <c r="O74" i="21" s="1"/>
  <c r="E73" i="11"/>
  <c r="E74" i="11"/>
  <c r="O76" i="21" s="1"/>
  <c r="E75" i="11"/>
  <c r="E76" i="11"/>
  <c r="E77" i="11"/>
  <c r="E78" i="11"/>
  <c r="O80" i="21" s="1"/>
  <c r="F78" i="11"/>
  <c r="E79" i="11"/>
  <c r="E80" i="11"/>
  <c r="E81" i="11"/>
  <c r="E82" i="11"/>
  <c r="E83" i="11"/>
  <c r="E84" i="11"/>
  <c r="O86" i="21" s="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O101" i="21" s="1"/>
  <c r="E100" i="11"/>
  <c r="E101" i="11"/>
  <c r="F101" i="11" s="1"/>
  <c r="E102" i="11"/>
  <c r="F102" i="11" s="1"/>
  <c r="E103" i="11"/>
  <c r="F103" i="11" s="1"/>
  <c r="E104" i="11"/>
  <c r="F104" i="11" s="1"/>
  <c r="E105" i="11"/>
  <c r="F105" i="11" s="1"/>
  <c r="E106" i="11"/>
  <c r="F106" i="11" s="1"/>
  <c r="E107" i="11"/>
  <c r="F107" i="11" s="1"/>
  <c r="E108" i="11"/>
  <c r="F108" i="11" s="1"/>
  <c r="E109" i="11"/>
  <c r="F109" i="11" s="1"/>
  <c r="E110" i="11"/>
  <c r="F110" i="11" s="1"/>
  <c r="E111" i="11"/>
  <c r="F111" i="11" s="1"/>
  <c r="E112" i="11"/>
  <c r="F112" i="11" s="1"/>
  <c r="E113" i="11"/>
  <c r="F113" i="11" s="1"/>
  <c r="E114" i="11"/>
  <c r="F114" i="11" s="1"/>
  <c r="E115" i="11"/>
  <c r="F115" i="11" s="1"/>
  <c r="E116" i="11"/>
  <c r="F116" i="11" s="1"/>
  <c r="E117" i="11"/>
  <c r="F117" i="11" s="1"/>
  <c r="E118" i="11"/>
  <c r="F118" i="11" s="1"/>
  <c r="E119" i="11"/>
  <c r="F119" i="11" s="1"/>
  <c r="E120" i="11"/>
  <c r="F120" i="11" s="1"/>
  <c r="E121" i="11"/>
  <c r="F121" i="11" s="1"/>
  <c r="E122" i="11"/>
  <c r="F122" i="11" s="1"/>
  <c r="E123" i="11"/>
  <c r="F123" i="11" s="1"/>
  <c r="E124" i="11"/>
  <c r="F124" i="11" s="1"/>
  <c r="E125" i="11"/>
  <c r="F125" i="11" s="1"/>
  <c r="E126" i="11"/>
  <c r="F126" i="11"/>
  <c r="E127" i="11"/>
  <c r="F127" i="11" s="1"/>
  <c r="E128" i="11"/>
  <c r="F128" i="11" s="1"/>
  <c r="E129" i="11"/>
  <c r="F129" i="11" s="1"/>
  <c r="E130" i="11"/>
  <c r="F130" i="11" s="1"/>
  <c r="E131" i="11"/>
  <c r="F131" i="11" s="1"/>
  <c r="E132" i="11"/>
  <c r="F132" i="11" s="1"/>
  <c r="E133" i="11"/>
  <c r="F133" i="11" s="1"/>
  <c r="E134" i="11"/>
  <c r="F134" i="11" s="1"/>
  <c r="E135" i="11"/>
  <c r="F135" i="11" s="1"/>
  <c r="E136" i="11"/>
  <c r="F136" i="11" s="1"/>
  <c r="E137" i="11"/>
  <c r="F137" i="11" s="1"/>
  <c r="E138" i="11"/>
  <c r="F138" i="11" s="1"/>
  <c r="E139" i="11"/>
  <c r="F139" i="11" s="1"/>
  <c r="E140" i="11"/>
  <c r="F140" i="11" s="1"/>
  <c r="E141" i="11"/>
  <c r="F141" i="11" s="1"/>
  <c r="E142" i="11"/>
  <c r="F142" i="11" s="1"/>
  <c r="E143" i="11"/>
  <c r="F143" i="11" s="1"/>
  <c r="E144" i="11"/>
  <c r="F144" i="11" s="1"/>
  <c r="E145" i="11"/>
  <c r="F145" i="11" s="1"/>
  <c r="E146" i="11"/>
  <c r="F146" i="11" s="1"/>
  <c r="E147" i="11"/>
  <c r="F147" i="11" s="1"/>
  <c r="E148" i="11"/>
  <c r="F148" i="11" s="1"/>
  <c r="E149" i="11"/>
  <c r="F149" i="11" s="1"/>
  <c r="E150" i="11"/>
  <c r="F150" i="11" s="1"/>
  <c r="E151" i="11"/>
  <c r="F151" i="11" s="1"/>
  <c r="E152" i="11"/>
  <c r="F152" i="11" s="1"/>
  <c r="E153" i="11"/>
  <c r="F153" i="11"/>
  <c r="E154" i="11"/>
  <c r="F154" i="11" s="1"/>
  <c r="E155" i="11"/>
  <c r="F155" i="11" s="1"/>
  <c r="E156" i="11"/>
  <c r="F156" i="11" s="1"/>
  <c r="E157" i="11"/>
  <c r="F157" i="11" s="1"/>
  <c r="E158" i="11"/>
  <c r="F158" i="11" s="1"/>
  <c r="E159" i="11"/>
  <c r="F159" i="11" s="1"/>
  <c r="E160" i="11"/>
  <c r="F160" i="11" s="1"/>
  <c r="E161" i="11"/>
  <c r="F161" i="11" s="1"/>
  <c r="E162" i="11"/>
  <c r="F162" i="11" s="1"/>
  <c r="E163" i="11"/>
  <c r="F163" i="11" s="1"/>
  <c r="E164" i="11"/>
  <c r="F164" i="11" s="1"/>
  <c r="E70" i="11"/>
  <c r="E69" i="11"/>
  <c r="E66" i="11"/>
  <c r="E68" i="11"/>
  <c r="B1" i="5"/>
  <c r="E67" i="11"/>
  <c r="G67" i="15"/>
  <c r="G68" i="15"/>
  <c r="G69" i="15"/>
  <c r="G70" i="15"/>
  <c r="F67" i="15"/>
  <c r="F68" i="15"/>
  <c r="F69" i="15"/>
  <c r="F70" i="15"/>
  <c r="T118" i="3"/>
  <c r="W118" i="3"/>
  <c r="E64" i="11"/>
  <c r="E65" i="11"/>
  <c r="S106" i="3"/>
  <c r="Z106" i="3" s="1"/>
  <c r="T106" i="3"/>
  <c r="U106" i="3"/>
  <c r="W106" i="3"/>
  <c r="S107" i="3"/>
  <c r="Z107" i="3" s="1"/>
  <c r="T107" i="3"/>
  <c r="U107" i="3"/>
  <c r="W107" i="3"/>
  <c r="S108" i="3"/>
  <c r="Z108" i="3" s="1"/>
  <c r="T108" i="3"/>
  <c r="U108" i="3"/>
  <c r="V108" i="3" s="1"/>
  <c r="W108" i="3"/>
  <c r="S109" i="3"/>
  <c r="Z109" i="3" s="1"/>
  <c r="T109" i="3"/>
  <c r="U109" i="3"/>
  <c r="W109" i="3"/>
  <c r="S110" i="3"/>
  <c r="Z110" i="3" s="1"/>
  <c r="T110" i="3"/>
  <c r="U110" i="3"/>
  <c r="W110" i="3"/>
  <c r="S111" i="3"/>
  <c r="Z111" i="3" s="1"/>
  <c r="T111" i="3"/>
  <c r="W111" i="3"/>
  <c r="S112" i="3"/>
  <c r="Z112" i="3" s="1"/>
  <c r="T112" i="3"/>
  <c r="W112" i="3"/>
  <c r="S113" i="3"/>
  <c r="Z113" i="3" s="1"/>
  <c r="T113" i="3"/>
  <c r="W113" i="3"/>
  <c r="S114" i="3"/>
  <c r="Z114" i="3" s="1"/>
  <c r="T114" i="3"/>
  <c r="W114" i="3"/>
  <c r="S115" i="3"/>
  <c r="Z115" i="3" s="1"/>
  <c r="T115" i="3"/>
  <c r="W115" i="3"/>
  <c r="S116" i="3"/>
  <c r="Z116" i="3" s="1"/>
  <c r="T116" i="3"/>
  <c r="W116" i="3"/>
  <c r="S117" i="3"/>
  <c r="Z117" i="3" s="1"/>
  <c r="T117" i="3"/>
  <c r="W117" i="3"/>
  <c r="S118" i="3"/>
  <c r="Z118" i="3" s="1"/>
  <c r="G73" i="5"/>
  <c r="S73" i="5"/>
  <c r="A66" i="5"/>
  <c r="A67" i="5"/>
  <c r="A68" i="5"/>
  <c r="F68" i="5" s="1" a="1"/>
  <c r="F68" i="5" s="1"/>
  <c r="A69" i="5"/>
  <c r="F69" i="5" s="1" a="1"/>
  <c r="F69" i="5" s="1"/>
  <c r="A70" i="5"/>
  <c r="A71" i="5"/>
  <c r="A62" i="5"/>
  <c r="A63" i="5"/>
  <c r="A64" i="5"/>
  <c r="A65" i="5"/>
  <c r="F5" i="12"/>
  <c r="G5" i="12"/>
  <c r="H5" i="12"/>
  <c r="I5" i="12"/>
  <c r="J5" i="12"/>
  <c r="F22" i="12"/>
  <c r="G22" i="12"/>
  <c r="H22" i="12"/>
  <c r="I22" i="12"/>
  <c r="J22" i="12"/>
  <c r="F27" i="12"/>
  <c r="G27" i="12"/>
  <c r="H27" i="12"/>
  <c r="I27" i="12"/>
  <c r="J27" i="12"/>
  <c r="F35" i="12"/>
  <c r="G35" i="12"/>
  <c r="H35" i="12"/>
  <c r="I35" i="12"/>
  <c r="J35" i="12"/>
  <c r="F8" i="12"/>
  <c r="G8" i="12"/>
  <c r="H8" i="12"/>
  <c r="I8" i="12"/>
  <c r="J8" i="12"/>
  <c r="F43" i="12"/>
  <c r="G43" i="12"/>
  <c r="H43" i="12"/>
  <c r="I43" i="12"/>
  <c r="J43" i="12"/>
  <c r="F14" i="12"/>
  <c r="G14" i="12"/>
  <c r="H14" i="12"/>
  <c r="I14" i="12"/>
  <c r="J14" i="12"/>
  <c r="F9" i="12"/>
  <c r="G9" i="12"/>
  <c r="H9" i="12"/>
  <c r="I9" i="12"/>
  <c r="J9" i="12"/>
  <c r="F13" i="12"/>
  <c r="G13" i="12"/>
  <c r="H13" i="12"/>
  <c r="I13" i="12"/>
  <c r="J13" i="12"/>
  <c r="F10" i="12"/>
  <c r="G10" i="12"/>
  <c r="H10" i="12"/>
  <c r="I10" i="12"/>
  <c r="J10" i="12"/>
  <c r="F11" i="12"/>
  <c r="G11" i="12"/>
  <c r="H11" i="12"/>
  <c r="I11" i="12"/>
  <c r="J11" i="12"/>
  <c r="F30" i="12"/>
  <c r="G30" i="12"/>
  <c r="H30" i="12"/>
  <c r="I30" i="12"/>
  <c r="J30" i="12"/>
  <c r="F12" i="12"/>
  <c r="G12" i="12"/>
  <c r="H12" i="12"/>
  <c r="I12" i="12"/>
  <c r="J12" i="12"/>
  <c r="F53" i="12"/>
  <c r="G53" i="12"/>
  <c r="H53" i="12"/>
  <c r="I53" i="12"/>
  <c r="J53" i="12"/>
  <c r="F21" i="12"/>
  <c r="G21" i="12"/>
  <c r="H21" i="12"/>
  <c r="I21" i="12"/>
  <c r="J21" i="12"/>
  <c r="F46" i="12"/>
  <c r="G46" i="12"/>
  <c r="H46" i="12"/>
  <c r="I46" i="12"/>
  <c r="J46" i="12"/>
  <c r="F47" i="12"/>
  <c r="G47" i="12"/>
  <c r="H47" i="12"/>
  <c r="I47" i="12"/>
  <c r="J47" i="12"/>
  <c r="F45" i="12"/>
  <c r="G45" i="12"/>
  <c r="H45" i="12"/>
  <c r="I45" i="12"/>
  <c r="J45" i="12"/>
  <c r="F50" i="12"/>
  <c r="G50" i="12"/>
  <c r="H50" i="12"/>
  <c r="I50" i="12"/>
  <c r="J50" i="12"/>
  <c r="F52" i="12"/>
  <c r="G52" i="12"/>
  <c r="H52" i="12"/>
  <c r="I52" i="12"/>
  <c r="J52" i="12"/>
  <c r="F51" i="12"/>
  <c r="G51" i="12"/>
  <c r="H51" i="12"/>
  <c r="I51" i="12"/>
  <c r="J51" i="12"/>
  <c r="F65" i="12"/>
  <c r="G65" i="12"/>
  <c r="H65" i="12"/>
  <c r="I65" i="12"/>
  <c r="J65" i="12"/>
  <c r="F64" i="12"/>
  <c r="G64" i="12"/>
  <c r="H64" i="12"/>
  <c r="I64" i="12"/>
  <c r="J64" i="12"/>
  <c r="F54" i="12"/>
  <c r="G54" i="12"/>
  <c r="H54" i="12"/>
  <c r="I54" i="12"/>
  <c r="J54" i="12"/>
  <c r="F37" i="12"/>
  <c r="G37" i="12"/>
  <c r="H37" i="12"/>
  <c r="I37" i="12"/>
  <c r="J37" i="12"/>
  <c r="F69" i="12"/>
  <c r="G69" i="12"/>
  <c r="H69" i="12"/>
  <c r="I69" i="12"/>
  <c r="J69" i="12"/>
  <c r="F40" i="12"/>
  <c r="G40" i="12"/>
  <c r="H40" i="12"/>
  <c r="I40" i="12"/>
  <c r="J40" i="12"/>
  <c r="F72" i="12"/>
  <c r="G72" i="12"/>
  <c r="H72" i="12"/>
  <c r="I72" i="12"/>
  <c r="J72" i="12"/>
  <c r="F76" i="12"/>
  <c r="G76" i="12"/>
  <c r="H76" i="12"/>
  <c r="I76" i="12"/>
  <c r="J76" i="12"/>
  <c r="F63" i="12"/>
  <c r="G63" i="12"/>
  <c r="H63" i="12"/>
  <c r="I63" i="12"/>
  <c r="J63" i="12"/>
  <c r="F56" i="12"/>
  <c r="G56" i="12"/>
  <c r="H56" i="12"/>
  <c r="I56" i="12"/>
  <c r="J56" i="12"/>
  <c r="F20" i="12"/>
  <c r="G20" i="12"/>
  <c r="H20" i="12"/>
  <c r="I20" i="12"/>
  <c r="J20" i="12"/>
  <c r="F58" i="12"/>
  <c r="G58" i="12"/>
  <c r="H58" i="12"/>
  <c r="I58" i="12"/>
  <c r="J58" i="12"/>
  <c r="F57" i="12"/>
  <c r="G57" i="12"/>
  <c r="H57" i="12"/>
  <c r="I57" i="12"/>
  <c r="J57" i="12"/>
  <c r="G48" i="12"/>
  <c r="H48" i="12"/>
  <c r="I48" i="12"/>
  <c r="J48" i="12"/>
  <c r="G49" i="12"/>
  <c r="H49" i="12"/>
  <c r="I49" i="12"/>
  <c r="J49" i="12"/>
  <c r="F55" i="12"/>
  <c r="G55" i="12"/>
  <c r="H55" i="12"/>
  <c r="I55" i="12"/>
  <c r="J55" i="12"/>
  <c r="F31" i="12"/>
  <c r="G31" i="12"/>
  <c r="H31" i="12"/>
  <c r="I31" i="12"/>
  <c r="J31" i="12"/>
  <c r="F18" i="12"/>
  <c r="G18" i="12"/>
  <c r="H18" i="12"/>
  <c r="I18" i="12"/>
  <c r="J18" i="12"/>
  <c r="F17" i="12"/>
  <c r="G17" i="12"/>
  <c r="H17" i="12"/>
  <c r="I17" i="12"/>
  <c r="J17" i="12"/>
  <c r="F80" i="12"/>
  <c r="G80" i="12"/>
  <c r="H80" i="12"/>
  <c r="I80" i="12"/>
  <c r="J80" i="12"/>
  <c r="F70" i="12"/>
  <c r="G70" i="12"/>
  <c r="H70" i="12"/>
  <c r="I70" i="12"/>
  <c r="J70" i="12"/>
  <c r="F15" i="12"/>
  <c r="G15" i="12"/>
  <c r="H15" i="12"/>
  <c r="I15" i="12"/>
  <c r="J15" i="12"/>
  <c r="F79" i="12"/>
  <c r="G79" i="12"/>
  <c r="H79" i="12"/>
  <c r="I79" i="12"/>
  <c r="J79" i="12"/>
  <c r="F60" i="12"/>
  <c r="G60" i="12"/>
  <c r="H60" i="12"/>
  <c r="I60" i="12"/>
  <c r="J60" i="12"/>
  <c r="G61" i="12"/>
  <c r="H61" i="12"/>
  <c r="I61" i="12"/>
  <c r="J61" i="12"/>
  <c r="F78" i="12"/>
  <c r="G78" i="12"/>
  <c r="H78" i="12"/>
  <c r="I78" i="12"/>
  <c r="J78" i="12"/>
  <c r="F73" i="12"/>
  <c r="G73" i="12"/>
  <c r="H73" i="12"/>
  <c r="I73" i="12"/>
  <c r="J73" i="12"/>
  <c r="F41" i="12"/>
  <c r="G41" i="12"/>
  <c r="H41" i="12"/>
  <c r="I41" i="12"/>
  <c r="J41" i="12"/>
  <c r="F67" i="12"/>
  <c r="G67" i="12"/>
  <c r="H67" i="12"/>
  <c r="I67" i="12"/>
  <c r="J67" i="12"/>
  <c r="F71" i="12"/>
  <c r="G71" i="12"/>
  <c r="H71" i="12"/>
  <c r="I71" i="12"/>
  <c r="J71" i="12"/>
  <c r="F74" i="12"/>
  <c r="G74" i="12"/>
  <c r="H74" i="12"/>
  <c r="I74" i="12"/>
  <c r="J74" i="12"/>
  <c r="F68" i="12"/>
  <c r="G68" i="12"/>
  <c r="H68" i="12"/>
  <c r="I68" i="12"/>
  <c r="J68" i="12"/>
  <c r="F66" i="12"/>
  <c r="G66" i="12"/>
  <c r="H66" i="12"/>
  <c r="I66" i="12"/>
  <c r="J66" i="12"/>
  <c r="F59" i="12"/>
  <c r="G59" i="12"/>
  <c r="H59" i="12"/>
  <c r="I59" i="12"/>
  <c r="J59" i="12"/>
  <c r="F77" i="12"/>
  <c r="G77" i="12"/>
  <c r="H77" i="12"/>
  <c r="I77" i="12"/>
  <c r="J77" i="12"/>
  <c r="F62" i="12"/>
  <c r="G62" i="12"/>
  <c r="H62" i="12"/>
  <c r="I62" i="12"/>
  <c r="J62" i="12"/>
  <c r="F75" i="12"/>
  <c r="G75" i="12"/>
  <c r="H75" i="12"/>
  <c r="I75" i="12"/>
  <c r="J75" i="12"/>
  <c r="F36" i="12"/>
  <c r="G36" i="12"/>
  <c r="H36" i="12"/>
  <c r="I36" i="12"/>
  <c r="J36" i="12"/>
  <c r="F25" i="12"/>
  <c r="G25" i="12"/>
  <c r="H25" i="12"/>
  <c r="I25" i="12"/>
  <c r="J25" i="12"/>
  <c r="F24" i="12"/>
  <c r="G24" i="12"/>
  <c r="H24" i="12"/>
  <c r="I24" i="12"/>
  <c r="J24" i="12"/>
  <c r="F26" i="12"/>
  <c r="G26" i="12"/>
  <c r="H26" i="12"/>
  <c r="I26" i="12"/>
  <c r="J26" i="12"/>
  <c r="F32" i="12"/>
  <c r="G32" i="12"/>
  <c r="H32" i="12"/>
  <c r="I32" i="12"/>
  <c r="J32" i="12"/>
  <c r="F29" i="12"/>
  <c r="G29" i="12"/>
  <c r="H29" i="12"/>
  <c r="I29" i="12"/>
  <c r="J29" i="12"/>
  <c r="F34" i="12"/>
  <c r="G34" i="12"/>
  <c r="H34" i="12"/>
  <c r="I34" i="12"/>
  <c r="J34" i="12"/>
  <c r="F39" i="12"/>
  <c r="G39" i="12"/>
  <c r="H39" i="12"/>
  <c r="I39" i="12"/>
  <c r="J39" i="12"/>
  <c r="I7" i="12"/>
  <c r="J7" i="12"/>
  <c r="I3" i="12"/>
  <c r="J3" i="12"/>
  <c r="I6" i="12"/>
  <c r="J6" i="12"/>
  <c r="I16" i="12"/>
  <c r="J16" i="12"/>
  <c r="I23" i="12"/>
  <c r="J23" i="12"/>
  <c r="I19" i="12"/>
  <c r="J19" i="12"/>
  <c r="E63" i="11"/>
  <c r="E57" i="11"/>
  <c r="E58" i="11"/>
  <c r="E59" i="11"/>
  <c r="E60" i="11"/>
  <c r="E61" i="11"/>
  <c r="E62" i="11"/>
  <c r="A1" i="17" a="1"/>
  <c r="E55" i="11"/>
  <c r="E56" i="11"/>
  <c r="S99" i="3"/>
  <c r="Z99" i="3" s="1"/>
  <c r="T99" i="3"/>
  <c r="U99" i="3"/>
  <c r="W99" i="3"/>
  <c r="S100" i="3"/>
  <c r="Z100" i="3" s="1"/>
  <c r="T100" i="3"/>
  <c r="U100" i="3"/>
  <c r="V100" i="3" s="1"/>
  <c r="W100" i="3"/>
  <c r="S101" i="3"/>
  <c r="Z101" i="3" s="1"/>
  <c r="T101" i="3"/>
  <c r="U101" i="3"/>
  <c r="W101" i="3"/>
  <c r="S102" i="3"/>
  <c r="Z102" i="3" s="1"/>
  <c r="T102" i="3"/>
  <c r="U102" i="3"/>
  <c r="V102" i="3" s="1"/>
  <c r="W102" i="3"/>
  <c r="S103" i="3"/>
  <c r="Z103" i="3" s="1"/>
  <c r="T103" i="3"/>
  <c r="U103" i="3"/>
  <c r="V103" i="3" s="1"/>
  <c r="W103" i="3"/>
  <c r="S104" i="3"/>
  <c r="Z104" i="3" s="1"/>
  <c r="T104" i="3"/>
  <c r="U104" i="3"/>
  <c r="V104" i="3" s="1"/>
  <c r="W104" i="3"/>
  <c r="S105" i="3"/>
  <c r="Z105" i="3" s="1"/>
  <c r="T105" i="3"/>
  <c r="U105" i="3"/>
  <c r="W105" i="3"/>
  <c r="T90" i="3"/>
  <c r="U90" i="3"/>
  <c r="W90" i="3"/>
  <c r="T91" i="3"/>
  <c r="U91" i="3"/>
  <c r="W91" i="3"/>
  <c r="T92" i="3"/>
  <c r="U92" i="3"/>
  <c r="W92" i="3"/>
  <c r="T93" i="3"/>
  <c r="U93" i="3"/>
  <c r="V93" i="3" s="1"/>
  <c r="W93" i="3"/>
  <c r="T94" i="3"/>
  <c r="U94" i="3"/>
  <c r="G15" i="6" s="1" a="1"/>
  <c r="G15" i="6" s="1"/>
  <c r="W94" i="3"/>
  <c r="T95" i="3"/>
  <c r="U95" i="3"/>
  <c r="V95" i="3" s="1"/>
  <c r="W95" i="3"/>
  <c r="T96" i="3"/>
  <c r="U96" i="3"/>
  <c r="W96" i="3"/>
  <c r="T97" i="3"/>
  <c r="U97" i="3"/>
  <c r="W97" i="3"/>
  <c r="T98" i="3"/>
  <c r="U98" i="3"/>
  <c r="V98" i="3" s="1"/>
  <c r="W98" i="3"/>
  <c r="S98" i="3"/>
  <c r="Z98" i="3" s="1"/>
  <c r="S97" i="3"/>
  <c r="Z97" i="3" s="1"/>
  <c r="S96" i="3"/>
  <c r="Z96" i="3" s="1"/>
  <c r="S95" i="3"/>
  <c r="Z95" i="3" s="1"/>
  <c r="S94" i="3"/>
  <c r="Z94" i="3" s="1"/>
  <c r="S93" i="3"/>
  <c r="Z93" i="3" s="1"/>
  <c r="S92" i="3"/>
  <c r="Z92" i="3" s="1"/>
  <c r="S91" i="3"/>
  <c r="Z91" i="3" s="1"/>
  <c r="S90" i="3"/>
  <c r="Z90" i="3" s="1"/>
  <c r="J4" i="12"/>
  <c r="I4" i="12"/>
  <c r="H4" i="12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F21" i="15" s="1"/>
  <c r="E22" i="15"/>
  <c r="F22" i="15" s="1"/>
  <c r="E23" i="15"/>
  <c r="F23" i="15" s="1"/>
  <c r="E24" i="15"/>
  <c r="F24" i="15" s="1"/>
  <c r="E25" i="15"/>
  <c r="F25" i="15" s="1"/>
  <c r="E26" i="15"/>
  <c r="F26" i="15" s="1"/>
  <c r="E27" i="15"/>
  <c r="F27" i="15" s="1"/>
  <c r="E28" i="15"/>
  <c r="F28" i="15" s="1"/>
  <c r="E29" i="15"/>
  <c r="F29" i="15" s="1"/>
  <c r="E30" i="15"/>
  <c r="F30" i="15" s="1"/>
  <c r="E31" i="15"/>
  <c r="F31" i="15" s="1"/>
  <c r="E32" i="15"/>
  <c r="F32" i="15" s="1"/>
  <c r="E33" i="15"/>
  <c r="F33" i="15" s="1"/>
  <c r="E34" i="15"/>
  <c r="F34" i="15" s="1"/>
  <c r="E35" i="15"/>
  <c r="F35" i="15" s="1"/>
  <c r="E36" i="15"/>
  <c r="F36" i="15" s="1"/>
  <c r="E37" i="15"/>
  <c r="F37" i="15" s="1"/>
  <c r="E38" i="15"/>
  <c r="F38" i="15" s="1"/>
  <c r="E39" i="15"/>
  <c r="F39" i="15" s="1"/>
  <c r="E40" i="15"/>
  <c r="F40" i="15" s="1"/>
  <c r="E41" i="15"/>
  <c r="E42" i="15"/>
  <c r="F42" i="15" s="1"/>
  <c r="E43" i="15"/>
  <c r="F43" i="15" s="1"/>
  <c r="E44" i="15"/>
  <c r="F44" i="15" s="1"/>
  <c r="E45" i="15"/>
  <c r="F45" i="15" s="1"/>
  <c r="E46" i="15"/>
  <c r="F46" i="15" s="1"/>
  <c r="E47" i="15"/>
  <c r="F47" i="15" s="1"/>
  <c r="E48" i="15"/>
  <c r="F48" i="15" s="1"/>
  <c r="E49" i="15"/>
  <c r="F49" i="15" s="1"/>
  <c r="E50" i="15"/>
  <c r="F50" i="15" s="1"/>
  <c r="E51" i="15"/>
  <c r="F51" i="15" s="1"/>
  <c r="E52" i="15"/>
  <c r="F52" i="15" s="1"/>
  <c r="E53" i="15"/>
  <c r="F53" i="15" s="1"/>
  <c r="E54" i="15"/>
  <c r="F54" i="15" s="1"/>
  <c r="E55" i="15"/>
  <c r="F55" i="15" s="1"/>
  <c r="E56" i="15"/>
  <c r="F56" i="15" s="1"/>
  <c r="E57" i="15"/>
  <c r="F57" i="15" s="1"/>
  <c r="E58" i="15"/>
  <c r="F58" i="15" s="1"/>
  <c r="E59" i="15"/>
  <c r="F59" i="15" s="1"/>
  <c r="E60" i="15"/>
  <c r="F60" i="15" s="1"/>
  <c r="E61" i="15"/>
  <c r="F61" i="15" s="1"/>
  <c r="E62" i="15"/>
  <c r="F62" i="15" s="1"/>
  <c r="E63" i="15"/>
  <c r="F63" i="15" s="1"/>
  <c r="E64" i="15"/>
  <c r="F64" i="15" s="1"/>
  <c r="E65" i="15"/>
  <c r="F65" i="15" s="1"/>
  <c r="E66" i="15"/>
  <c r="F66" i="15" s="1"/>
  <c r="E3" i="15"/>
  <c r="E4" i="15"/>
  <c r="F7" i="12"/>
  <c r="G7" i="12"/>
  <c r="H7" i="12"/>
  <c r="F3" i="12"/>
  <c r="G3" i="12"/>
  <c r="H3" i="12"/>
  <c r="F6" i="12"/>
  <c r="G6" i="12"/>
  <c r="H6" i="12"/>
  <c r="F16" i="12"/>
  <c r="G16" i="12"/>
  <c r="H16" i="12"/>
  <c r="F23" i="12"/>
  <c r="G23" i="12"/>
  <c r="H23" i="12"/>
  <c r="F19" i="12"/>
  <c r="G19" i="12"/>
  <c r="H19" i="12"/>
  <c r="E3" i="11"/>
  <c r="E4" i="11"/>
  <c r="E5" i="11"/>
  <c r="E6" i="11"/>
  <c r="E7" i="11"/>
  <c r="E8" i="11"/>
  <c r="E9" i="11"/>
  <c r="E10" i="11"/>
  <c r="E11" i="11"/>
  <c r="E12" i="11"/>
  <c r="E13" i="11"/>
  <c r="F13" i="11" s="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2" i="11"/>
  <c r="A5" i="5"/>
  <c r="F5" i="5" s="1" a="1"/>
  <c r="F5" i="5" s="1"/>
  <c r="A6" i="5"/>
  <c r="A7" i="5"/>
  <c r="S7" i="5" s="1"/>
  <c r="A8" i="5"/>
  <c r="I8" i="5" s="1"/>
  <c r="A9" i="5"/>
  <c r="A10" i="5"/>
  <c r="A11" i="5"/>
  <c r="A12" i="5"/>
  <c r="A13" i="5"/>
  <c r="A14" i="5"/>
  <c r="A15" i="5"/>
  <c r="A16" i="5"/>
  <c r="S16" i="5" s="1"/>
  <c r="A17" i="5"/>
  <c r="A18" i="5"/>
  <c r="A19" i="5"/>
  <c r="I19" i="5" s="1"/>
  <c r="A20" i="5"/>
  <c r="A21" i="5"/>
  <c r="A22" i="5"/>
  <c r="A23" i="5"/>
  <c r="A24" i="5"/>
  <c r="A25" i="5"/>
  <c r="S25" i="5" s="1"/>
  <c r="A26" i="5"/>
  <c r="S26" i="5" s="1"/>
  <c r="A27" i="5"/>
  <c r="A28" i="5"/>
  <c r="A29" i="5"/>
  <c r="A30" i="5"/>
  <c r="S30" i="5" s="1"/>
  <c r="A31" i="5"/>
  <c r="A32" i="5"/>
  <c r="A33" i="5"/>
  <c r="A34" i="5"/>
  <c r="A35" i="5"/>
  <c r="S35" i="5" s="1"/>
  <c r="A36" i="5"/>
  <c r="A37" i="5"/>
  <c r="A38" i="5"/>
  <c r="A39" i="5"/>
  <c r="F39" i="5" s="1" a="1"/>
  <c r="F39" i="5" s="1"/>
  <c r="A40" i="5"/>
  <c r="S40" i="5" s="1"/>
  <c r="A41" i="5"/>
  <c r="I41" i="5" s="1"/>
  <c r="A42" i="5"/>
  <c r="A43" i="5"/>
  <c r="A44" i="5"/>
  <c r="A45" i="5"/>
  <c r="A46" i="5"/>
  <c r="A47" i="5"/>
  <c r="A48" i="5"/>
  <c r="F48" i="5" s="1" a="1"/>
  <c r="F48" i="5" s="1"/>
  <c r="A49" i="5"/>
  <c r="A50" i="5"/>
  <c r="S50" i="5" s="1"/>
  <c r="A51" i="5"/>
  <c r="A52" i="5"/>
  <c r="A53" i="5"/>
  <c r="A54" i="5"/>
  <c r="A55" i="5"/>
  <c r="A56" i="5"/>
  <c r="S56" i="5" s="1"/>
  <c r="A57" i="5"/>
  <c r="B57" i="5" s="1"/>
  <c r="A58" i="5"/>
  <c r="A59" i="5"/>
  <c r="B59" i="5" s="1"/>
  <c r="A60" i="5"/>
  <c r="G60" i="5" s="1"/>
  <c r="A61" i="5"/>
  <c r="A4" i="5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09" i="6"/>
  <c r="Q108" i="6"/>
  <c r="Q107" i="6"/>
  <c r="Q103" i="6"/>
  <c r="Q102" i="6"/>
  <c r="Q101" i="6"/>
  <c r="J70" i="6"/>
  <c r="O55" i="6"/>
  <c r="H55" i="6"/>
  <c r="C55" i="6"/>
  <c r="B55" i="6"/>
  <c r="O54" i="6"/>
  <c r="H54" i="6"/>
  <c r="C54" i="6"/>
  <c r="B54" i="6"/>
  <c r="O53" i="6"/>
  <c r="H53" i="6"/>
  <c r="C53" i="6"/>
  <c r="B53" i="6"/>
  <c r="O52" i="6"/>
  <c r="H52" i="6"/>
  <c r="C52" i="6"/>
  <c r="B52" i="6"/>
  <c r="O51" i="6"/>
  <c r="H51" i="6"/>
  <c r="C51" i="6"/>
  <c r="B51" i="6"/>
  <c r="O50" i="6"/>
  <c r="H50" i="6"/>
  <c r="C50" i="6"/>
  <c r="B50" i="6"/>
  <c r="O49" i="6"/>
  <c r="H49" i="6"/>
  <c r="C49" i="6"/>
  <c r="B49" i="6"/>
  <c r="O48" i="6"/>
  <c r="H48" i="6"/>
  <c r="C48" i="6"/>
  <c r="B48" i="6"/>
  <c r="O47" i="6"/>
  <c r="H47" i="6"/>
  <c r="C47" i="6"/>
  <c r="B47" i="6"/>
  <c r="O46" i="6"/>
  <c r="H46" i="6"/>
  <c r="C46" i="6"/>
  <c r="B46" i="6"/>
  <c r="O45" i="6"/>
  <c r="H45" i="6"/>
  <c r="C45" i="6"/>
  <c r="B45" i="6"/>
  <c r="O44" i="6"/>
  <c r="K44" i="6"/>
  <c r="I44" i="6"/>
  <c r="H44" i="6"/>
  <c r="C44" i="6"/>
  <c r="B44" i="6"/>
  <c r="O43" i="6"/>
  <c r="K43" i="6"/>
  <c r="I43" i="6"/>
  <c r="H43" i="6"/>
  <c r="C43" i="6"/>
  <c r="B43" i="6"/>
  <c r="P42" i="6"/>
  <c r="O42" i="6"/>
  <c r="K42" i="6"/>
  <c r="J42" i="6"/>
  <c r="N42" i="6" s="1"/>
  <c r="I42" i="6"/>
  <c r="H42" i="6"/>
  <c r="G42" i="6" a="1"/>
  <c r="G42" i="6" s="1"/>
  <c r="C42" i="6"/>
  <c r="B42" i="6"/>
  <c r="P41" i="6"/>
  <c r="O41" i="6"/>
  <c r="K41" i="6"/>
  <c r="J41" i="6"/>
  <c r="N41" i="6" s="1"/>
  <c r="I41" i="6"/>
  <c r="H41" i="6"/>
  <c r="G41" i="6" a="1"/>
  <c r="G41" i="6" s="1"/>
  <c r="C41" i="6"/>
  <c r="B41" i="6"/>
  <c r="P40" i="6"/>
  <c r="O40" i="6"/>
  <c r="K40" i="6"/>
  <c r="J40" i="6"/>
  <c r="N40" i="6" s="1"/>
  <c r="I40" i="6"/>
  <c r="H40" i="6"/>
  <c r="G40" i="6" a="1"/>
  <c r="G40" i="6" s="1"/>
  <c r="C40" i="6"/>
  <c r="B40" i="6"/>
  <c r="P39" i="6"/>
  <c r="O39" i="6"/>
  <c r="K39" i="6"/>
  <c r="J39" i="6"/>
  <c r="N39" i="6" s="1"/>
  <c r="I39" i="6"/>
  <c r="H39" i="6"/>
  <c r="G39" i="6" a="1"/>
  <c r="G39" i="6" s="1"/>
  <c r="C39" i="6"/>
  <c r="B39" i="6"/>
  <c r="P38" i="6"/>
  <c r="O38" i="6"/>
  <c r="K38" i="6"/>
  <c r="J38" i="6"/>
  <c r="M38" i="6" s="1"/>
  <c r="I38" i="6"/>
  <c r="H38" i="6"/>
  <c r="G38" i="6" a="1"/>
  <c r="G38" i="6" s="1"/>
  <c r="C38" i="6"/>
  <c r="B38" i="6"/>
  <c r="P37" i="6"/>
  <c r="O37" i="6"/>
  <c r="K37" i="6"/>
  <c r="J37" i="6"/>
  <c r="N37" i="6" s="1"/>
  <c r="I37" i="6"/>
  <c r="H37" i="6"/>
  <c r="G37" i="6" a="1"/>
  <c r="G37" i="6" s="1"/>
  <c r="C37" i="6"/>
  <c r="B37" i="6"/>
  <c r="P36" i="6"/>
  <c r="O36" i="6"/>
  <c r="K36" i="6"/>
  <c r="J36" i="6"/>
  <c r="N36" i="6" s="1"/>
  <c r="I36" i="6"/>
  <c r="H36" i="6"/>
  <c r="G36" i="6" a="1"/>
  <c r="G36" i="6" s="1"/>
  <c r="C36" i="6"/>
  <c r="B36" i="6"/>
  <c r="O35" i="6"/>
  <c r="K35" i="6"/>
  <c r="I35" i="6"/>
  <c r="H35" i="6"/>
  <c r="C35" i="6"/>
  <c r="B35" i="6"/>
  <c r="P34" i="6"/>
  <c r="O34" i="6"/>
  <c r="K34" i="6"/>
  <c r="J34" i="6"/>
  <c r="N34" i="6" s="1"/>
  <c r="I34" i="6"/>
  <c r="H34" i="6"/>
  <c r="G34" i="6" a="1"/>
  <c r="G34" i="6" s="1"/>
  <c r="C34" i="6"/>
  <c r="B34" i="6"/>
  <c r="Q33" i="6"/>
  <c r="C33" i="6"/>
  <c r="B33" i="6"/>
  <c r="P32" i="6"/>
  <c r="O32" i="6"/>
  <c r="K32" i="6"/>
  <c r="J32" i="6"/>
  <c r="I32" i="6"/>
  <c r="H32" i="6"/>
  <c r="G32" i="6" a="1"/>
  <c r="G32" i="6" s="1"/>
  <c r="C32" i="6"/>
  <c r="B32" i="6"/>
  <c r="P31" i="6"/>
  <c r="O31" i="6"/>
  <c r="K31" i="6"/>
  <c r="J31" i="6"/>
  <c r="M31" i="6" s="1"/>
  <c r="I31" i="6"/>
  <c r="H31" i="6"/>
  <c r="G31" i="6" a="1"/>
  <c r="G31" i="6" s="1"/>
  <c r="C31" i="6"/>
  <c r="B31" i="6"/>
  <c r="P30" i="6"/>
  <c r="O30" i="6"/>
  <c r="K30" i="6"/>
  <c r="J30" i="6"/>
  <c r="I30" i="6"/>
  <c r="H30" i="6"/>
  <c r="G30" i="6" a="1"/>
  <c r="G30" i="6" s="1"/>
  <c r="C30" i="6"/>
  <c r="B30" i="6"/>
  <c r="P29" i="6"/>
  <c r="O29" i="6"/>
  <c r="J29" i="6"/>
  <c r="N29" i="6" s="1"/>
  <c r="H29" i="6"/>
  <c r="G29" i="6" a="1"/>
  <c r="G29" i="6" s="1"/>
  <c r="C29" i="6"/>
  <c r="B29" i="6"/>
  <c r="P28" i="6"/>
  <c r="O28" i="6"/>
  <c r="K28" i="6"/>
  <c r="J28" i="6"/>
  <c r="N28" i="6" s="1"/>
  <c r="I28" i="6"/>
  <c r="H28" i="6"/>
  <c r="G28" i="6" a="1"/>
  <c r="G28" i="6" s="1"/>
  <c r="C28" i="6"/>
  <c r="B28" i="6"/>
  <c r="P27" i="6"/>
  <c r="O27" i="6"/>
  <c r="K27" i="6"/>
  <c r="J27" i="6"/>
  <c r="N27" i="6" s="1"/>
  <c r="I27" i="6"/>
  <c r="H27" i="6"/>
  <c r="G27" i="6" a="1"/>
  <c r="G27" i="6" s="1"/>
  <c r="C27" i="6"/>
  <c r="B27" i="6"/>
  <c r="P26" i="6"/>
  <c r="O26" i="6"/>
  <c r="K26" i="6"/>
  <c r="J26" i="6"/>
  <c r="N26" i="6" s="1"/>
  <c r="I26" i="6"/>
  <c r="H26" i="6"/>
  <c r="G26" i="6" a="1"/>
  <c r="G26" i="6" s="1"/>
  <c r="C26" i="6"/>
  <c r="B26" i="6"/>
  <c r="P25" i="6"/>
  <c r="O25" i="6"/>
  <c r="J25" i="6"/>
  <c r="N25" i="6" s="1"/>
  <c r="H25" i="6"/>
  <c r="G25" i="6" a="1"/>
  <c r="G25" i="6" s="1"/>
  <c r="C25" i="6"/>
  <c r="B25" i="6"/>
  <c r="O24" i="6"/>
  <c r="K24" i="6"/>
  <c r="I24" i="6"/>
  <c r="H24" i="6"/>
  <c r="C24" i="6"/>
  <c r="B24" i="6"/>
  <c r="P23" i="6"/>
  <c r="O23" i="6"/>
  <c r="J23" i="6"/>
  <c r="H23" i="6"/>
  <c r="G23" i="6" a="1"/>
  <c r="G23" i="6" s="1"/>
  <c r="C23" i="6"/>
  <c r="B23" i="6"/>
  <c r="P22" i="6"/>
  <c r="O22" i="6"/>
  <c r="K22" i="6"/>
  <c r="J22" i="6"/>
  <c r="N22" i="6" s="1"/>
  <c r="I22" i="6"/>
  <c r="H22" i="6"/>
  <c r="G22" i="6" a="1"/>
  <c r="G22" i="6" s="1"/>
  <c r="C22" i="6"/>
  <c r="B22" i="6"/>
  <c r="P21" i="6"/>
  <c r="O21" i="6"/>
  <c r="K21" i="6"/>
  <c r="J21" i="6"/>
  <c r="N21" i="6" s="1"/>
  <c r="I21" i="6"/>
  <c r="H21" i="6"/>
  <c r="G21" i="6" a="1"/>
  <c r="G21" i="6" s="1"/>
  <c r="C21" i="6"/>
  <c r="B21" i="6"/>
  <c r="P20" i="6"/>
  <c r="O20" i="6"/>
  <c r="J20" i="6"/>
  <c r="M20" i="6" s="1"/>
  <c r="H20" i="6"/>
  <c r="G20" i="6" a="1"/>
  <c r="G20" i="6" s="1"/>
  <c r="C20" i="6"/>
  <c r="B20" i="6"/>
  <c r="G19" i="6" a="1"/>
  <c r="G19" i="6" s="1"/>
  <c r="C19" i="6"/>
  <c r="B19" i="6"/>
  <c r="O18" i="6"/>
  <c r="K18" i="6"/>
  <c r="I18" i="6"/>
  <c r="H18" i="6"/>
  <c r="C18" i="6"/>
  <c r="B18" i="6"/>
  <c r="P17" i="6"/>
  <c r="O17" i="6"/>
  <c r="K17" i="6"/>
  <c r="J17" i="6"/>
  <c r="M17" i="6" s="1"/>
  <c r="I17" i="6"/>
  <c r="H17" i="6"/>
  <c r="G17" i="6" a="1"/>
  <c r="G17" i="6" s="1"/>
  <c r="C17" i="6"/>
  <c r="B17" i="6"/>
  <c r="O16" i="6"/>
  <c r="H16" i="6"/>
  <c r="C16" i="6"/>
  <c r="B16" i="6"/>
  <c r="P15" i="6"/>
  <c r="O15" i="6"/>
  <c r="J15" i="6"/>
  <c r="H15" i="6"/>
  <c r="C15" i="6"/>
  <c r="B15" i="6"/>
  <c r="O14" i="6"/>
  <c r="H14" i="6"/>
  <c r="C14" i="6"/>
  <c r="B14" i="6"/>
  <c r="O13" i="6"/>
  <c r="H13" i="6"/>
  <c r="C13" i="6"/>
  <c r="B13" i="6"/>
  <c r="P12" i="6"/>
  <c r="O12" i="6"/>
  <c r="K12" i="6"/>
  <c r="J12" i="6"/>
  <c r="N12" i="6" s="1"/>
  <c r="I12" i="6"/>
  <c r="H12" i="6"/>
  <c r="C12" i="6"/>
  <c r="B12" i="6"/>
  <c r="P11" i="6"/>
  <c r="O11" i="6"/>
  <c r="K11" i="6"/>
  <c r="J11" i="6"/>
  <c r="N11" i="6" s="1"/>
  <c r="I11" i="6"/>
  <c r="H11" i="6"/>
  <c r="G11" i="6" a="1"/>
  <c r="G11" i="6" s="1"/>
  <c r="C11" i="6"/>
  <c r="B11" i="6"/>
  <c r="O10" i="6"/>
  <c r="K10" i="6"/>
  <c r="I10" i="6"/>
  <c r="H10" i="6"/>
  <c r="C10" i="6"/>
  <c r="B10" i="6"/>
  <c r="P9" i="6"/>
  <c r="O9" i="6"/>
  <c r="J9" i="6"/>
  <c r="M9" i="6" s="1"/>
  <c r="H9" i="6"/>
  <c r="C9" i="6"/>
  <c r="B9" i="6"/>
  <c r="O8" i="6"/>
  <c r="H8" i="6"/>
  <c r="C8" i="6"/>
  <c r="B8" i="6"/>
  <c r="P7" i="6"/>
  <c r="O7" i="6"/>
  <c r="J7" i="6"/>
  <c r="N7" i="6" s="1"/>
  <c r="H7" i="6"/>
  <c r="G7" i="6" a="1"/>
  <c r="G7" i="6" s="1"/>
  <c r="C7" i="6"/>
  <c r="B7" i="6"/>
  <c r="O6" i="6"/>
  <c r="H6" i="6"/>
  <c r="C6" i="6"/>
  <c r="B6" i="6"/>
  <c r="O5" i="6"/>
  <c r="H5" i="6"/>
  <c r="C5" i="6"/>
  <c r="B5" i="6"/>
  <c r="O4" i="6"/>
  <c r="K4" i="6"/>
  <c r="I4" i="6"/>
  <c r="H4" i="6"/>
  <c r="C4" i="6"/>
  <c r="B4" i="6"/>
  <c r="O3" i="6"/>
  <c r="K3" i="6"/>
  <c r="I3" i="6"/>
  <c r="H3" i="6"/>
  <c r="C3" i="6"/>
  <c r="B3" i="6"/>
  <c r="C2" i="6"/>
  <c r="B2" i="6"/>
  <c r="S9" i="5"/>
  <c r="S5" i="5"/>
  <c r="S6" i="5"/>
  <c r="S13" i="5"/>
  <c r="S14" i="5"/>
  <c r="S18" i="5"/>
  <c r="S19" i="5"/>
  <c r="S23" i="5"/>
  <c r="S24" i="5"/>
  <c r="S28" i="5"/>
  <c r="S29" i="5"/>
  <c r="S33" i="5"/>
  <c r="S34" i="5"/>
  <c r="S38" i="5"/>
  <c r="S39" i="5"/>
  <c r="S43" i="5"/>
  <c r="S44" i="5"/>
  <c r="S48" i="5"/>
  <c r="S49" i="5"/>
  <c r="S53" i="5"/>
  <c r="S54" i="5"/>
  <c r="S58" i="5"/>
  <c r="S59" i="5"/>
  <c r="S74" i="3"/>
  <c r="Z74" i="3" s="1"/>
  <c r="T74" i="3"/>
  <c r="U74" i="3"/>
  <c r="W74" i="3"/>
  <c r="S75" i="3"/>
  <c r="Z75" i="3" s="1"/>
  <c r="T75" i="3"/>
  <c r="U75" i="3"/>
  <c r="T77" i="5" s="1"/>
  <c r="W75" i="3"/>
  <c r="S79" i="3"/>
  <c r="Z79" i="3" s="1"/>
  <c r="T79" i="3"/>
  <c r="U79" i="3"/>
  <c r="W79" i="3"/>
  <c r="S76" i="3"/>
  <c r="Z76" i="3" s="1"/>
  <c r="T76" i="3"/>
  <c r="U76" i="3"/>
  <c r="W76" i="3"/>
  <c r="S80" i="3"/>
  <c r="Z80" i="3" s="1"/>
  <c r="T80" i="3"/>
  <c r="U80" i="3"/>
  <c r="W80" i="3"/>
  <c r="S81" i="3"/>
  <c r="Z81" i="3" s="1"/>
  <c r="T81" i="3"/>
  <c r="U81" i="3"/>
  <c r="F34" i="5" s="1" a="1"/>
  <c r="F34" i="5" s="1"/>
  <c r="W81" i="3"/>
  <c r="S82" i="3"/>
  <c r="Z82" i="3" s="1"/>
  <c r="T82" i="3"/>
  <c r="U82" i="3"/>
  <c r="F44" i="5" s="1" a="1"/>
  <c r="F44" i="5" s="1"/>
  <c r="W82" i="3"/>
  <c r="S83" i="3"/>
  <c r="Z83" i="3" s="1"/>
  <c r="T83" i="3"/>
  <c r="U83" i="3"/>
  <c r="W83" i="3"/>
  <c r="S84" i="3"/>
  <c r="Z84" i="3" s="1"/>
  <c r="T84" i="3"/>
  <c r="U84" i="3"/>
  <c r="V84" i="3" s="1"/>
  <c r="W84" i="3"/>
  <c r="S85" i="3"/>
  <c r="Z85" i="3" s="1"/>
  <c r="T85" i="3"/>
  <c r="U85" i="3"/>
  <c r="V85" i="3" s="1"/>
  <c r="W85" i="3"/>
  <c r="S86" i="3"/>
  <c r="Z86" i="3" s="1"/>
  <c r="T86" i="3"/>
  <c r="U86" i="3"/>
  <c r="W86" i="3"/>
  <c r="S87" i="3"/>
  <c r="Z87" i="3" s="1"/>
  <c r="T87" i="3"/>
  <c r="U87" i="3"/>
  <c r="W87" i="3"/>
  <c r="S88" i="3"/>
  <c r="Z88" i="3" s="1"/>
  <c r="T88" i="3"/>
  <c r="U88" i="3"/>
  <c r="V88" i="3" s="1"/>
  <c r="W88" i="3"/>
  <c r="S77" i="3"/>
  <c r="Z77" i="3" s="1"/>
  <c r="T77" i="3"/>
  <c r="U77" i="3"/>
  <c r="W77" i="3"/>
  <c r="S89" i="3"/>
  <c r="Z89" i="3" s="1"/>
  <c r="T89" i="3"/>
  <c r="U89" i="3"/>
  <c r="W89" i="3"/>
  <c r="S78" i="3"/>
  <c r="Z78" i="3" s="1"/>
  <c r="T78" i="3"/>
  <c r="U78" i="3"/>
  <c r="T83" i="5" s="1"/>
  <c r="W78" i="3"/>
  <c r="U62" i="3"/>
  <c r="F79" i="5" s="1" a="1"/>
  <c r="F79" i="5" s="1"/>
  <c r="U63" i="3"/>
  <c r="U64" i="3"/>
  <c r="F63" i="5" s="1" a="1"/>
  <c r="F63" i="5" s="1"/>
  <c r="U65" i="3"/>
  <c r="F4" i="5" s="1" a="1"/>
  <c r="F4" i="5" s="1"/>
  <c r="U66" i="3"/>
  <c r="T84" i="5" s="1"/>
  <c r="U67" i="3"/>
  <c r="V67" i="3" s="1"/>
  <c r="U68" i="3"/>
  <c r="U69" i="3"/>
  <c r="F57" i="5" s="1" a="1"/>
  <c r="F57" i="5" s="1"/>
  <c r="U70" i="3"/>
  <c r="F59" i="5" s="1" a="1"/>
  <c r="F59" i="5" s="1"/>
  <c r="U71" i="3"/>
  <c r="F47" i="5" s="1" a="1"/>
  <c r="F47" i="5" s="1"/>
  <c r="U72" i="3"/>
  <c r="U73" i="3"/>
  <c r="F80" i="5" s="1" a="1"/>
  <c r="F80" i="5" s="1"/>
  <c r="U61" i="3"/>
  <c r="S59" i="3"/>
  <c r="Z59" i="3" s="1"/>
  <c r="T59" i="3"/>
  <c r="W59" i="3"/>
  <c r="S60" i="3"/>
  <c r="Z60" i="3" s="1"/>
  <c r="T60" i="3"/>
  <c r="W60" i="3"/>
  <c r="S61" i="3"/>
  <c r="Z61" i="3" s="1"/>
  <c r="T61" i="3"/>
  <c r="W61" i="3"/>
  <c r="S62" i="3"/>
  <c r="Z62" i="3" s="1"/>
  <c r="T62" i="3"/>
  <c r="W62" i="3"/>
  <c r="S63" i="3"/>
  <c r="Z63" i="3" s="1"/>
  <c r="T63" i="3"/>
  <c r="W63" i="3"/>
  <c r="S64" i="3"/>
  <c r="Z64" i="3" s="1"/>
  <c r="T64" i="3"/>
  <c r="W64" i="3"/>
  <c r="S65" i="3"/>
  <c r="Z65" i="3" s="1"/>
  <c r="T65" i="3"/>
  <c r="W65" i="3"/>
  <c r="S66" i="3"/>
  <c r="Z66" i="3" s="1"/>
  <c r="T66" i="3"/>
  <c r="W66" i="3"/>
  <c r="S67" i="3"/>
  <c r="Z67" i="3" s="1"/>
  <c r="T67" i="3"/>
  <c r="W67" i="3"/>
  <c r="S68" i="3"/>
  <c r="Z68" i="3" s="1"/>
  <c r="T68" i="3"/>
  <c r="W68" i="3"/>
  <c r="S69" i="3"/>
  <c r="Z69" i="3" s="1"/>
  <c r="T69" i="3"/>
  <c r="W69" i="3"/>
  <c r="S70" i="3"/>
  <c r="Z70" i="3" s="1"/>
  <c r="T70" i="3"/>
  <c r="W70" i="3"/>
  <c r="S71" i="3"/>
  <c r="Z71" i="3" s="1"/>
  <c r="T71" i="3"/>
  <c r="W71" i="3"/>
  <c r="S72" i="3"/>
  <c r="Z72" i="3" s="1"/>
  <c r="T72" i="3"/>
  <c r="W72" i="3"/>
  <c r="S73" i="3"/>
  <c r="Z73" i="3" s="1"/>
  <c r="T73" i="3"/>
  <c r="W73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39" i="3"/>
  <c r="S31" i="3"/>
  <c r="Z31" i="3" s="1"/>
  <c r="T31" i="3"/>
  <c r="S32" i="3"/>
  <c r="Z32" i="3" s="1"/>
  <c r="T32" i="3"/>
  <c r="S33" i="3"/>
  <c r="Z33" i="3" s="1"/>
  <c r="T33" i="3"/>
  <c r="S34" i="3"/>
  <c r="Z34" i="3" s="1"/>
  <c r="T34" i="3"/>
  <c r="S36" i="3"/>
  <c r="Z36" i="3" s="1"/>
  <c r="T36" i="3"/>
  <c r="S37" i="3"/>
  <c r="Z37" i="3" s="1"/>
  <c r="T37" i="3"/>
  <c r="S38" i="3"/>
  <c r="Z38" i="3" s="1"/>
  <c r="T38" i="3"/>
  <c r="S39" i="3"/>
  <c r="Z39" i="3" s="1"/>
  <c r="T39" i="3"/>
  <c r="S40" i="3"/>
  <c r="Z40" i="3" s="1"/>
  <c r="T40" i="3"/>
  <c r="S41" i="3"/>
  <c r="Z41" i="3" s="1"/>
  <c r="T41" i="3"/>
  <c r="S42" i="3"/>
  <c r="Z42" i="3" s="1"/>
  <c r="T42" i="3"/>
  <c r="S43" i="3"/>
  <c r="Z43" i="3" s="1"/>
  <c r="T43" i="3"/>
  <c r="S44" i="3"/>
  <c r="Z44" i="3" s="1"/>
  <c r="T44" i="3"/>
  <c r="S45" i="3"/>
  <c r="Z45" i="3" s="1"/>
  <c r="T45" i="3"/>
  <c r="S46" i="3"/>
  <c r="Z46" i="3" s="1"/>
  <c r="T46" i="3"/>
  <c r="S47" i="3"/>
  <c r="Z47" i="3" s="1"/>
  <c r="T47" i="3"/>
  <c r="S48" i="3"/>
  <c r="Z48" i="3" s="1"/>
  <c r="T48" i="3"/>
  <c r="S49" i="3"/>
  <c r="Z49" i="3" s="1"/>
  <c r="T49" i="3"/>
  <c r="S50" i="3"/>
  <c r="Z50" i="3" s="1"/>
  <c r="T50" i="3"/>
  <c r="S51" i="3"/>
  <c r="Z51" i="3" s="1"/>
  <c r="T51" i="3"/>
  <c r="S52" i="3"/>
  <c r="Z52" i="3" s="1"/>
  <c r="T52" i="3"/>
  <c r="S53" i="3"/>
  <c r="Z53" i="3" s="1"/>
  <c r="T53" i="3"/>
  <c r="S54" i="3"/>
  <c r="Z54" i="3" s="1"/>
  <c r="T54" i="3"/>
  <c r="S55" i="3"/>
  <c r="Z55" i="3" s="1"/>
  <c r="T55" i="3"/>
  <c r="S56" i="3"/>
  <c r="Z56" i="3" s="1"/>
  <c r="T56" i="3"/>
  <c r="S57" i="3"/>
  <c r="Z57" i="3" s="1"/>
  <c r="T57" i="3"/>
  <c r="S58" i="3"/>
  <c r="Z58" i="3" s="1"/>
  <c r="T58" i="3"/>
  <c r="S13" i="3"/>
  <c r="Z13" i="3" s="1"/>
  <c r="T13" i="3"/>
  <c r="S14" i="3"/>
  <c r="Z14" i="3" s="1"/>
  <c r="T14" i="3"/>
  <c r="S15" i="3"/>
  <c r="Z15" i="3" s="1"/>
  <c r="T15" i="3"/>
  <c r="S16" i="3"/>
  <c r="Z16" i="3" s="1"/>
  <c r="T16" i="3"/>
  <c r="S17" i="3"/>
  <c r="Z17" i="3" s="1"/>
  <c r="T17" i="3"/>
  <c r="S18" i="3"/>
  <c r="Z18" i="3" s="1"/>
  <c r="T18" i="3"/>
  <c r="S19" i="3"/>
  <c r="Z19" i="3" s="1"/>
  <c r="T19" i="3"/>
  <c r="S20" i="3"/>
  <c r="Z20" i="3" s="1"/>
  <c r="T20" i="3"/>
  <c r="S21" i="3"/>
  <c r="Z21" i="3" s="1"/>
  <c r="T21" i="3"/>
  <c r="S22" i="3"/>
  <c r="Z22" i="3" s="1"/>
  <c r="T22" i="3"/>
  <c r="S23" i="3"/>
  <c r="Z23" i="3" s="1"/>
  <c r="T23" i="3"/>
  <c r="S24" i="3"/>
  <c r="Z24" i="3" s="1"/>
  <c r="T24" i="3"/>
  <c r="S25" i="3"/>
  <c r="Z25" i="3" s="1"/>
  <c r="T25" i="3"/>
  <c r="S26" i="3"/>
  <c r="Z26" i="3" s="1"/>
  <c r="T26" i="3"/>
  <c r="S27" i="3"/>
  <c r="Z27" i="3" s="1"/>
  <c r="T27" i="3"/>
  <c r="S28" i="3"/>
  <c r="Z28" i="3" s="1"/>
  <c r="T28" i="3"/>
  <c r="S29" i="3"/>
  <c r="Z29" i="3" s="1"/>
  <c r="T29" i="3"/>
  <c r="S30" i="3"/>
  <c r="Z30" i="3" s="1"/>
  <c r="T30" i="3"/>
  <c r="S2" i="3"/>
  <c r="T2" i="3"/>
  <c r="S3" i="3"/>
  <c r="Z3" i="3" s="1"/>
  <c r="T3" i="3"/>
  <c r="S4" i="3"/>
  <c r="Z4" i="3" s="1"/>
  <c r="T4" i="3"/>
  <c r="S5" i="3"/>
  <c r="Z5" i="3" s="1"/>
  <c r="T5" i="3"/>
  <c r="S6" i="3"/>
  <c r="Z6" i="3" s="1"/>
  <c r="T6" i="3"/>
  <c r="S7" i="3"/>
  <c r="Z7" i="3" s="1"/>
  <c r="T7" i="3"/>
  <c r="S8" i="3"/>
  <c r="Z8" i="3" s="1"/>
  <c r="T8" i="3"/>
  <c r="S9" i="3"/>
  <c r="Z9" i="3" s="1"/>
  <c r="T9" i="3"/>
  <c r="S10" i="3"/>
  <c r="Z10" i="3" s="1"/>
  <c r="T10" i="3"/>
  <c r="S11" i="3"/>
  <c r="Z11" i="3" s="1"/>
  <c r="T11" i="3"/>
  <c r="S12" i="3"/>
  <c r="Z12" i="3" s="1"/>
  <c r="T12" i="3"/>
  <c r="J249" i="23"/>
  <c r="D269" i="23"/>
  <c r="G249" i="23"/>
  <c r="D249" i="23"/>
  <c r="D270" i="23"/>
  <c r="H249" i="23"/>
  <c r="I249" i="23"/>
  <c r="E249" i="23"/>
  <c r="F249" i="23"/>
  <c r="G235" i="23" l="1"/>
  <c r="H230" i="23"/>
  <c r="G229" i="23"/>
  <c r="B250" i="23"/>
  <c r="G238" i="23"/>
  <c r="F237" i="23"/>
  <c r="G237" i="23" s="1"/>
  <c r="H232" i="23"/>
  <c r="G231" i="23"/>
  <c r="G232" i="23"/>
  <c r="F231" i="23"/>
  <c r="H235" i="23"/>
  <c r="G234" i="23"/>
  <c r="F233" i="23"/>
  <c r="J230" i="23"/>
  <c r="H228" i="23"/>
  <c r="G227" i="23"/>
  <c r="G236" i="23"/>
  <c r="I230" i="23"/>
  <c r="H229" i="23"/>
  <c r="G228" i="23"/>
  <c r="F202" i="23"/>
  <c r="G202" i="23" s="1"/>
  <c r="F173" i="23"/>
  <c r="G163" i="23"/>
  <c r="H163" i="23" s="1"/>
  <c r="G203" i="23"/>
  <c r="H203" i="23" s="1"/>
  <c r="G196" i="23"/>
  <c r="G139" i="23"/>
  <c r="F146" i="23"/>
  <c r="G146" i="23" s="1"/>
  <c r="H146" i="23" s="1"/>
  <c r="F209" i="23"/>
  <c r="G209" i="23" s="1"/>
  <c r="F201" i="23"/>
  <c r="G201" i="23" s="1"/>
  <c r="F184" i="23"/>
  <c r="G184" i="23" s="1"/>
  <c r="G170" i="23"/>
  <c r="F159" i="23"/>
  <c r="G159" i="23" s="1"/>
  <c r="G154" i="23"/>
  <c r="H154" i="23" s="1"/>
  <c r="F183" i="23"/>
  <c r="G183" i="23" s="1"/>
  <c r="F223" i="23"/>
  <c r="G223" i="23" s="1"/>
  <c r="F208" i="23"/>
  <c r="G208" i="23" s="1"/>
  <c r="F200" i="23"/>
  <c r="G200" i="23" s="1"/>
  <c r="H200" i="23" s="1"/>
  <c r="F192" i="23"/>
  <c r="G192" i="23" s="1"/>
  <c r="F169" i="23"/>
  <c r="G169" i="23" s="1"/>
  <c r="F153" i="23"/>
  <c r="G153" i="23" s="1"/>
  <c r="F217" i="23"/>
  <c r="G217" i="23" s="1"/>
  <c r="F207" i="23"/>
  <c r="G177" i="23"/>
  <c r="F168" i="23"/>
  <c r="F152" i="23"/>
  <c r="G152" i="23" s="1"/>
  <c r="H152" i="23" s="1"/>
  <c r="I152" i="23" s="1"/>
  <c r="F143" i="23"/>
  <c r="G149" i="23"/>
  <c r="H149" i="23" s="1"/>
  <c r="G226" i="23"/>
  <c r="H226" i="23" s="1"/>
  <c r="F220" i="23"/>
  <c r="F212" i="23"/>
  <c r="F206" i="23"/>
  <c r="G206" i="23" s="1"/>
  <c r="G199" i="23"/>
  <c r="H186" i="23"/>
  <c r="I186" i="23" s="1"/>
  <c r="F167" i="23"/>
  <c r="G167" i="23" s="1"/>
  <c r="G162" i="23"/>
  <c r="H162" i="23" s="1"/>
  <c r="F150" i="23"/>
  <c r="G150" i="23" s="1"/>
  <c r="G224" i="23"/>
  <c r="H224" i="23" s="1"/>
  <c r="G222" i="23"/>
  <c r="H222" i="23" s="1"/>
  <c r="F205" i="23"/>
  <c r="G205" i="23" s="1"/>
  <c r="F181" i="23"/>
  <c r="F172" i="23"/>
  <c r="F166" i="23"/>
  <c r="G166" i="23" s="1"/>
  <c r="F156" i="23"/>
  <c r="G156" i="23" s="1"/>
  <c r="G225" i="23"/>
  <c r="H225" i="23" s="1"/>
  <c r="G215" i="23"/>
  <c r="H215" i="23" s="1"/>
  <c r="F204" i="23"/>
  <c r="G204" i="23" s="1"/>
  <c r="G198" i="23"/>
  <c r="H198" i="23" s="1"/>
  <c r="G193" i="23"/>
  <c r="H193" i="23" s="1"/>
  <c r="G191" i="23"/>
  <c r="H191" i="23" s="1"/>
  <c r="G171" i="23"/>
  <c r="H171" i="23" s="1"/>
  <c r="I171" i="23" s="1"/>
  <c r="F165" i="23"/>
  <c r="G165" i="23" s="1"/>
  <c r="G155" i="23"/>
  <c r="H155" i="23" s="1"/>
  <c r="I155" i="23" s="1"/>
  <c r="F180" i="23"/>
  <c r="G180" i="23" s="1"/>
  <c r="H180" i="23" s="1"/>
  <c r="H164" i="23"/>
  <c r="I164" i="23" s="1"/>
  <c r="B102" i="17"/>
  <c r="C102" i="17"/>
  <c r="D102" i="17"/>
  <c r="E102" i="17"/>
  <c r="B100" i="17"/>
  <c r="B101" i="17"/>
  <c r="C101" i="17"/>
  <c r="D101" i="17"/>
  <c r="E101" i="17"/>
  <c r="G190" i="23"/>
  <c r="G211" i="23"/>
  <c r="G195" i="23"/>
  <c r="H218" i="23"/>
  <c r="G214" i="23"/>
  <c r="G221" i="23"/>
  <c r="G219" i="23"/>
  <c r="H219" i="23" s="1"/>
  <c r="G216" i="23"/>
  <c r="G185" i="23"/>
  <c r="H185" i="23" s="1"/>
  <c r="G213" i="23"/>
  <c r="H210" i="23"/>
  <c r="H196" i="23"/>
  <c r="I196" i="23" s="1"/>
  <c r="H177" i="23"/>
  <c r="G161" i="23"/>
  <c r="G179" i="23"/>
  <c r="G160" i="23"/>
  <c r="G176" i="23"/>
  <c r="H176" i="23" s="1"/>
  <c r="G188" i="23"/>
  <c r="G194" i="23"/>
  <c r="G187" i="23"/>
  <c r="G174" i="23"/>
  <c r="H197" i="23"/>
  <c r="H157" i="23"/>
  <c r="G189" i="23"/>
  <c r="H178" i="23"/>
  <c r="G175" i="23"/>
  <c r="H182" i="23"/>
  <c r="G158" i="23"/>
  <c r="I157" i="23"/>
  <c r="G151" i="23"/>
  <c r="G148" i="23"/>
  <c r="G147" i="23"/>
  <c r="H147" i="23" s="1"/>
  <c r="G145" i="23"/>
  <c r="G144" i="23"/>
  <c r="H144" i="23" s="1"/>
  <c r="G142" i="23"/>
  <c r="H142" i="23" s="1"/>
  <c r="G141" i="23"/>
  <c r="G140" i="23"/>
  <c r="H140" i="23" s="1"/>
  <c r="I140" i="23" s="1"/>
  <c r="U158" i="5"/>
  <c r="E100" i="17"/>
  <c r="D100" i="17"/>
  <c r="C100" i="17"/>
  <c r="G9" i="6" a="1"/>
  <c r="G9" i="6" s="1"/>
  <c r="F90" i="5" a="1"/>
  <c r="F90" i="5" s="1"/>
  <c r="M154" i="21"/>
  <c r="F64" i="5" a="1"/>
  <c r="F64" i="5" s="1"/>
  <c r="F70" i="5" a="1"/>
  <c r="F70" i="5" s="1"/>
  <c r="T81" i="5"/>
  <c r="F74" i="5" a="1"/>
  <c r="F74" i="5" s="1"/>
  <c r="L4" i="4"/>
  <c r="F97" i="5" a="1"/>
  <c r="F97" i="5" s="1"/>
  <c r="F33" i="5" a="1"/>
  <c r="F33" i="5" s="1"/>
  <c r="F83" i="5" a="1"/>
  <c r="F83" i="5" s="1"/>
  <c r="L67" i="4"/>
  <c r="L59" i="4"/>
  <c r="L51" i="4"/>
  <c r="L43" i="4"/>
  <c r="L35" i="4"/>
  <c r="L27" i="4"/>
  <c r="L19" i="4"/>
  <c r="L11" i="4"/>
  <c r="L3" i="4"/>
  <c r="L66" i="4"/>
  <c r="L58" i="4"/>
  <c r="L50" i="4"/>
  <c r="L42" i="4"/>
  <c r="L34" i="4"/>
  <c r="L26" i="4"/>
  <c r="L18" i="4"/>
  <c r="L10" i="4"/>
  <c r="Z2" i="3"/>
  <c r="G139" i="21" s="1" a="1"/>
  <c r="G139" i="21" s="1"/>
  <c r="G208" i="21" a="1"/>
  <c r="G208" i="21" s="1"/>
  <c r="G189" i="21" a="1"/>
  <c r="G189" i="21" s="1"/>
  <c r="M84" i="12"/>
  <c r="L65" i="4"/>
  <c r="L57" i="4"/>
  <c r="L49" i="4"/>
  <c r="L41" i="4"/>
  <c r="L33" i="4"/>
  <c r="L25" i="4"/>
  <c r="L17" i="4"/>
  <c r="L9" i="4"/>
  <c r="G200" i="21" a="1"/>
  <c r="G200" i="21" s="1"/>
  <c r="F72" i="5" a="1"/>
  <c r="F72" i="5" s="1"/>
  <c r="L64" i="4"/>
  <c r="L56" i="4"/>
  <c r="L48" i="4"/>
  <c r="L40" i="4"/>
  <c r="L32" i="4"/>
  <c r="L24" i="4"/>
  <c r="L16" i="4"/>
  <c r="L8" i="4"/>
  <c r="G212" i="21" a="1"/>
  <c r="G212" i="21" s="1"/>
  <c r="F13" i="5" a="1"/>
  <c r="F13" i="5" s="1"/>
  <c r="F95" i="5" a="1"/>
  <c r="F95" i="5" s="1"/>
  <c r="L63" i="4"/>
  <c r="L55" i="4"/>
  <c r="L47" i="4"/>
  <c r="L39" i="4"/>
  <c r="L31" i="4"/>
  <c r="L23" i="4"/>
  <c r="L15" i="4"/>
  <c r="L7" i="4"/>
  <c r="M142" i="21"/>
  <c r="M120" i="21"/>
  <c r="T100" i="5"/>
  <c r="L2" i="4"/>
  <c r="R1" i="4" s="1"/>
  <c r="L62" i="4"/>
  <c r="L54" i="4"/>
  <c r="L46" i="4"/>
  <c r="L38" i="4"/>
  <c r="L30" i="4"/>
  <c r="L22" i="4"/>
  <c r="L14" i="4"/>
  <c r="L6" i="4"/>
  <c r="G202" i="21" a="1"/>
  <c r="G202" i="21" s="1"/>
  <c r="F43" i="5" a="1"/>
  <c r="F43" i="5" s="1"/>
  <c r="F85" i="5" a="1"/>
  <c r="F85" i="5" s="1"/>
  <c r="L69" i="4"/>
  <c r="L61" i="4"/>
  <c r="L53" i="4"/>
  <c r="L45" i="4"/>
  <c r="L37" i="4"/>
  <c r="L29" i="4"/>
  <c r="L21" i="4"/>
  <c r="L13" i="4"/>
  <c r="L5" i="4"/>
  <c r="R30" i="6"/>
  <c r="F308" i="5" a="1"/>
  <c r="F308" i="5" s="1"/>
  <c r="F100" i="5" a="1"/>
  <c r="F100" i="5" s="1"/>
  <c r="M102" i="12"/>
  <c r="L68" i="4"/>
  <c r="L60" i="4"/>
  <c r="L52" i="4"/>
  <c r="L44" i="4"/>
  <c r="L36" i="4"/>
  <c r="L28" i="4"/>
  <c r="L20" i="4"/>
  <c r="L12" i="4"/>
  <c r="E208" i="21"/>
  <c r="C204" i="21"/>
  <c r="H200" i="21"/>
  <c r="D200" i="21"/>
  <c r="E214" i="21"/>
  <c r="D208" i="21"/>
  <c r="C200" i="21"/>
  <c r="D214" i="21"/>
  <c r="C212" i="21"/>
  <c r="M95" i="12"/>
  <c r="M103" i="12"/>
  <c r="M104" i="12"/>
  <c r="M91" i="12"/>
  <c r="G176" i="21" a="1"/>
  <c r="G176" i="21" s="1"/>
  <c r="G114" i="21" a="1"/>
  <c r="G114" i="21" s="1"/>
  <c r="G173" i="21" a="1"/>
  <c r="G173" i="21" s="1"/>
  <c r="G108" i="21" a="1"/>
  <c r="G108" i="21" s="1"/>
  <c r="G123" i="21" a="1"/>
  <c r="G123" i="21" s="1"/>
  <c r="G109" i="21" a="1"/>
  <c r="G109" i="21" s="1"/>
  <c r="G171" i="21" a="1"/>
  <c r="G171" i="21" s="1"/>
  <c r="G160" i="21" a="1"/>
  <c r="G160" i="21" s="1"/>
  <c r="G131" i="21" a="1"/>
  <c r="G131" i="21" s="1"/>
  <c r="G197" i="21" a="1"/>
  <c r="G197" i="21" s="1"/>
  <c r="G199" i="21" a="1"/>
  <c r="G199" i="21" s="1"/>
  <c r="G117" i="21" a="1"/>
  <c r="G117" i="21" s="1"/>
  <c r="G213" i="21" a="1"/>
  <c r="G213" i="21" s="1"/>
  <c r="G203" i="21" a="1"/>
  <c r="G203" i="21" s="1"/>
  <c r="G172" i="21" a="1"/>
  <c r="G172" i="21" s="1"/>
  <c r="G181" i="21" a="1"/>
  <c r="G181" i="21" s="1"/>
  <c r="G198" i="21" a="1"/>
  <c r="G198" i="21" s="1"/>
  <c r="M171" i="21"/>
  <c r="M189" i="21"/>
  <c r="M166" i="21"/>
  <c r="J155" i="21"/>
  <c r="M155" i="21"/>
  <c r="M147" i="21"/>
  <c r="J147" i="21"/>
  <c r="L198" i="21"/>
  <c r="M198" i="21" s="1"/>
  <c r="L213" i="21"/>
  <c r="M213" i="21" s="1"/>
  <c r="L212" i="21"/>
  <c r="H202" i="21"/>
  <c r="H198" i="21"/>
  <c r="G138" i="21" a="1"/>
  <c r="G138" i="21" s="1"/>
  <c r="H213" i="21"/>
  <c r="H212" i="21"/>
  <c r="E202" i="21"/>
  <c r="J200" i="21"/>
  <c r="E198" i="21"/>
  <c r="L181" i="21"/>
  <c r="E180" i="21"/>
  <c r="D175" i="21"/>
  <c r="L173" i="21"/>
  <c r="M173" i="21" s="1"/>
  <c r="H172" i="21"/>
  <c r="H171" i="21"/>
  <c r="E156" i="21"/>
  <c r="D155" i="21"/>
  <c r="D147" i="21"/>
  <c r="L143" i="21"/>
  <c r="C140" i="21"/>
  <c r="M134" i="21"/>
  <c r="L131" i="21"/>
  <c r="H130" i="21"/>
  <c r="L123" i="21"/>
  <c r="M123" i="21" s="1"/>
  <c r="L122" i="21"/>
  <c r="E121" i="21"/>
  <c r="C120" i="21"/>
  <c r="D117" i="21"/>
  <c r="D114" i="21"/>
  <c r="L112" i="21"/>
  <c r="C108" i="21"/>
  <c r="G110" i="21" a="1"/>
  <c r="G110" i="21" s="1"/>
  <c r="G147" i="21" a="1"/>
  <c r="G147" i="21" s="1"/>
  <c r="E213" i="21"/>
  <c r="E212" i="21"/>
  <c r="L203" i="21"/>
  <c r="D202" i="21"/>
  <c r="E199" i="21"/>
  <c r="D198" i="21"/>
  <c r="D197" i="21"/>
  <c r="D213" i="21"/>
  <c r="D212" i="21"/>
  <c r="H208" i="21"/>
  <c r="E203" i="21"/>
  <c r="C202" i="21"/>
  <c r="E200" i="21"/>
  <c r="D199" i="21"/>
  <c r="C198" i="21"/>
  <c r="C197" i="21"/>
  <c r="H181" i="21"/>
  <c r="D180" i="21"/>
  <c r="L178" i="21"/>
  <c r="M178" i="21" s="1"/>
  <c r="C175" i="21"/>
  <c r="H173" i="21"/>
  <c r="E172" i="21"/>
  <c r="E171" i="21"/>
  <c r="M162" i="21"/>
  <c r="H160" i="21"/>
  <c r="C156" i="21"/>
  <c r="C155" i="21"/>
  <c r="M152" i="21"/>
  <c r="H150" i="21"/>
  <c r="C147" i="21"/>
  <c r="L144" i="21"/>
  <c r="E143" i="21"/>
  <c r="H134" i="21"/>
  <c r="E130" i="21"/>
  <c r="L128" i="21"/>
  <c r="M128" i="21" s="1"/>
  <c r="J124" i="21"/>
  <c r="H123" i="21"/>
  <c r="H122" i="21"/>
  <c r="E118" i="21"/>
  <c r="G112" i="21" a="1"/>
  <c r="G112" i="21" s="1"/>
  <c r="G150" i="21" a="1"/>
  <c r="G150" i="21" s="1"/>
  <c r="E181" i="21"/>
  <c r="L163" i="21"/>
  <c r="M163" i="21" s="1"/>
  <c r="H131" i="21"/>
  <c r="H124" i="21"/>
  <c r="H112" i="21"/>
  <c r="G155" i="21" a="1"/>
  <c r="G155" i="21" s="1"/>
  <c r="D181" i="21"/>
  <c r="L176" i="21"/>
  <c r="J176" i="21" s="1"/>
  <c r="H163" i="21"/>
  <c r="C150" i="21"/>
  <c r="D141" i="21"/>
  <c r="M139" i="21"/>
  <c r="E135" i="21"/>
  <c r="E131" i="21"/>
  <c r="C128" i="21"/>
  <c r="H125" i="21"/>
  <c r="E124" i="21"/>
  <c r="D122" i="21"/>
  <c r="M119" i="21"/>
  <c r="M114" i="21"/>
  <c r="M110" i="21"/>
  <c r="H107" i="21"/>
  <c r="G163" i="21" a="1"/>
  <c r="G163" i="21" s="1"/>
  <c r="M197" i="21"/>
  <c r="C181" i="21"/>
  <c r="L179" i="21"/>
  <c r="M179" i="21" s="1"/>
  <c r="D176" i="21"/>
  <c r="D174" i="21"/>
  <c r="E163" i="21"/>
  <c r="L153" i="21"/>
  <c r="D135" i="21"/>
  <c r="D131" i="21"/>
  <c r="H129" i="21"/>
  <c r="E125" i="21"/>
  <c r="D124" i="21"/>
  <c r="J116" i="21"/>
  <c r="G124" i="21" a="1"/>
  <c r="G124" i="21" s="1"/>
  <c r="C176" i="21"/>
  <c r="C174" i="21"/>
  <c r="L161" i="21"/>
  <c r="M161" i="21" s="1"/>
  <c r="E159" i="21"/>
  <c r="L151" i="21"/>
  <c r="M151" i="21" s="1"/>
  <c r="C131" i="21"/>
  <c r="E129" i="21"/>
  <c r="C124" i="21"/>
  <c r="D116" i="21"/>
  <c r="G107" i="21" a="1"/>
  <c r="G107" i="21" s="1"/>
  <c r="D195" i="21"/>
  <c r="G195" i="21" a="1"/>
  <c r="G195" i="21" s="1"/>
  <c r="L195" i="21"/>
  <c r="C195" i="21"/>
  <c r="E195" i="21"/>
  <c r="G193" i="21" a="1"/>
  <c r="G193" i="21" s="1"/>
  <c r="H193" i="21"/>
  <c r="L193" i="21"/>
  <c r="C193" i="21"/>
  <c r="D193" i="21"/>
  <c r="G191" i="21" a="1"/>
  <c r="G191" i="21" s="1"/>
  <c r="L191" i="21"/>
  <c r="H191" i="21"/>
  <c r="C191" i="21"/>
  <c r="D191" i="21"/>
  <c r="C188" i="21"/>
  <c r="L188" i="21"/>
  <c r="G188" i="21" a="1"/>
  <c r="G188" i="21" s="1"/>
  <c r="E188" i="21"/>
  <c r="H188" i="21"/>
  <c r="E186" i="21"/>
  <c r="L186" i="21"/>
  <c r="D186" i="21"/>
  <c r="G186" i="21" a="1"/>
  <c r="G186" i="21" s="1"/>
  <c r="H186" i="21"/>
  <c r="D145" i="21"/>
  <c r="G145" i="21" a="1"/>
  <c r="G145" i="21" s="1"/>
  <c r="L145" i="21"/>
  <c r="C145" i="21"/>
  <c r="E145" i="21"/>
  <c r="H145" i="21"/>
  <c r="G214" i="21" a="1"/>
  <c r="G214" i="21" s="1"/>
  <c r="C214" i="21"/>
  <c r="L214" i="21"/>
  <c r="G206" i="21" a="1"/>
  <c r="G206" i="21" s="1"/>
  <c r="H206" i="21"/>
  <c r="C206" i="21"/>
  <c r="D206" i="21"/>
  <c r="M199" i="21"/>
  <c r="E168" i="21"/>
  <c r="C168" i="21"/>
  <c r="G168" i="21" a="1"/>
  <c r="G168" i="21" s="1"/>
  <c r="H168" i="21"/>
  <c r="L168" i="21"/>
  <c r="D158" i="21"/>
  <c r="E158" i="21"/>
  <c r="G158" i="21" a="1"/>
  <c r="G158" i="21" s="1"/>
  <c r="H158" i="21"/>
  <c r="L158" i="21"/>
  <c r="G184" i="21" a="1"/>
  <c r="G184" i="21" s="1"/>
  <c r="L184" i="21"/>
  <c r="D184" i="21"/>
  <c r="E184" i="21"/>
  <c r="H184" i="21"/>
  <c r="G211" i="21" a="1"/>
  <c r="G211" i="21" s="1"/>
  <c r="H211" i="21"/>
  <c r="C211" i="21"/>
  <c r="D211" i="21"/>
  <c r="M190" i="21"/>
  <c r="J190" i="21"/>
  <c r="G183" i="21" a="1"/>
  <c r="G183" i="21" s="1"/>
  <c r="L183" i="21"/>
  <c r="D183" i="21"/>
  <c r="E183" i="21"/>
  <c r="H183" i="21"/>
  <c r="L210" i="21"/>
  <c r="J198" i="21"/>
  <c r="H167" i="21"/>
  <c r="G167" i="21" a="1"/>
  <c r="G167" i="21" s="1"/>
  <c r="C167" i="21"/>
  <c r="L167" i="21"/>
  <c r="D167" i="21"/>
  <c r="E167" i="21"/>
  <c r="J164" i="21"/>
  <c r="J161" i="21"/>
  <c r="L157" i="21"/>
  <c r="D157" i="21"/>
  <c r="G157" i="21" a="1"/>
  <c r="G157" i="21" s="1"/>
  <c r="C157" i="21"/>
  <c r="E157" i="21"/>
  <c r="H157" i="21"/>
  <c r="E148" i="21"/>
  <c r="L148" i="21"/>
  <c r="G148" i="21" a="1"/>
  <c r="G148" i="21" s="1"/>
  <c r="D148" i="21"/>
  <c r="H148" i="21"/>
  <c r="D137" i="21"/>
  <c r="G137" i="21" a="1"/>
  <c r="G137" i="21" s="1"/>
  <c r="L137" i="21"/>
  <c r="E137" i="21"/>
  <c r="H137" i="21"/>
  <c r="L115" i="21"/>
  <c r="G115" i="21" a="1"/>
  <c r="G115" i="21" s="1"/>
  <c r="D115" i="21"/>
  <c r="E115" i="21"/>
  <c r="H115" i="21"/>
  <c r="J213" i="21"/>
  <c r="H210" i="21"/>
  <c r="E207" i="21"/>
  <c r="L205" i="21"/>
  <c r="C196" i="21"/>
  <c r="L196" i="21"/>
  <c r="G196" i="21" a="1"/>
  <c r="G196" i="21" s="1"/>
  <c r="D196" i="21"/>
  <c r="E196" i="21"/>
  <c r="E194" i="21"/>
  <c r="L194" i="21"/>
  <c r="G194" i="21" a="1"/>
  <c r="G194" i="21" s="1"/>
  <c r="C194" i="21"/>
  <c r="D194" i="21"/>
  <c r="H192" i="21"/>
  <c r="L192" i="21"/>
  <c r="G192" i="21" a="1"/>
  <c r="G192" i="21" s="1"/>
  <c r="C192" i="21"/>
  <c r="D192" i="21"/>
  <c r="H190" i="21"/>
  <c r="G190" i="21" a="1"/>
  <c r="G190" i="21" s="1"/>
  <c r="C190" i="21"/>
  <c r="D190" i="21"/>
  <c r="D187" i="21"/>
  <c r="G187" i="21" a="1"/>
  <c r="G187" i="21" s="1"/>
  <c r="L187" i="21"/>
  <c r="E187" i="21"/>
  <c r="H187" i="21"/>
  <c r="G185" i="21" a="1"/>
  <c r="G185" i="21" s="1"/>
  <c r="H185" i="21"/>
  <c r="L185" i="21"/>
  <c r="D185" i="21"/>
  <c r="E185" i="21"/>
  <c r="L211" i="21"/>
  <c r="G204" i="21" a="1"/>
  <c r="G204" i="21" s="1"/>
  <c r="L204" i="21"/>
  <c r="E204" i="21"/>
  <c r="H204" i="21"/>
  <c r="G182" i="21" a="1"/>
  <c r="G182" i="21" s="1"/>
  <c r="L182" i="21"/>
  <c r="D182" i="21"/>
  <c r="E182" i="21"/>
  <c r="H182" i="21"/>
  <c r="J151" i="21"/>
  <c r="E136" i="21"/>
  <c r="L136" i="21"/>
  <c r="G136" i="21" a="1"/>
  <c r="G136" i="21" s="1"/>
  <c r="C136" i="21"/>
  <c r="D136" i="21"/>
  <c r="H136" i="21"/>
  <c r="M129" i="21"/>
  <c r="J129" i="21"/>
  <c r="H127" i="21"/>
  <c r="G127" i="21" a="1"/>
  <c r="G127" i="21" s="1"/>
  <c r="L127" i="21"/>
  <c r="D127" i="21"/>
  <c r="E127" i="21"/>
  <c r="M121" i="21"/>
  <c r="G207" i="21" a="1"/>
  <c r="G207" i="21" s="1"/>
  <c r="H207" i="21"/>
  <c r="G205" i="21" a="1"/>
  <c r="G205" i="21" s="1"/>
  <c r="D205" i="21"/>
  <c r="E205" i="21"/>
  <c r="M203" i="21"/>
  <c r="J203" i="21"/>
  <c r="G201" i="21" a="1"/>
  <c r="G201" i="21" s="1"/>
  <c r="C201" i="21"/>
  <c r="D201" i="21"/>
  <c r="L201" i="21"/>
  <c r="G210" i="21" a="1"/>
  <c r="G210" i="21" s="1"/>
  <c r="D210" i="21"/>
  <c r="E210" i="21"/>
  <c r="C207" i="21"/>
  <c r="C205" i="21"/>
  <c r="E201" i="21"/>
  <c r="J169" i="21"/>
  <c r="M169" i="21"/>
  <c r="J159" i="21"/>
  <c r="M159" i="21"/>
  <c r="C146" i="21"/>
  <c r="E146" i="21"/>
  <c r="G146" i="21" a="1"/>
  <c r="G146" i="21" s="1"/>
  <c r="H146" i="21"/>
  <c r="L146" i="21"/>
  <c r="M174" i="21"/>
  <c r="J174" i="21"/>
  <c r="J170" i="21"/>
  <c r="J163" i="21"/>
  <c r="H126" i="21"/>
  <c r="L126" i="21"/>
  <c r="G126" i="21" a="1"/>
  <c r="G126" i="21" s="1"/>
  <c r="C126" i="21"/>
  <c r="D126" i="21"/>
  <c r="E126" i="21"/>
  <c r="J123" i="21"/>
  <c r="C113" i="21"/>
  <c r="G113" i="21" a="1"/>
  <c r="G113" i="21" s="1"/>
  <c r="L113" i="21"/>
  <c r="E113" i="21"/>
  <c r="H113" i="21"/>
  <c r="C162" i="21"/>
  <c r="E162" i="21"/>
  <c r="E152" i="21"/>
  <c r="H152" i="21"/>
  <c r="L133" i="21"/>
  <c r="G133" i="21" a="1"/>
  <c r="G133" i="21" s="1"/>
  <c r="L202" i="21"/>
  <c r="J180" i="21"/>
  <c r="J179" i="21"/>
  <c r="J178" i="21"/>
  <c r="J177" i="21"/>
  <c r="H176" i="21"/>
  <c r="H175" i="21"/>
  <c r="H174" i="21"/>
  <c r="J173" i="21"/>
  <c r="J172" i="21"/>
  <c r="L165" i="21"/>
  <c r="C165" i="21"/>
  <c r="G165" i="21" a="1"/>
  <c r="G165" i="21" s="1"/>
  <c r="D153" i="21"/>
  <c r="G153" i="21" a="1"/>
  <c r="G153" i="21" s="1"/>
  <c r="H153" i="21"/>
  <c r="H143" i="21"/>
  <c r="G143" i="21" a="1"/>
  <c r="G143" i="21" s="1"/>
  <c r="L140" i="21"/>
  <c r="J128" i="21"/>
  <c r="D121" i="21"/>
  <c r="G121" i="21" a="1"/>
  <c r="G121" i="21" s="1"/>
  <c r="H119" i="21"/>
  <c r="G119" i="21" a="1"/>
  <c r="G119" i="21" s="1"/>
  <c r="J117" i="21"/>
  <c r="M117" i="21"/>
  <c r="H116" i="21"/>
  <c r="C111" i="21"/>
  <c r="E111" i="21"/>
  <c r="G111" i="21" a="1"/>
  <c r="G111" i="21" s="1"/>
  <c r="L111" i="21"/>
  <c r="G120" i="21" a="1"/>
  <c r="G120" i="21" s="1"/>
  <c r="G132" i="21" a="1"/>
  <c r="G132" i="21" s="1"/>
  <c r="H203" i="21"/>
  <c r="H180" i="21"/>
  <c r="H178" i="21"/>
  <c r="E176" i="21"/>
  <c r="E174" i="21"/>
  <c r="L160" i="21"/>
  <c r="C154" i="21"/>
  <c r="H154" i="21"/>
  <c r="L150" i="21"/>
  <c r="H135" i="21"/>
  <c r="G135" i="21" a="1"/>
  <c r="G135" i="21" s="1"/>
  <c r="L135" i="21"/>
  <c r="L132" i="21"/>
  <c r="L130" i="21"/>
  <c r="H128" i="21"/>
  <c r="L125" i="21"/>
  <c r="G125" i="21" a="1"/>
  <c r="G125" i="21" s="1"/>
  <c r="L118" i="21"/>
  <c r="E116" i="21"/>
  <c r="J109" i="21"/>
  <c r="M109" i="21"/>
  <c r="G122" i="21" a="1"/>
  <c r="G122" i="21" s="1"/>
  <c r="G134" i="21" a="1"/>
  <c r="G134" i="21" s="1"/>
  <c r="G162" i="21" a="1"/>
  <c r="G162" i="21" s="1"/>
  <c r="G174" i="21" a="1"/>
  <c r="G174" i="21" s="1"/>
  <c r="D179" i="21"/>
  <c r="G179" i="21" a="1"/>
  <c r="G179" i="21" s="1"/>
  <c r="G177" i="21" a="1"/>
  <c r="G177" i="21" s="1"/>
  <c r="H177" i="21"/>
  <c r="G175" i="21" a="1"/>
  <c r="G175" i="21" s="1"/>
  <c r="L175" i="21"/>
  <c r="D169" i="21"/>
  <c r="G169" i="21" a="1"/>
  <c r="G169" i="21" s="1"/>
  <c r="C169" i="21"/>
  <c r="H164" i="21"/>
  <c r="H159" i="21"/>
  <c r="G159" i="21" a="1"/>
  <c r="G159" i="21" s="1"/>
  <c r="D159" i="21"/>
  <c r="L149" i="21"/>
  <c r="E149" i="21"/>
  <c r="G149" i="21" a="1"/>
  <c r="G149" i="21" s="1"/>
  <c r="E142" i="21"/>
  <c r="C138" i="21"/>
  <c r="L138" i="21"/>
  <c r="E133" i="21"/>
  <c r="G152" i="21" a="1"/>
  <c r="G152" i="21" s="1"/>
  <c r="G164" i="21" a="1"/>
  <c r="G164" i="21" s="1"/>
  <c r="G178" i="21" a="1"/>
  <c r="G178" i="21" s="1"/>
  <c r="C170" i="21"/>
  <c r="D170" i="21"/>
  <c r="E164" i="21"/>
  <c r="H162" i="21"/>
  <c r="E160" i="21"/>
  <c r="D160" i="21"/>
  <c r="J156" i="21"/>
  <c r="D152" i="21"/>
  <c r="D142" i="21"/>
  <c r="D133" i="21"/>
  <c r="D130" i="21"/>
  <c r="D129" i="21"/>
  <c r="G129" i="21" a="1"/>
  <c r="G129" i="21" s="1"/>
  <c r="C118" i="21"/>
  <c r="G128" i="21" a="1"/>
  <c r="G128" i="21" s="1"/>
  <c r="G140" i="21" a="1"/>
  <c r="G140" i="21" s="1"/>
  <c r="G154" i="21" a="1"/>
  <c r="G154" i="21" s="1"/>
  <c r="G166" i="21" a="1"/>
  <c r="G166" i="21" s="1"/>
  <c r="G180" i="21" a="1"/>
  <c r="G180" i="21" s="1"/>
  <c r="M176" i="21"/>
  <c r="D164" i="21"/>
  <c r="D162" i="21"/>
  <c r="D161" i="21"/>
  <c r="G161" i="21" a="1"/>
  <c r="G161" i="21" s="1"/>
  <c r="E161" i="21"/>
  <c r="C152" i="21"/>
  <c r="H151" i="21"/>
  <c r="G151" i="21" a="1"/>
  <c r="G151" i="21" s="1"/>
  <c r="E151" i="21"/>
  <c r="C142" i="21"/>
  <c r="L141" i="21"/>
  <c r="H141" i="21"/>
  <c r="G141" i="21" a="1"/>
  <c r="G141" i="21" s="1"/>
  <c r="C133" i="21"/>
  <c r="E107" i="21"/>
  <c r="C107" i="21"/>
  <c r="L107" i="21"/>
  <c r="G116" i="21" a="1"/>
  <c r="G116" i="21" s="1"/>
  <c r="G130" i="21" a="1"/>
  <c r="G130" i="21" s="1"/>
  <c r="G142" i="21" a="1"/>
  <c r="G142" i="21" s="1"/>
  <c r="G118" i="21" a="1"/>
  <c r="G118" i="21" s="1"/>
  <c r="G144" i="21" a="1"/>
  <c r="G144" i="21" s="1"/>
  <c r="G156" i="21" a="1"/>
  <c r="G156" i="21" s="1"/>
  <c r="G170" i="21" a="1"/>
  <c r="G170" i="21" s="1"/>
  <c r="C109" i="21"/>
  <c r="E109" i="21"/>
  <c r="H110" i="21"/>
  <c r="L108" i="21"/>
  <c r="H108" i="21"/>
  <c r="F17" i="5" a="1"/>
  <c r="F17" i="5" s="1"/>
  <c r="S8" i="5"/>
  <c r="F54" i="11"/>
  <c r="O56" i="21"/>
  <c r="F51" i="11"/>
  <c r="O53" i="21"/>
  <c r="F48" i="11"/>
  <c r="O50" i="21"/>
  <c r="F45" i="11"/>
  <c r="O47" i="21"/>
  <c r="F42" i="11"/>
  <c r="O44" i="21"/>
  <c r="F39" i="11"/>
  <c r="O41" i="21"/>
  <c r="F36" i="11"/>
  <c r="O38" i="21"/>
  <c r="F33" i="11"/>
  <c r="O35" i="21"/>
  <c r="F30" i="11"/>
  <c r="O32" i="21"/>
  <c r="F27" i="11"/>
  <c r="O29" i="21"/>
  <c r="F24" i="11"/>
  <c r="O26" i="21"/>
  <c r="F21" i="11"/>
  <c r="O23" i="21"/>
  <c r="F18" i="11"/>
  <c r="O20" i="21"/>
  <c r="F15" i="11"/>
  <c r="O17" i="21"/>
  <c r="F12" i="11"/>
  <c r="O14" i="21"/>
  <c r="F9" i="11"/>
  <c r="O11" i="21"/>
  <c r="F6" i="11"/>
  <c r="O8" i="21"/>
  <c r="F3" i="11"/>
  <c r="O5" i="21"/>
  <c r="F56" i="11"/>
  <c r="O58" i="21"/>
  <c r="F62" i="11"/>
  <c r="O64" i="21"/>
  <c r="F59" i="11"/>
  <c r="O61" i="21"/>
  <c r="F63" i="11"/>
  <c r="O65" i="21"/>
  <c r="F68" i="11"/>
  <c r="O70" i="21"/>
  <c r="F70" i="11"/>
  <c r="O72" i="21"/>
  <c r="F96" i="11"/>
  <c r="O98" i="21"/>
  <c r="F93" i="11"/>
  <c r="O95" i="21"/>
  <c r="F90" i="11"/>
  <c r="O92" i="21"/>
  <c r="F87" i="11"/>
  <c r="O89" i="21"/>
  <c r="F84" i="11"/>
  <c r="F82" i="11"/>
  <c r="O84" i="21"/>
  <c r="F79" i="11"/>
  <c r="O81" i="21"/>
  <c r="F77" i="11"/>
  <c r="O79" i="21"/>
  <c r="F74" i="11"/>
  <c r="F72" i="11"/>
  <c r="T124" i="5"/>
  <c r="S118" i="5"/>
  <c r="G112" i="5"/>
  <c r="S103" i="5"/>
  <c r="G97" i="5"/>
  <c r="F53" i="11"/>
  <c r="O55" i="21"/>
  <c r="F50" i="11"/>
  <c r="O52" i="21"/>
  <c r="F47" i="11"/>
  <c r="O49" i="21"/>
  <c r="F44" i="11"/>
  <c r="O46" i="21"/>
  <c r="F41" i="11"/>
  <c r="O43" i="21"/>
  <c r="F38" i="11"/>
  <c r="O40" i="21"/>
  <c r="F35" i="11"/>
  <c r="O37" i="21"/>
  <c r="F32" i="11"/>
  <c r="O34" i="21"/>
  <c r="F29" i="11"/>
  <c r="O31" i="21"/>
  <c r="F26" i="11"/>
  <c r="O28" i="21"/>
  <c r="F23" i="11"/>
  <c r="O25" i="21"/>
  <c r="F20" i="11"/>
  <c r="O22" i="21"/>
  <c r="F17" i="11"/>
  <c r="O19" i="21"/>
  <c r="F14" i="11"/>
  <c r="O16" i="21"/>
  <c r="F11" i="11"/>
  <c r="O13" i="21"/>
  <c r="F8" i="11"/>
  <c r="O10" i="21"/>
  <c r="F5" i="11"/>
  <c r="O7" i="21"/>
  <c r="F55" i="11"/>
  <c r="O57" i="21"/>
  <c r="F61" i="11"/>
  <c r="O63" i="21"/>
  <c r="F58" i="11"/>
  <c r="O60" i="21"/>
  <c r="F65" i="11"/>
  <c r="O67" i="21"/>
  <c r="F67" i="11"/>
  <c r="O69" i="21"/>
  <c r="F66" i="11"/>
  <c r="O68" i="21"/>
  <c r="F100" i="11"/>
  <c r="O102" i="21"/>
  <c r="F98" i="11"/>
  <c r="O100" i="21"/>
  <c r="F95" i="11"/>
  <c r="O97" i="21"/>
  <c r="F92" i="11"/>
  <c r="O94" i="21"/>
  <c r="F89" i="11"/>
  <c r="O91" i="21"/>
  <c r="F86" i="11"/>
  <c r="O88" i="21"/>
  <c r="F81" i="11"/>
  <c r="O83" i="21"/>
  <c r="F76" i="11"/>
  <c r="O78" i="21"/>
  <c r="F38" i="5" a="1"/>
  <c r="F38" i="5" s="1"/>
  <c r="F26" i="5" a="1"/>
  <c r="F26" i="5" s="1"/>
  <c r="O4" i="21"/>
  <c r="F2" i="11"/>
  <c r="F52" i="11"/>
  <c r="O54" i="21"/>
  <c r="F49" i="11"/>
  <c r="O51" i="21"/>
  <c r="F46" i="11"/>
  <c r="O48" i="21"/>
  <c r="F43" i="11"/>
  <c r="O45" i="21"/>
  <c r="F40" i="11"/>
  <c r="O42" i="21"/>
  <c r="F37" i="11"/>
  <c r="O39" i="21"/>
  <c r="F34" i="11"/>
  <c r="O36" i="21"/>
  <c r="F31" i="11"/>
  <c r="O33" i="21"/>
  <c r="F28" i="11"/>
  <c r="O30" i="21"/>
  <c r="F25" i="11"/>
  <c r="O27" i="21"/>
  <c r="F22" i="11"/>
  <c r="O24" i="21"/>
  <c r="F19" i="11"/>
  <c r="O21" i="21"/>
  <c r="F16" i="11"/>
  <c r="O18" i="21"/>
  <c r="F10" i="11"/>
  <c r="O12" i="21"/>
  <c r="F7" i="11"/>
  <c r="O9" i="21"/>
  <c r="F4" i="11"/>
  <c r="O6" i="21"/>
  <c r="F60" i="11"/>
  <c r="O62" i="21"/>
  <c r="F57" i="11"/>
  <c r="O59" i="21"/>
  <c r="F64" i="11"/>
  <c r="O66" i="21"/>
  <c r="F69" i="11"/>
  <c r="O71" i="21"/>
  <c r="F99" i="11"/>
  <c r="F97" i="11"/>
  <c r="O99" i="21"/>
  <c r="F94" i="11"/>
  <c r="O96" i="21"/>
  <c r="F91" i="11"/>
  <c r="O93" i="21"/>
  <c r="F88" i="11"/>
  <c r="O90" i="21"/>
  <c r="F85" i="11"/>
  <c r="O87" i="21"/>
  <c r="F83" i="11"/>
  <c r="O85" i="21"/>
  <c r="F80" i="11"/>
  <c r="O82" i="21"/>
  <c r="F75" i="11"/>
  <c r="O77" i="21"/>
  <c r="F73" i="11"/>
  <c r="O75" i="21"/>
  <c r="F71" i="11"/>
  <c r="O73" i="21"/>
  <c r="S127" i="5"/>
  <c r="G125" i="5"/>
  <c r="G121" i="5"/>
  <c r="T119" i="5"/>
  <c r="G113" i="5"/>
  <c r="G106" i="5"/>
  <c r="S104" i="5"/>
  <c r="T91" i="5"/>
  <c r="S89" i="5"/>
  <c r="S88" i="5"/>
  <c r="B97" i="17"/>
  <c r="C97" i="17"/>
  <c r="D97" i="17"/>
  <c r="E97" i="17"/>
  <c r="B98" i="17"/>
  <c r="C98" i="17"/>
  <c r="D98" i="17"/>
  <c r="E98" i="17"/>
  <c r="B99" i="17"/>
  <c r="C99" i="17"/>
  <c r="D99" i="17"/>
  <c r="E99" i="17"/>
  <c r="C82" i="17"/>
  <c r="D83" i="17"/>
  <c r="C84" i="17"/>
  <c r="B85" i="17"/>
  <c r="E85" i="17"/>
  <c r="D86" i="17"/>
  <c r="C87" i="17"/>
  <c r="B88" i="17"/>
  <c r="E88" i="17"/>
  <c r="D89" i="17"/>
  <c r="C90" i="17"/>
  <c r="B91" i="17"/>
  <c r="E91" i="17"/>
  <c r="D92" i="17"/>
  <c r="C93" i="17"/>
  <c r="B94" i="17"/>
  <c r="E94" i="17"/>
  <c r="D95" i="17"/>
  <c r="C96" i="17"/>
  <c r="B83" i="17"/>
  <c r="E83" i="17"/>
  <c r="D84" i="17"/>
  <c r="C85" i="17"/>
  <c r="B86" i="17"/>
  <c r="E86" i="17"/>
  <c r="D87" i="17"/>
  <c r="C88" i="17"/>
  <c r="B89" i="17"/>
  <c r="E89" i="17"/>
  <c r="D90" i="17"/>
  <c r="C91" i="17"/>
  <c r="B92" i="17"/>
  <c r="E92" i="17"/>
  <c r="D93" i="17"/>
  <c r="C94" i="17"/>
  <c r="B95" i="17"/>
  <c r="E95" i="17"/>
  <c r="D96" i="17"/>
  <c r="C83" i="17"/>
  <c r="B84" i="17"/>
  <c r="E84" i="17"/>
  <c r="D85" i="17"/>
  <c r="C86" i="17"/>
  <c r="B87" i="17"/>
  <c r="E87" i="17"/>
  <c r="D88" i="17"/>
  <c r="C89" i="17"/>
  <c r="B90" i="17"/>
  <c r="E90" i="17"/>
  <c r="D91" i="17"/>
  <c r="C92" i="17"/>
  <c r="B93" i="17"/>
  <c r="E93" i="17"/>
  <c r="D94" i="17"/>
  <c r="C95" i="17"/>
  <c r="B96" i="17"/>
  <c r="E96" i="17"/>
  <c r="M109" i="12"/>
  <c r="M108" i="12"/>
  <c r="M107" i="12"/>
  <c r="M106" i="12"/>
  <c r="M89" i="12"/>
  <c r="M88" i="12"/>
  <c r="M94" i="12"/>
  <c r="M5" i="21"/>
  <c r="J5" i="21"/>
  <c r="M6" i="21"/>
  <c r="J6" i="21"/>
  <c r="M7" i="21"/>
  <c r="J7" i="21"/>
  <c r="M8" i="21"/>
  <c r="J8" i="21"/>
  <c r="M9" i="21"/>
  <c r="J9" i="21"/>
  <c r="M10" i="21"/>
  <c r="J10" i="21"/>
  <c r="M11" i="21"/>
  <c r="J11" i="21"/>
  <c r="M12" i="21"/>
  <c r="J12" i="21"/>
  <c r="M13" i="21"/>
  <c r="J13" i="21"/>
  <c r="M14" i="21"/>
  <c r="J14" i="21"/>
  <c r="M15" i="21"/>
  <c r="J15" i="21"/>
  <c r="M16" i="21"/>
  <c r="J16" i="21"/>
  <c r="M18" i="21"/>
  <c r="J18" i="21"/>
  <c r="M19" i="21"/>
  <c r="J19" i="21"/>
  <c r="M20" i="21"/>
  <c r="J20" i="21"/>
  <c r="M21" i="21"/>
  <c r="J21" i="21"/>
  <c r="M22" i="21"/>
  <c r="J22" i="21"/>
  <c r="M24" i="21"/>
  <c r="J24" i="21"/>
  <c r="M26" i="21"/>
  <c r="J26" i="21"/>
  <c r="M28" i="21"/>
  <c r="J28" i="21"/>
  <c r="M29" i="21"/>
  <c r="J29" i="21"/>
  <c r="M30" i="21"/>
  <c r="J30" i="21"/>
  <c r="M32" i="21"/>
  <c r="J32" i="21"/>
  <c r="M33" i="21"/>
  <c r="J33" i="21"/>
  <c r="M35" i="21"/>
  <c r="J35" i="21"/>
  <c r="M36" i="21"/>
  <c r="J36" i="21"/>
  <c r="M37" i="21"/>
  <c r="J37" i="21"/>
  <c r="M38" i="21"/>
  <c r="J38" i="21"/>
  <c r="M40" i="21"/>
  <c r="J40" i="21"/>
  <c r="M41" i="21"/>
  <c r="J41" i="21"/>
  <c r="M43" i="21"/>
  <c r="J43" i="21"/>
  <c r="M46" i="21"/>
  <c r="J46" i="21"/>
  <c r="M48" i="21"/>
  <c r="J48" i="21"/>
  <c r="M50" i="21"/>
  <c r="J50" i="21"/>
  <c r="M51" i="21"/>
  <c r="J51" i="21"/>
  <c r="M52" i="21"/>
  <c r="J52" i="21"/>
  <c r="M53" i="21"/>
  <c r="J53" i="21"/>
  <c r="M54" i="21"/>
  <c r="J54" i="21"/>
  <c r="M56" i="21"/>
  <c r="J56" i="21"/>
  <c r="M59" i="21"/>
  <c r="J59" i="21"/>
  <c r="M62" i="21"/>
  <c r="J62" i="21"/>
  <c r="M64" i="21"/>
  <c r="J64" i="21"/>
  <c r="M66" i="21"/>
  <c r="J66" i="21"/>
  <c r="M68" i="21"/>
  <c r="J68" i="21"/>
  <c r="M70" i="21"/>
  <c r="J70" i="21"/>
  <c r="M71" i="21"/>
  <c r="J71" i="21"/>
  <c r="M72" i="21"/>
  <c r="J72" i="21"/>
  <c r="M74" i="21"/>
  <c r="J74" i="21"/>
  <c r="M75" i="21"/>
  <c r="J75" i="21"/>
  <c r="M78" i="21"/>
  <c r="J78" i="21"/>
  <c r="M79" i="21"/>
  <c r="J79" i="21"/>
  <c r="M81" i="21"/>
  <c r="J81" i="21"/>
  <c r="M86" i="21"/>
  <c r="J86" i="21"/>
  <c r="M87" i="21"/>
  <c r="J87" i="21"/>
  <c r="M88" i="21"/>
  <c r="J88" i="21"/>
  <c r="M89" i="21"/>
  <c r="J89" i="21"/>
  <c r="M91" i="21"/>
  <c r="J91" i="21"/>
  <c r="M92" i="21"/>
  <c r="J92" i="21"/>
  <c r="M93" i="21"/>
  <c r="J93" i="21"/>
  <c r="M95" i="21"/>
  <c r="J95" i="21"/>
  <c r="M96" i="21"/>
  <c r="J96" i="21"/>
  <c r="M98" i="21"/>
  <c r="J98" i="21"/>
  <c r="M99" i="21"/>
  <c r="J99" i="21"/>
  <c r="M100" i="21"/>
  <c r="J100" i="21"/>
  <c r="L4" i="21"/>
  <c r="H4" i="21"/>
  <c r="E17" i="21"/>
  <c r="L17" i="21"/>
  <c r="E23" i="21"/>
  <c r="L23" i="21"/>
  <c r="E25" i="21"/>
  <c r="L25" i="21"/>
  <c r="E27" i="21"/>
  <c r="L27" i="21"/>
  <c r="E31" i="21"/>
  <c r="L31" i="21"/>
  <c r="H34" i="21"/>
  <c r="L34" i="21"/>
  <c r="H39" i="21"/>
  <c r="L39" i="21"/>
  <c r="H42" i="21"/>
  <c r="L42" i="21"/>
  <c r="E44" i="21"/>
  <c r="L44" i="21"/>
  <c r="H45" i="21"/>
  <c r="L45" i="21"/>
  <c r="E47" i="21"/>
  <c r="L47" i="21"/>
  <c r="H49" i="21"/>
  <c r="L49" i="21"/>
  <c r="E55" i="21"/>
  <c r="L55" i="21"/>
  <c r="H57" i="21"/>
  <c r="L57" i="21"/>
  <c r="H58" i="21"/>
  <c r="L58" i="21"/>
  <c r="E60" i="21"/>
  <c r="L60" i="21"/>
  <c r="E61" i="21"/>
  <c r="L61" i="21"/>
  <c r="H63" i="21"/>
  <c r="L63" i="21"/>
  <c r="E65" i="21"/>
  <c r="L65" i="21"/>
  <c r="E67" i="21"/>
  <c r="L67" i="21"/>
  <c r="H69" i="21"/>
  <c r="L69" i="21"/>
  <c r="E73" i="21"/>
  <c r="L73" i="21"/>
  <c r="E76" i="21"/>
  <c r="L76" i="21"/>
  <c r="E77" i="21"/>
  <c r="L77" i="21"/>
  <c r="E80" i="21"/>
  <c r="L80" i="21"/>
  <c r="H82" i="21"/>
  <c r="L82" i="21"/>
  <c r="E83" i="21"/>
  <c r="L83" i="21"/>
  <c r="E84" i="21"/>
  <c r="L84" i="21"/>
  <c r="E85" i="21"/>
  <c r="L85" i="21"/>
  <c r="E90" i="21"/>
  <c r="L90" i="21"/>
  <c r="E94" i="21"/>
  <c r="L94" i="21"/>
  <c r="E97" i="21"/>
  <c r="L97" i="21"/>
  <c r="E101" i="21"/>
  <c r="L101" i="21"/>
  <c r="E102" i="21"/>
  <c r="L102" i="21"/>
  <c r="E4" i="21"/>
  <c r="G4" i="21" a="1"/>
  <c r="G4" i="21" s="1"/>
  <c r="E5" i="21"/>
  <c r="H5" i="21"/>
  <c r="E6" i="21"/>
  <c r="H6" i="21"/>
  <c r="E7" i="21"/>
  <c r="H7" i="21"/>
  <c r="E8" i="21"/>
  <c r="H8" i="21"/>
  <c r="E9" i="21"/>
  <c r="H9" i="21"/>
  <c r="E10" i="21"/>
  <c r="H10" i="21"/>
  <c r="E11" i="21"/>
  <c r="H11" i="21"/>
  <c r="E12" i="21"/>
  <c r="H12" i="21"/>
  <c r="E13" i="21"/>
  <c r="H13" i="21"/>
  <c r="E14" i="21"/>
  <c r="H14" i="21"/>
  <c r="E15" i="21"/>
  <c r="H15" i="21"/>
  <c r="E16" i="21"/>
  <c r="H16" i="21"/>
  <c r="E18" i="21"/>
  <c r="H18" i="21"/>
  <c r="E19" i="21"/>
  <c r="H19" i="21"/>
  <c r="E20" i="21"/>
  <c r="H20" i="21"/>
  <c r="E21" i="21"/>
  <c r="H21" i="21"/>
  <c r="E22" i="21"/>
  <c r="H22" i="21"/>
  <c r="E24" i="21"/>
  <c r="H24" i="21"/>
  <c r="E26" i="21"/>
  <c r="H26" i="21"/>
  <c r="E28" i="21"/>
  <c r="H28" i="21"/>
  <c r="E29" i="21"/>
  <c r="H29" i="21"/>
  <c r="E32" i="21"/>
  <c r="H32" i="21"/>
  <c r="E33" i="21"/>
  <c r="H33" i="21"/>
  <c r="E35" i="21"/>
  <c r="H35" i="21"/>
  <c r="E36" i="21"/>
  <c r="H36" i="21"/>
  <c r="E37" i="21"/>
  <c r="H37" i="21"/>
  <c r="E40" i="21"/>
  <c r="H40" i="21"/>
  <c r="E41" i="21"/>
  <c r="H41" i="21"/>
  <c r="E43" i="21"/>
  <c r="H43" i="21"/>
  <c r="E48" i="21"/>
  <c r="H48" i="21"/>
  <c r="E50" i="21"/>
  <c r="H50" i="21"/>
  <c r="E51" i="21"/>
  <c r="H51" i="21"/>
  <c r="E52" i="21"/>
  <c r="H52" i="21"/>
  <c r="E53" i="21"/>
  <c r="H53" i="21"/>
  <c r="E54" i="21"/>
  <c r="H54" i="21"/>
  <c r="E56" i="21"/>
  <c r="H56" i="21"/>
  <c r="E59" i="21"/>
  <c r="H59" i="21"/>
  <c r="E62" i="21"/>
  <c r="H62" i="21"/>
  <c r="E64" i="21"/>
  <c r="H64" i="21"/>
  <c r="E66" i="21"/>
  <c r="H66" i="21"/>
  <c r="E68" i="21"/>
  <c r="H68" i="21"/>
  <c r="E71" i="21"/>
  <c r="H71" i="21"/>
  <c r="E72" i="21"/>
  <c r="H72" i="21"/>
  <c r="E74" i="21"/>
  <c r="H74" i="21"/>
  <c r="E75" i="21"/>
  <c r="H75" i="21"/>
  <c r="E79" i="21"/>
  <c r="H79" i="21"/>
  <c r="E86" i="21"/>
  <c r="H86" i="21"/>
  <c r="E87" i="21"/>
  <c r="H87" i="21"/>
  <c r="E88" i="21"/>
  <c r="H88" i="21"/>
  <c r="E89" i="21"/>
  <c r="H89" i="21"/>
  <c r="E91" i="21"/>
  <c r="H91" i="21"/>
  <c r="E92" i="21"/>
  <c r="H92" i="21"/>
  <c r="E93" i="21"/>
  <c r="H93" i="21"/>
  <c r="E95" i="21"/>
  <c r="H95" i="21"/>
  <c r="E96" i="21"/>
  <c r="H96" i="21"/>
  <c r="E98" i="21"/>
  <c r="H98" i="21"/>
  <c r="E100" i="21"/>
  <c r="H100" i="21"/>
  <c r="E103" i="21"/>
  <c r="H103" i="21"/>
  <c r="E104" i="21"/>
  <c r="H104" i="21"/>
  <c r="E105" i="21"/>
  <c r="H105" i="21"/>
  <c r="H44" i="21"/>
  <c r="H101" i="21"/>
  <c r="H47" i="21"/>
  <c r="H85" i="21"/>
  <c r="H31" i="21"/>
  <c r="H65" i="21"/>
  <c r="H83" i="21"/>
  <c r="H97" i="21"/>
  <c r="H84" i="21"/>
  <c r="H99" i="21"/>
  <c r="H102" i="21"/>
  <c r="H94" i="21"/>
  <c r="H30" i="21"/>
  <c r="H78" i="21"/>
  <c r="H46" i="21"/>
  <c r="H80" i="21"/>
  <c r="H23" i="21"/>
  <c r="H38" i="21"/>
  <c r="H81" i="21"/>
  <c r="H70" i="21"/>
  <c r="H27" i="21"/>
  <c r="H67" i="21"/>
  <c r="H60" i="21"/>
  <c r="H77" i="21"/>
  <c r="H17" i="21"/>
  <c r="H55" i="21"/>
  <c r="H73" i="21"/>
  <c r="H25" i="21"/>
  <c r="H76" i="21"/>
  <c r="H90" i="21"/>
  <c r="H61" i="21"/>
  <c r="M87" i="12"/>
  <c r="M86" i="12"/>
  <c r="F65" i="5" a="1"/>
  <c r="F65" i="5" s="1"/>
  <c r="T127" i="5"/>
  <c r="G124" i="5"/>
  <c r="S121" i="5"/>
  <c r="T118" i="5"/>
  <c r="G115" i="5"/>
  <c r="S112" i="5"/>
  <c r="T109" i="5"/>
  <c r="S106" i="5"/>
  <c r="T103" i="5"/>
  <c r="G100" i="5"/>
  <c r="S97" i="5"/>
  <c r="T94" i="5"/>
  <c r="F37" i="5" a="1"/>
  <c r="F37" i="5" s="1"/>
  <c r="G128" i="5"/>
  <c r="T125" i="5"/>
  <c r="G119" i="5"/>
  <c r="T116" i="5"/>
  <c r="G110" i="5"/>
  <c r="T107" i="5"/>
  <c r="G104" i="5"/>
  <c r="S100" i="5"/>
  <c r="T97" i="5"/>
  <c r="G95" i="5"/>
  <c r="S92" i="5"/>
  <c r="S91" i="5"/>
  <c r="D30" i="21"/>
  <c r="E30" i="21"/>
  <c r="D34" i="21"/>
  <c r="E34" i="21"/>
  <c r="D38" i="21"/>
  <c r="E38" i="21"/>
  <c r="D39" i="21"/>
  <c r="E39" i="21"/>
  <c r="D42" i="21"/>
  <c r="E42" i="21"/>
  <c r="D45" i="21"/>
  <c r="E45" i="21"/>
  <c r="D46" i="21"/>
  <c r="E46" i="21"/>
  <c r="C49" i="21"/>
  <c r="E49" i="21"/>
  <c r="C57" i="21"/>
  <c r="E57" i="21"/>
  <c r="D58" i="21"/>
  <c r="E58" i="21"/>
  <c r="D63" i="21"/>
  <c r="E63" i="21"/>
  <c r="D69" i="21"/>
  <c r="E69" i="21"/>
  <c r="D70" i="21"/>
  <c r="E70" i="21"/>
  <c r="D78" i="21"/>
  <c r="E78" i="21"/>
  <c r="C81" i="21"/>
  <c r="E81" i="21"/>
  <c r="D82" i="21"/>
  <c r="E82" i="21"/>
  <c r="D99" i="21"/>
  <c r="E99" i="21"/>
  <c r="M105" i="12"/>
  <c r="M85" i="12"/>
  <c r="M93" i="12"/>
  <c r="M101" i="12"/>
  <c r="M83" i="12"/>
  <c r="M92" i="12"/>
  <c r="M81" i="12"/>
  <c r="M96" i="12"/>
  <c r="M82" i="12"/>
  <c r="M100" i="12"/>
  <c r="G13" i="21" a="1"/>
  <c r="G13" i="21" s="1"/>
  <c r="G14" i="21" a="1"/>
  <c r="G14" i="21" s="1"/>
  <c r="G15" i="21" a="1"/>
  <c r="G15" i="21" s="1"/>
  <c r="G16" i="21" a="1"/>
  <c r="G16" i="21" s="1"/>
  <c r="G17" i="21" a="1"/>
  <c r="G17" i="21" s="1"/>
  <c r="G18" i="21" a="1"/>
  <c r="G18" i="21" s="1"/>
  <c r="G19" i="21" a="1"/>
  <c r="G19" i="21" s="1"/>
  <c r="G20" i="21" a="1"/>
  <c r="G20" i="21" s="1"/>
  <c r="G21" i="21" a="1"/>
  <c r="G21" i="21" s="1"/>
  <c r="G22" i="21" a="1"/>
  <c r="G22" i="21" s="1"/>
  <c r="G23" i="21" a="1"/>
  <c r="G23" i="21" s="1"/>
  <c r="G24" i="21" a="1"/>
  <c r="G24" i="21" s="1"/>
  <c r="G27" i="21" a="1"/>
  <c r="G27" i="21" s="1"/>
  <c r="G29" i="21" a="1"/>
  <c r="G29" i="21" s="1"/>
  <c r="G31" i="21" a="1"/>
  <c r="G31" i="21" s="1"/>
  <c r="G36" i="21" a="1"/>
  <c r="G36" i="21" s="1"/>
  <c r="G38" i="21" a="1"/>
  <c r="G38" i="21" s="1"/>
  <c r="G40" i="21" a="1"/>
  <c r="G40" i="21" s="1"/>
  <c r="G45" i="21" a="1"/>
  <c r="G45" i="21" s="1"/>
  <c r="G47" i="21" a="1"/>
  <c r="G47" i="21" s="1"/>
  <c r="G49" i="21" a="1"/>
  <c r="G49" i="21" s="1"/>
  <c r="G54" i="21" a="1"/>
  <c r="G54" i="21" s="1"/>
  <c r="G56" i="21" a="1"/>
  <c r="G56" i="21" s="1"/>
  <c r="G58" i="21" a="1"/>
  <c r="G58" i="21" s="1"/>
  <c r="G63" i="21" a="1"/>
  <c r="G63" i="21" s="1"/>
  <c r="G65" i="21" a="1"/>
  <c r="G65" i="21" s="1"/>
  <c r="G67" i="21" a="1"/>
  <c r="G67" i="21" s="1"/>
  <c r="G72" i="21" a="1"/>
  <c r="G72" i="21" s="1"/>
  <c r="G74" i="21" a="1"/>
  <c r="G74" i="21" s="1"/>
  <c r="G76" i="21" a="1"/>
  <c r="G76" i="21" s="1"/>
  <c r="G81" i="21" a="1"/>
  <c r="G81" i="21" s="1"/>
  <c r="G83" i="21" a="1"/>
  <c r="G83" i="21" s="1"/>
  <c r="G85" i="21" a="1"/>
  <c r="G85" i="21" s="1"/>
  <c r="G90" i="21" a="1"/>
  <c r="G90" i="21" s="1"/>
  <c r="G92" i="21" a="1"/>
  <c r="G92" i="21" s="1"/>
  <c r="G94" i="21" a="1"/>
  <c r="G94" i="21" s="1"/>
  <c r="G99" i="21" a="1"/>
  <c r="G99" i="21" s="1"/>
  <c r="G101" i="21" a="1"/>
  <c r="G101" i="21" s="1"/>
  <c r="G103" i="21" a="1"/>
  <c r="G103" i="21" s="1"/>
  <c r="G25" i="21" a="1"/>
  <c r="G25" i="21" s="1"/>
  <c r="G30" i="21" a="1"/>
  <c r="G30" i="21" s="1"/>
  <c r="G32" i="21" a="1"/>
  <c r="G32" i="21" s="1"/>
  <c r="G34" i="21" a="1"/>
  <c r="G34" i="21" s="1"/>
  <c r="G39" i="21" a="1"/>
  <c r="G39" i="21" s="1"/>
  <c r="G41" i="21" a="1"/>
  <c r="G41" i="21" s="1"/>
  <c r="G43" i="21" a="1"/>
  <c r="G43" i="21" s="1"/>
  <c r="G48" i="21" a="1"/>
  <c r="G48" i="21" s="1"/>
  <c r="G50" i="21" a="1"/>
  <c r="G50" i="21" s="1"/>
  <c r="G52" i="21" a="1"/>
  <c r="G52" i="21" s="1"/>
  <c r="G57" i="21" a="1"/>
  <c r="G57" i="21" s="1"/>
  <c r="G59" i="21" a="1"/>
  <c r="G59" i="21" s="1"/>
  <c r="G61" i="21" a="1"/>
  <c r="G61" i="21" s="1"/>
  <c r="G66" i="21" a="1"/>
  <c r="G66" i="21" s="1"/>
  <c r="G68" i="21" a="1"/>
  <c r="G68" i="21" s="1"/>
  <c r="G70" i="21" a="1"/>
  <c r="G70" i="21" s="1"/>
  <c r="G75" i="21" a="1"/>
  <c r="G75" i="21" s="1"/>
  <c r="G77" i="21" a="1"/>
  <c r="G77" i="21" s="1"/>
  <c r="G79" i="21" a="1"/>
  <c r="G79" i="21" s="1"/>
  <c r="G84" i="21" a="1"/>
  <c r="G84" i="21" s="1"/>
  <c r="G86" i="21" a="1"/>
  <c r="G86" i="21" s="1"/>
  <c r="G88" i="21" a="1"/>
  <c r="G88" i="21" s="1"/>
  <c r="G93" i="21" a="1"/>
  <c r="G93" i="21" s="1"/>
  <c r="G95" i="21" a="1"/>
  <c r="G95" i="21" s="1"/>
  <c r="G97" i="21" a="1"/>
  <c r="G97" i="21" s="1"/>
  <c r="G102" i="21" a="1"/>
  <c r="G102" i="21" s="1"/>
  <c r="G104" i="21" a="1"/>
  <c r="G104" i="21" s="1"/>
  <c r="G26" i="21" a="1"/>
  <c r="G26" i="21" s="1"/>
  <c r="G28" i="21" a="1"/>
  <c r="G28" i="21" s="1"/>
  <c r="G33" i="21" a="1"/>
  <c r="G33" i="21" s="1"/>
  <c r="G35" i="21" a="1"/>
  <c r="G35" i="21" s="1"/>
  <c r="G37" i="21" a="1"/>
  <c r="G37" i="21" s="1"/>
  <c r="G42" i="21" a="1"/>
  <c r="G42" i="21" s="1"/>
  <c r="G44" i="21" a="1"/>
  <c r="G44" i="21" s="1"/>
  <c r="G46" i="21" a="1"/>
  <c r="G46" i="21" s="1"/>
  <c r="G51" i="21" a="1"/>
  <c r="G51" i="21" s="1"/>
  <c r="G53" i="21" a="1"/>
  <c r="G53" i="21" s="1"/>
  <c r="G55" i="21" a="1"/>
  <c r="G55" i="21" s="1"/>
  <c r="G60" i="21" a="1"/>
  <c r="G60" i="21" s="1"/>
  <c r="G62" i="21" a="1"/>
  <c r="G62" i="21" s="1"/>
  <c r="G64" i="21" a="1"/>
  <c r="G64" i="21" s="1"/>
  <c r="G69" i="21" a="1"/>
  <c r="G69" i="21" s="1"/>
  <c r="G71" i="21" a="1"/>
  <c r="G71" i="21" s="1"/>
  <c r="G73" i="21" a="1"/>
  <c r="G73" i="21" s="1"/>
  <c r="G78" i="21" a="1"/>
  <c r="G78" i="21" s="1"/>
  <c r="G80" i="21" a="1"/>
  <c r="G80" i="21" s="1"/>
  <c r="G82" i="21" a="1"/>
  <c r="G82" i="21" s="1"/>
  <c r="G87" i="21" a="1"/>
  <c r="G87" i="21" s="1"/>
  <c r="G89" i="21" a="1"/>
  <c r="G89" i="21" s="1"/>
  <c r="G91" i="21" a="1"/>
  <c r="G91" i="21" s="1"/>
  <c r="G96" i="21" a="1"/>
  <c r="G96" i="21" s="1"/>
  <c r="G98" i="21" a="1"/>
  <c r="G98" i="21" s="1"/>
  <c r="G100" i="21" a="1"/>
  <c r="G100" i="21" s="1"/>
  <c r="G105" i="21" a="1"/>
  <c r="G105" i="21" s="1"/>
  <c r="G5" i="21" a="1"/>
  <c r="G5" i="21" s="1"/>
  <c r="G6" i="21" a="1"/>
  <c r="G6" i="21" s="1"/>
  <c r="G7" i="21" a="1"/>
  <c r="G7" i="21" s="1"/>
  <c r="G8" i="21" a="1"/>
  <c r="G8" i="21" s="1"/>
  <c r="G9" i="21" a="1"/>
  <c r="G9" i="21" s="1"/>
  <c r="G10" i="21" a="1"/>
  <c r="G10" i="21" s="1"/>
  <c r="G11" i="21" a="1"/>
  <c r="G11" i="21" s="1"/>
  <c r="G12" i="21" a="1"/>
  <c r="G12" i="21" s="1"/>
  <c r="D9" i="21"/>
  <c r="C9" i="21"/>
  <c r="C51" i="21"/>
  <c r="D51" i="21"/>
  <c r="C61" i="21"/>
  <c r="C69" i="21"/>
  <c r="D104" i="21"/>
  <c r="D11" i="21"/>
  <c r="D33" i="21"/>
  <c r="D75" i="21"/>
  <c r="C63" i="21"/>
  <c r="D74" i="21"/>
  <c r="C45" i="21"/>
  <c r="D92" i="21"/>
  <c r="C92" i="21"/>
  <c r="D102" i="21"/>
  <c r="C102" i="21"/>
  <c r="D23" i="21"/>
  <c r="D57" i="21"/>
  <c r="D27" i="21"/>
  <c r="D81" i="21"/>
  <c r="D93" i="21"/>
  <c r="D10" i="21"/>
  <c r="D26" i="21"/>
  <c r="C33" i="21"/>
  <c r="C104" i="21"/>
  <c r="D21" i="21"/>
  <c r="C21" i="21"/>
  <c r="D22" i="21"/>
  <c r="D28" i="21"/>
  <c r="D32" i="21"/>
  <c r="D36" i="21"/>
  <c r="D40" i="21"/>
  <c r="D44" i="21"/>
  <c r="D48" i="21"/>
  <c r="D50" i="21"/>
  <c r="D54" i="21"/>
  <c r="D56" i="21"/>
  <c r="D60" i="21"/>
  <c r="D62" i="21"/>
  <c r="D66" i="21"/>
  <c r="D68" i="21"/>
  <c r="D72" i="21"/>
  <c r="D76" i="21"/>
  <c r="D80" i="21"/>
  <c r="D84" i="21"/>
  <c r="D86" i="21"/>
  <c r="D87" i="21"/>
  <c r="C87" i="21"/>
  <c r="C89" i="21"/>
  <c r="C97" i="21"/>
  <c r="D97" i="21"/>
  <c r="D98" i="21"/>
  <c r="C98" i="21"/>
  <c r="C27" i="21"/>
  <c r="D35" i="21"/>
  <c r="C39" i="21"/>
  <c r="D47" i="21"/>
  <c r="D52" i="21"/>
  <c r="D59" i="21"/>
  <c r="D64" i="21"/>
  <c r="D71" i="21"/>
  <c r="C75" i="21"/>
  <c r="D83" i="21"/>
  <c r="C105" i="21"/>
  <c r="C91" i="21"/>
  <c r="C96" i="21"/>
  <c r="C43" i="21"/>
  <c r="C55" i="21"/>
  <c r="C67" i="21"/>
  <c r="C79" i="21"/>
  <c r="D90" i="21"/>
  <c r="D91" i="21"/>
  <c r="D95" i="21"/>
  <c r="D96" i="21"/>
  <c r="C6" i="21"/>
  <c r="C7" i="21"/>
  <c r="D8" i="21"/>
  <c r="C29" i="21"/>
  <c r="D31" i="21"/>
  <c r="C41" i="21"/>
  <c r="D43" i="21"/>
  <c r="C53" i="21"/>
  <c r="D55" i="21"/>
  <c r="C65" i="21"/>
  <c r="D67" i="21"/>
  <c r="C77" i="21"/>
  <c r="D79" i="21"/>
  <c r="D89" i="21"/>
  <c r="C90" i="21"/>
  <c r="D94" i="21"/>
  <c r="C94" i="21"/>
  <c r="C95" i="21"/>
  <c r="C101" i="21"/>
  <c r="D101" i="21"/>
  <c r="C103" i="21"/>
  <c r="C18" i="21"/>
  <c r="C19" i="21"/>
  <c r="D20" i="21"/>
  <c r="D5" i="21"/>
  <c r="D41" i="21"/>
  <c r="D53" i="21"/>
  <c r="D65" i="21"/>
  <c r="D77" i="21"/>
  <c r="D88" i="21"/>
  <c r="C88" i="21"/>
  <c r="D103" i="21"/>
  <c r="C20" i="21"/>
  <c r="C31" i="21"/>
  <c r="C5" i="21"/>
  <c r="D6" i="21"/>
  <c r="D7" i="21"/>
  <c r="C14" i="21"/>
  <c r="C15" i="21"/>
  <c r="D16" i="21"/>
  <c r="D17" i="21"/>
  <c r="C37" i="21"/>
  <c r="C73" i="21"/>
  <c r="C85" i="21"/>
  <c r="C8" i="21"/>
  <c r="C16" i="21"/>
  <c r="C17" i="21"/>
  <c r="D18" i="21"/>
  <c r="D19" i="21"/>
  <c r="D29" i="21"/>
  <c r="C4" i="21"/>
  <c r="C12" i="21"/>
  <c r="C13" i="21"/>
  <c r="D14" i="21"/>
  <c r="D15" i="21"/>
  <c r="C24" i="21"/>
  <c r="C25" i="21"/>
  <c r="D4" i="21"/>
  <c r="C10" i="21"/>
  <c r="C11" i="21"/>
  <c r="D12" i="21"/>
  <c r="D13" i="21"/>
  <c r="C22" i="21"/>
  <c r="C23" i="21"/>
  <c r="D24" i="21"/>
  <c r="D25" i="21"/>
  <c r="C35" i="21"/>
  <c r="D37" i="21"/>
  <c r="C47" i="21"/>
  <c r="D49" i="21"/>
  <c r="C59" i="21"/>
  <c r="D61" i="21"/>
  <c r="C71" i="21"/>
  <c r="D73" i="21"/>
  <c r="C83" i="21"/>
  <c r="D85" i="21"/>
  <c r="D100" i="21"/>
  <c r="C100" i="21"/>
  <c r="D105" i="21"/>
  <c r="C26" i="21"/>
  <c r="C28" i="21"/>
  <c r="C30" i="21"/>
  <c r="C32" i="21"/>
  <c r="C34" i="21"/>
  <c r="C36" i="21"/>
  <c r="C38" i="21"/>
  <c r="C40" i="21"/>
  <c r="C42" i="21"/>
  <c r="C44" i="21"/>
  <c r="C46" i="21"/>
  <c r="C48" i="21"/>
  <c r="C50" i="21"/>
  <c r="C52" i="21"/>
  <c r="C54" i="21"/>
  <c r="C56" i="21"/>
  <c r="C58" i="21"/>
  <c r="C60" i="21"/>
  <c r="C62" i="21"/>
  <c r="C64" i="21"/>
  <c r="C66" i="21"/>
  <c r="C68" i="21"/>
  <c r="C70" i="21"/>
  <c r="C72" i="21"/>
  <c r="C74" i="21"/>
  <c r="C76" i="21"/>
  <c r="C78" i="21"/>
  <c r="C80" i="21"/>
  <c r="C82" i="21"/>
  <c r="C84" i="21"/>
  <c r="C86" i="21"/>
  <c r="C93" i="21"/>
  <c r="C99" i="21"/>
  <c r="G4" i="15"/>
  <c r="F4" i="15"/>
  <c r="G3" i="15"/>
  <c r="F3" i="15"/>
  <c r="F20" i="15"/>
  <c r="G20" i="15"/>
  <c r="F19" i="15"/>
  <c r="G19" i="15"/>
  <c r="F18" i="15"/>
  <c r="G18" i="15"/>
  <c r="F17" i="15"/>
  <c r="G17" i="15"/>
  <c r="F16" i="15"/>
  <c r="G16" i="15"/>
  <c r="F15" i="15"/>
  <c r="G15" i="15"/>
  <c r="F14" i="15"/>
  <c r="G14" i="15"/>
  <c r="F13" i="15"/>
  <c r="G13" i="15"/>
  <c r="G12" i="15"/>
  <c r="F12" i="15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F87" i="5" a="1"/>
  <c r="F87" i="5" s="1"/>
  <c r="F84" i="5" a="1"/>
  <c r="F84" i="5" s="1"/>
  <c r="F75" i="5" a="1"/>
  <c r="F75" i="5" s="1"/>
  <c r="E82" i="17"/>
  <c r="B82" i="17"/>
  <c r="D82" i="17"/>
  <c r="D80" i="17"/>
  <c r="C81" i="17"/>
  <c r="D81" i="17"/>
  <c r="E81" i="17"/>
  <c r="B81" i="17"/>
  <c r="B61" i="5"/>
  <c r="F61" i="5" a="1"/>
  <c r="F61" i="5" s="1"/>
  <c r="S55" i="5"/>
  <c r="F55" i="5" a="1"/>
  <c r="F55" i="5" s="1"/>
  <c r="I52" i="5"/>
  <c r="F52" i="5" a="1"/>
  <c r="F52" i="5" s="1"/>
  <c r="S46" i="5"/>
  <c r="F46" i="5" a="1"/>
  <c r="F46" i="5" s="1"/>
  <c r="S10" i="5"/>
  <c r="F10" i="5" a="1"/>
  <c r="F10" i="5" s="1"/>
  <c r="I51" i="5"/>
  <c r="F51" i="5" a="1"/>
  <c r="F51" i="5" s="1"/>
  <c r="S45" i="5"/>
  <c r="F45" i="5" a="1"/>
  <c r="F45" i="5" s="1"/>
  <c r="S36" i="5"/>
  <c r="F36" i="5" a="1"/>
  <c r="F36" i="5" s="1"/>
  <c r="S21" i="5"/>
  <c r="F21" i="5" a="1"/>
  <c r="F21" i="5" s="1"/>
  <c r="S15" i="5"/>
  <c r="F15" i="5" a="1"/>
  <c r="F15" i="5" s="1"/>
  <c r="I9" i="5"/>
  <c r="F9" i="5" a="1"/>
  <c r="F9" i="5" s="1"/>
  <c r="F56" i="5" a="1"/>
  <c r="F56" i="5" s="1"/>
  <c r="F102" i="5" a="1"/>
  <c r="F102" i="5" s="1"/>
  <c r="T102" i="5"/>
  <c r="F99" i="5" a="1"/>
  <c r="F99" i="5" s="1"/>
  <c r="T99" i="5"/>
  <c r="F96" i="5" a="1"/>
  <c r="F96" i="5" s="1"/>
  <c r="T96" i="5"/>
  <c r="F93" i="5" a="1"/>
  <c r="F93" i="5" s="1"/>
  <c r="T93" i="5"/>
  <c r="I53" i="5"/>
  <c r="F53" i="5" a="1"/>
  <c r="F53" i="5" s="1"/>
  <c r="I29" i="5"/>
  <c r="F29" i="5" a="1"/>
  <c r="F29" i="5" s="1"/>
  <c r="S20" i="5"/>
  <c r="F20" i="5" a="1"/>
  <c r="F20" i="5" s="1"/>
  <c r="I14" i="5"/>
  <c r="F14" i="5" a="1"/>
  <c r="F14" i="5" s="1"/>
  <c r="S11" i="5"/>
  <c r="F11" i="5" a="1"/>
  <c r="F11" i="5" s="1"/>
  <c r="F16" i="5" a="1"/>
  <c r="F16" i="5" s="1"/>
  <c r="T101" i="5"/>
  <c r="F101" i="5" a="1"/>
  <c r="F101" i="5" s="1"/>
  <c r="F98" i="5" a="1"/>
  <c r="F98" i="5" s="1"/>
  <c r="T98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U127" i="5"/>
  <c r="U115" i="5"/>
  <c r="T95" i="5"/>
  <c r="U82" i="5"/>
  <c r="V72" i="3"/>
  <c r="F23" i="5" a="1"/>
  <c r="F23" i="5" s="1"/>
  <c r="V76" i="3"/>
  <c r="F78" i="5" a="1"/>
  <c r="F78" i="5" s="1"/>
  <c r="T12" i="5"/>
  <c r="F12" i="5" a="1"/>
  <c r="F12" i="5" s="1"/>
  <c r="V77" i="3"/>
  <c r="F58" i="5" a="1"/>
  <c r="F58" i="5" s="1"/>
  <c r="V80" i="3"/>
  <c r="F42" i="5" a="1"/>
  <c r="F42" i="5" s="1"/>
  <c r="V75" i="3"/>
  <c r="F60" i="5" a="1"/>
  <c r="F60" i="5" s="1"/>
  <c r="V101" i="3"/>
  <c r="F30" i="5" a="1"/>
  <c r="F30" i="5" s="1"/>
  <c r="I67" i="5"/>
  <c r="V110" i="3"/>
  <c r="F40" i="5" a="1"/>
  <c r="F40" i="5" s="1"/>
  <c r="V107" i="3"/>
  <c r="F76" i="5" a="1"/>
  <c r="F76" i="5" s="1"/>
  <c r="C80" i="17"/>
  <c r="V126" i="3"/>
  <c r="F24" i="5" a="1"/>
  <c r="F24" i="5" s="1"/>
  <c r="V129" i="3"/>
  <c r="F35" i="5" a="1"/>
  <c r="F35" i="5" s="1"/>
  <c r="V132" i="3"/>
  <c r="F32" i="5" a="1"/>
  <c r="F32" i="5" s="1"/>
  <c r="F314" i="5" a="1"/>
  <c r="F314" i="5" s="1"/>
  <c r="F311" i="5" a="1"/>
  <c r="F311" i="5" s="1"/>
  <c r="V66" i="3"/>
  <c r="F66" i="5" a="1"/>
  <c r="F66" i="5" s="1"/>
  <c r="I54" i="5"/>
  <c r="I65" i="5"/>
  <c r="F105" i="5" a="1"/>
  <c r="F105" i="5" s="1"/>
  <c r="F108" i="5" a="1"/>
  <c r="F108" i="5" s="1"/>
  <c r="F111" i="5" a="1"/>
  <c r="F111" i="5" s="1"/>
  <c r="F114" i="5" a="1"/>
  <c r="F114" i="5" s="1"/>
  <c r="F117" i="5" a="1"/>
  <c r="F117" i="5" s="1"/>
  <c r="F120" i="5" a="1"/>
  <c r="F120" i="5" s="1"/>
  <c r="F123" i="5" a="1"/>
  <c r="F123" i="5" s="1"/>
  <c r="F126" i="5" a="1"/>
  <c r="F126" i="5" s="1"/>
  <c r="F129" i="5" a="1"/>
  <c r="F129" i="5" s="1"/>
  <c r="F132" i="5" a="1"/>
  <c r="F132" i="5" s="1"/>
  <c r="F135" i="5" a="1"/>
  <c r="F135" i="5" s="1"/>
  <c r="F138" i="5" a="1"/>
  <c r="F138" i="5" s="1"/>
  <c r="F141" i="5" a="1"/>
  <c r="F141" i="5" s="1"/>
  <c r="F144" i="5" a="1"/>
  <c r="F144" i="5" s="1"/>
  <c r="F147" i="5" a="1"/>
  <c r="F147" i="5" s="1"/>
  <c r="F150" i="5" a="1"/>
  <c r="F150" i="5" s="1"/>
  <c r="F153" i="5" a="1"/>
  <c r="F153" i="5" s="1"/>
  <c r="F156" i="5" a="1"/>
  <c r="F156" i="5" s="1"/>
  <c r="F159" i="5" a="1"/>
  <c r="F159" i="5" s="1"/>
  <c r="F162" i="5" a="1"/>
  <c r="F162" i="5" s="1"/>
  <c r="F165" i="5" a="1"/>
  <c r="F165" i="5" s="1"/>
  <c r="F168" i="5" a="1"/>
  <c r="F168" i="5" s="1"/>
  <c r="F171" i="5" a="1"/>
  <c r="F171" i="5" s="1"/>
  <c r="F174" i="5" a="1"/>
  <c r="F174" i="5" s="1"/>
  <c r="F177" i="5" a="1"/>
  <c r="F177" i="5" s="1"/>
  <c r="F180" i="5" a="1"/>
  <c r="F180" i="5" s="1"/>
  <c r="F183" i="5" a="1"/>
  <c r="F183" i="5" s="1"/>
  <c r="F186" i="5" a="1"/>
  <c r="F186" i="5" s="1"/>
  <c r="F189" i="5" a="1"/>
  <c r="F189" i="5" s="1"/>
  <c r="F192" i="5" a="1"/>
  <c r="F192" i="5" s="1"/>
  <c r="F195" i="5" a="1"/>
  <c r="F195" i="5" s="1"/>
  <c r="F198" i="5" a="1"/>
  <c r="F198" i="5" s="1"/>
  <c r="F201" i="5" a="1"/>
  <c r="F201" i="5" s="1"/>
  <c r="F204" i="5" a="1"/>
  <c r="F204" i="5" s="1"/>
  <c r="F207" i="5" a="1"/>
  <c r="F207" i="5" s="1"/>
  <c r="F210" i="5" a="1"/>
  <c r="F210" i="5" s="1"/>
  <c r="F213" i="5" a="1"/>
  <c r="F213" i="5" s="1"/>
  <c r="F216" i="5" a="1"/>
  <c r="F216" i="5" s="1"/>
  <c r="F219" i="5" a="1"/>
  <c r="F219" i="5" s="1"/>
  <c r="F222" i="5" a="1"/>
  <c r="F222" i="5" s="1"/>
  <c r="F225" i="5" a="1"/>
  <c r="F225" i="5" s="1"/>
  <c r="F228" i="5" a="1"/>
  <c r="F228" i="5" s="1"/>
  <c r="F231" i="5" a="1"/>
  <c r="F231" i="5" s="1"/>
  <c r="F234" i="5" a="1"/>
  <c r="F234" i="5" s="1"/>
  <c r="F237" i="5" a="1"/>
  <c r="F237" i="5" s="1"/>
  <c r="F240" i="5" a="1"/>
  <c r="F240" i="5" s="1"/>
  <c r="F243" i="5" a="1"/>
  <c r="F243" i="5" s="1"/>
  <c r="F246" i="5" a="1"/>
  <c r="F246" i="5" s="1"/>
  <c r="F249" i="5" a="1"/>
  <c r="F249" i="5" s="1"/>
  <c r="F252" i="5" a="1"/>
  <c r="F252" i="5" s="1"/>
  <c r="F255" i="5" a="1"/>
  <c r="F255" i="5" s="1"/>
  <c r="F258" i="5" a="1"/>
  <c r="F258" i="5" s="1"/>
  <c r="F261" i="5" a="1"/>
  <c r="F261" i="5" s="1"/>
  <c r="F264" i="5" a="1"/>
  <c r="F264" i="5" s="1"/>
  <c r="F267" i="5" a="1"/>
  <c r="F267" i="5" s="1"/>
  <c r="F270" i="5" a="1"/>
  <c r="F270" i="5" s="1"/>
  <c r="F273" i="5" a="1"/>
  <c r="F273" i="5" s="1"/>
  <c r="F276" i="5" a="1"/>
  <c r="F276" i="5" s="1"/>
  <c r="F279" i="5" a="1"/>
  <c r="F279" i="5" s="1"/>
  <c r="F282" i="5" a="1"/>
  <c r="F282" i="5" s="1"/>
  <c r="F285" i="5" a="1"/>
  <c r="F285" i="5" s="1"/>
  <c r="F288" i="5" a="1"/>
  <c r="F288" i="5" s="1"/>
  <c r="F291" i="5" a="1"/>
  <c r="F291" i="5" s="1"/>
  <c r="F294" i="5" a="1"/>
  <c r="F294" i="5" s="1"/>
  <c r="F297" i="5" a="1"/>
  <c r="F297" i="5" s="1"/>
  <c r="F300" i="5" a="1"/>
  <c r="F300" i="5" s="1"/>
  <c r="F303" i="5" a="1"/>
  <c r="F303" i="5" s="1"/>
  <c r="F306" i="5" a="1"/>
  <c r="F306" i="5" s="1"/>
  <c r="F31" i="5" a="1"/>
  <c r="F31" i="5" s="1"/>
  <c r="F106" i="5" a="1"/>
  <c r="F106" i="5" s="1"/>
  <c r="F109" i="5" a="1"/>
  <c r="F109" i="5" s="1"/>
  <c r="F112" i="5" a="1"/>
  <c r="F112" i="5" s="1"/>
  <c r="F115" i="5" a="1"/>
  <c r="F115" i="5" s="1"/>
  <c r="F118" i="5" a="1"/>
  <c r="F118" i="5" s="1"/>
  <c r="F121" i="5" a="1"/>
  <c r="F121" i="5" s="1"/>
  <c r="F124" i="5" a="1"/>
  <c r="F124" i="5" s="1"/>
  <c r="F127" i="5" a="1"/>
  <c r="F127" i="5" s="1"/>
  <c r="F130" i="5" a="1"/>
  <c r="F130" i="5" s="1"/>
  <c r="F133" i="5" a="1"/>
  <c r="F133" i="5" s="1"/>
  <c r="F136" i="5" a="1"/>
  <c r="F136" i="5" s="1"/>
  <c r="F139" i="5" a="1"/>
  <c r="F139" i="5" s="1"/>
  <c r="F142" i="5" a="1"/>
  <c r="F142" i="5" s="1"/>
  <c r="F145" i="5" a="1"/>
  <c r="F145" i="5" s="1"/>
  <c r="F148" i="5" a="1"/>
  <c r="F148" i="5" s="1"/>
  <c r="F151" i="5" a="1"/>
  <c r="F151" i="5" s="1"/>
  <c r="F154" i="5" a="1"/>
  <c r="F154" i="5" s="1"/>
  <c r="F157" i="5" a="1"/>
  <c r="F157" i="5" s="1"/>
  <c r="F160" i="5" a="1"/>
  <c r="F160" i="5" s="1"/>
  <c r="F163" i="5" a="1"/>
  <c r="F163" i="5" s="1"/>
  <c r="F166" i="5" a="1"/>
  <c r="F166" i="5" s="1"/>
  <c r="F169" i="5" a="1"/>
  <c r="F169" i="5" s="1"/>
  <c r="F172" i="5" a="1"/>
  <c r="F172" i="5" s="1"/>
  <c r="F175" i="5" a="1"/>
  <c r="F175" i="5" s="1"/>
  <c r="F178" i="5" a="1"/>
  <c r="F178" i="5" s="1"/>
  <c r="F181" i="5" a="1"/>
  <c r="F181" i="5" s="1"/>
  <c r="F184" i="5" a="1"/>
  <c r="F184" i="5" s="1"/>
  <c r="F187" i="5" a="1"/>
  <c r="F187" i="5" s="1"/>
  <c r="F190" i="5" a="1"/>
  <c r="F190" i="5" s="1"/>
  <c r="F193" i="5" a="1"/>
  <c r="F193" i="5" s="1"/>
  <c r="F196" i="5" a="1"/>
  <c r="F196" i="5" s="1"/>
  <c r="F199" i="5" a="1"/>
  <c r="F199" i="5" s="1"/>
  <c r="F202" i="5" a="1"/>
  <c r="F202" i="5" s="1"/>
  <c r="F205" i="5" a="1"/>
  <c r="F205" i="5" s="1"/>
  <c r="F208" i="5" a="1"/>
  <c r="F208" i="5" s="1"/>
  <c r="F211" i="5" a="1"/>
  <c r="F211" i="5" s="1"/>
  <c r="F214" i="5" a="1"/>
  <c r="F214" i="5" s="1"/>
  <c r="F217" i="5" a="1"/>
  <c r="F217" i="5" s="1"/>
  <c r="F220" i="5" a="1"/>
  <c r="F220" i="5" s="1"/>
  <c r="F223" i="5" a="1"/>
  <c r="F223" i="5" s="1"/>
  <c r="F226" i="5" a="1"/>
  <c r="F226" i="5" s="1"/>
  <c r="F229" i="5" a="1"/>
  <c r="F229" i="5" s="1"/>
  <c r="F232" i="5" a="1"/>
  <c r="F232" i="5" s="1"/>
  <c r="F235" i="5" a="1"/>
  <c r="F235" i="5" s="1"/>
  <c r="F238" i="5" a="1"/>
  <c r="F238" i="5" s="1"/>
  <c r="F241" i="5" a="1"/>
  <c r="F241" i="5" s="1"/>
  <c r="F244" i="5" a="1"/>
  <c r="F244" i="5" s="1"/>
  <c r="F247" i="5" a="1"/>
  <c r="F247" i="5" s="1"/>
  <c r="F250" i="5" a="1"/>
  <c r="F250" i="5" s="1"/>
  <c r="F253" i="5" a="1"/>
  <c r="F253" i="5" s="1"/>
  <c r="F256" i="5" a="1"/>
  <c r="F256" i="5" s="1"/>
  <c r="F259" i="5" a="1"/>
  <c r="F259" i="5" s="1"/>
  <c r="F262" i="5" a="1"/>
  <c r="F262" i="5" s="1"/>
  <c r="F265" i="5" a="1"/>
  <c r="F265" i="5" s="1"/>
  <c r="F268" i="5" a="1"/>
  <c r="F268" i="5" s="1"/>
  <c r="F271" i="5" a="1"/>
  <c r="F271" i="5" s="1"/>
  <c r="F274" i="5" a="1"/>
  <c r="F274" i="5" s="1"/>
  <c r="F277" i="5" a="1"/>
  <c r="F277" i="5" s="1"/>
  <c r="F280" i="5" a="1"/>
  <c r="F280" i="5" s="1"/>
  <c r="F283" i="5" a="1"/>
  <c r="F283" i="5" s="1"/>
  <c r="F286" i="5" a="1"/>
  <c r="F286" i="5" s="1"/>
  <c r="F289" i="5" a="1"/>
  <c r="F289" i="5" s="1"/>
  <c r="F292" i="5" a="1"/>
  <c r="F292" i="5" s="1"/>
  <c r="F295" i="5" a="1"/>
  <c r="F295" i="5" s="1"/>
  <c r="F298" i="5" a="1"/>
  <c r="F298" i="5" s="1"/>
  <c r="F301" i="5" a="1"/>
  <c r="F301" i="5" s="1"/>
  <c r="F304" i="5" a="1"/>
  <c r="F304" i="5" s="1"/>
  <c r="F104" i="5" a="1"/>
  <c r="F104" i="5" s="1"/>
  <c r="F107" i="5" a="1"/>
  <c r="F107" i="5" s="1"/>
  <c r="F110" i="5" a="1"/>
  <c r="F110" i="5" s="1"/>
  <c r="F113" i="5" a="1"/>
  <c r="F113" i="5" s="1"/>
  <c r="F116" i="5" a="1"/>
  <c r="F116" i="5" s="1"/>
  <c r="F119" i="5" a="1"/>
  <c r="F119" i="5" s="1"/>
  <c r="F122" i="5" a="1"/>
  <c r="F122" i="5" s="1"/>
  <c r="F125" i="5" a="1"/>
  <c r="F125" i="5" s="1"/>
  <c r="F128" i="5" a="1"/>
  <c r="F128" i="5" s="1"/>
  <c r="F131" i="5" a="1"/>
  <c r="F131" i="5" s="1"/>
  <c r="F134" i="5" a="1"/>
  <c r="F134" i="5" s="1"/>
  <c r="F137" i="5" a="1"/>
  <c r="F137" i="5" s="1"/>
  <c r="F140" i="5" a="1"/>
  <c r="F140" i="5" s="1"/>
  <c r="F143" i="5" a="1"/>
  <c r="F143" i="5" s="1"/>
  <c r="F146" i="5" a="1"/>
  <c r="F146" i="5" s="1"/>
  <c r="F149" i="5" a="1"/>
  <c r="F149" i="5" s="1"/>
  <c r="F152" i="5" a="1"/>
  <c r="F152" i="5" s="1"/>
  <c r="F155" i="5" a="1"/>
  <c r="F155" i="5" s="1"/>
  <c r="F158" i="5" a="1"/>
  <c r="F158" i="5" s="1"/>
  <c r="F161" i="5" a="1"/>
  <c r="F161" i="5" s="1"/>
  <c r="F164" i="5" a="1"/>
  <c r="F164" i="5" s="1"/>
  <c r="F167" i="5" a="1"/>
  <c r="F167" i="5" s="1"/>
  <c r="F170" i="5" a="1"/>
  <c r="F170" i="5" s="1"/>
  <c r="F173" i="5" a="1"/>
  <c r="F173" i="5" s="1"/>
  <c r="F176" i="5" a="1"/>
  <c r="F176" i="5" s="1"/>
  <c r="F179" i="5" a="1"/>
  <c r="F179" i="5" s="1"/>
  <c r="F182" i="5" a="1"/>
  <c r="F182" i="5" s="1"/>
  <c r="F185" i="5" a="1"/>
  <c r="F185" i="5" s="1"/>
  <c r="F188" i="5" a="1"/>
  <c r="F188" i="5" s="1"/>
  <c r="F191" i="5" a="1"/>
  <c r="F191" i="5" s="1"/>
  <c r="F194" i="5" a="1"/>
  <c r="F194" i="5" s="1"/>
  <c r="F197" i="5" a="1"/>
  <c r="F197" i="5" s="1"/>
  <c r="F200" i="5" a="1"/>
  <c r="F200" i="5" s="1"/>
  <c r="F203" i="5" a="1"/>
  <c r="F203" i="5" s="1"/>
  <c r="F206" i="5" a="1"/>
  <c r="F206" i="5" s="1"/>
  <c r="F209" i="5" a="1"/>
  <c r="F209" i="5" s="1"/>
  <c r="F212" i="5" a="1"/>
  <c r="F212" i="5" s="1"/>
  <c r="F215" i="5" a="1"/>
  <c r="F215" i="5" s="1"/>
  <c r="F218" i="5" a="1"/>
  <c r="F218" i="5" s="1"/>
  <c r="F221" i="5" a="1"/>
  <c r="F221" i="5" s="1"/>
  <c r="F224" i="5" a="1"/>
  <c r="F224" i="5" s="1"/>
  <c r="F227" i="5" a="1"/>
  <c r="F227" i="5" s="1"/>
  <c r="F230" i="5" a="1"/>
  <c r="F230" i="5" s="1"/>
  <c r="F233" i="5" a="1"/>
  <c r="F233" i="5" s="1"/>
  <c r="F236" i="5" a="1"/>
  <c r="F236" i="5" s="1"/>
  <c r="F239" i="5" a="1"/>
  <c r="F239" i="5" s="1"/>
  <c r="F242" i="5" a="1"/>
  <c r="F242" i="5" s="1"/>
  <c r="F245" i="5" a="1"/>
  <c r="F245" i="5" s="1"/>
  <c r="F248" i="5" a="1"/>
  <c r="F248" i="5" s="1"/>
  <c r="F251" i="5" a="1"/>
  <c r="F251" i="5" s="1"/>
  <c r="F254" i="5" a="1"/>
  <c r="F254" i="5" s="1"/>
  <c r="F257" i="5" a="1"/>
  <c r="F257" i="5" s="1"/>
  <c r="F260" i="5" a="1"/>
  <c r="F260" i="5" s="1"/>
  <c r="F263" i="5" a="1"/>
  <c r="F263" i="5" s="1"/>
  <c r="F266" i="5" a="1"/>
  <c r="F266" i="5" s="1"/>
  <c r="F269" i="5" a="1"/>
  <c r="F269" i="5" s="1"/>
  <c r="F272" i="5" a="1"/>
  <c r="F272" i="5" s="1"/>
  <c r="F275" i="5" a="1"/>
  <c r="F275" i="5" s="1"/>
  <c r="F278" i="5" a="1"/>
  <c r="F278" i="5" s="1"/>
  <c r="F281" i="5" a="1"/>
  <c r="F281" i="5" s="1"/>
  <c r="F284" i="5" a="1"/>
  <c r="F284" i="5" s="1"/>
  <c r="F287" i="5" a="1"/>
  <c r="F287" i="5" s="1"/>
  <c r="F290" i="5" a="1"/>
  <c r="F290" i="5" s="1"/>
  <c r="F293" i="5" a="1"/>
  <c r="F293" i="5" s="1"/>
  <c r="F296" i="5" a="1"/>
  <c r="F296" i="5" s="1"/>
  <c r="F299" i="5" a="1"/>
  <c r="F299" i="5" s="1"/>
  <c r="F302" i="5" a="1"/>
  <c r="F302" i="5" s="1"/>
  <c r="F305" i="5" a="1"/>
  <c r="F305" i="5" s="1"/>
  <c r="E80" i="17"/>
  <c r="B80" i="17"/>
  <c r="V124" i="3"/>
  <c r="F27" i="5" a="1"/>
  <c r="F27" i="5" s="1"/>
  <c r="V127" i="3"/>
  <c r="F49" i="5" a="1"/>
  <c r="F49" i="5" s="1"/>
  <c r="U75" i="5"/>
  <c r="F316" i="5" a="1"/>
  <c r="F316" i="5" s="1"/>
  <c r="F313" i="5" a="1"/>
  <c r="F313" i="5" s="1"/>
  <c r="F310" i="5" a="1"/>
  <c r="F310" i="5" s="1"/>
  <c r="F307" i="5" a="1"/>
  <c r="F307" i="5" s="1"/>
  <c r="F82" i="5" a="1"/>
  <c r="F82" i="5" s="1"/>
  <c r="V68" i="3"/>
  <c r="F25" i="5" a="1"/>
  <c r="F25" i="5" s="1"/>
  <c r="V79" i="3"/>
  <c r="F50" i="5" a="1"/>
  <c r="F50" i="5" s="1"/>
  <c r="T18" i="5"/>
  <c r="I47" i="5"/>
  <c r="J47" i="5" s="1"/>
  <c r="Q47" i="5" s="1"/>
  <c r="I38" i="5"/>
  <c r="J38" i="5" s="1"/>
  <c r="Q38" i="5" s="1"/>
  <c r="V97" i="3"/>
  <c r="F73" i="5" a="1"/>
  <c r="F73" i="5" s="1"/>
  <c r="V96" i="3"/>
  <c r="F28" i="5" a="1"/>
  <c r="F28" i="5" s="1"/>
  <c r="V94" i="3"/>
  <c r="F71" i="5" a="1"/>
  <c r="F71" i="5" s="1"/>
  <c r="V92" i="3"/>
  <c r="F22" i="5" a="1"/>
  <c r="F22" i="5" s="1"/>
  <c r="V91" i="3"/>
  <c r="F54" i="5" a="1"/>
  <c r="F54" i="5" s="1"/>
  <c r="V105" i="3"/>
  <c r="F67" i="5" a="1"/>
  <c r="F67" i="5" s="1"/>
  <c r="V99" i="3"/>
  <c r="F77" i="5" a="1"/>
  <c r="F77" i="5" s="1"/>
  <c r="V122" i="3"/>
  <c r="F19" i="5" a="1"/>
  <c r="F19" i="5" s="1"/>
  <c r="V125" i="3"/>
  <c r="F41" i="5" a="1"/>
  <c r="F41" i="5" s="1"/>
  <c r="V131" i="3"/>
  <c r="F81" i="5" a="1"/>
  <c r="F81" i="5" s="1"/>
  <c r="V134" i="3"/>
  <c r="F62" i="5" a="1"/>
  <c r="F62" i="5" s="1"/>
  <c r="V167" i="3"/>
  <c r="F94" i="5" a="1"/>
  <c r="F94" i="5" s="1"/>
  <c r="V152" i="3"/>
  <c r="F92" i="5" a="1"/>
  <c r="F92" i="5" s="1"/>
  <c r="T82" i="5"/>
  <c r="T80" i="5"/>
  <c r="T79" i="5"/>
  <c r="U76" i="5"/>
  <c r="F315" i="5" a="1"/>
  <c r="F315" i="5" s="1"/>
  <c r="F312" i="5" a="1"/>
  <c r="F312" i="5" s="1"/>
  <c r="F309" i="5" a="1"/>
  <c r="F309" i="5" s="1"/>
  <c r="V63" i="3"/>
  <c r="F7" i="5" a="1"/>
  <c r="F7" i="5" s="1"/>
  <c r="V106" i="3"/>
  <c r="F6" i="5" a="1"/>
  <c r="F6" i="5" s="1"/>
  <c r="V153" i="3"/>
  <c r="F8" i="5" a="1"/>
  <c r="F8" i="5" s="1"/>
  <c r="F18" i="5" a="1"/>
  <c r="F18" i="5" s="1"/>
  <c r="M98" i="12"/>
  <c r="M42" i="12"/>
  <c r="M99" i="12"/>
  <c r="M97" i="12"/>
  <c r="M38" i="12"/>
  <c r="M44" i="12"/>
  <c r="M90" i="12"/>
  <c r="M28" i="12"/>
  <c r="M39" i="12"/>
  <c r="M34" i="12"/>
  <c r="M29" i="12"/>
  <c r="M32" i="12"/>
  <c r="M26" i="12"/>
  <c r="M24" i="12"/>
  <c r="M25" i="12"/>
  <c r="M33" i="12"/>
  <c r="B73" i="17"/>
  <c r="C73" i="17"/>
  <c r="D73" i="17"/>
  <c r="E73" i="17"/>
  <c r="B74" i="17"/>
  <c r="C74" i="17"/>
  <c r="D74" i="17"/>
  <c r="E74" i="17"/>
  <c r="B75" i="17"/>
  <c r="C75" i="17"/>
  <c r="D75" i="17"/>
  <c r="E75" i="17"/>
  <c r="B76" i="17"/>
  <c r="C76" i="17"/>
  <c r="D76" i="17"/>
  <c r="E76" i="17"/>
  <c r="B77" i="17"/>
  <c r="C77" i="17"/>
  <c r="D77" i="17"/>
  <c r="E77" i="17"/>
  <c r="B78" i="17"/>
  <c r="C78" i="17"/>
  <c r="D78" i="17"/>
  <c r="E78" i="17"/>
  <c r="B79" i="17"/>
  <c r="C79" i="17"/>
  <c r="D79" i="17"/>
  <c r="E79" i="17"/>
  <c r="T24" i="5"/>
  <c r="I58" i="5"/>
  <c r="I42" i="5"/>
  <c r="J42" i="5" s="1"/>
  <c r="Q42" i="5" s="1"/>
  <c r="I32" i="5"/>
  <c r="I12" i="5"/>
  <c r="V61" i="3"/>
  <c r="T78" i="5"/>
  <c r="V73" i="3"/>
  <c r="T76" i="5"/>
  <c r="T8" i="5"/>
  <c r="V71" i="3"/>
  <c r="T40" i="5"/>
  <c r="V70" i="3"/>
  <c r="V69" i="3"/>
  <c r="K20" i="6"/>
  <c r="V65" i="3"/>
  <c r="T36" i="5"/>
  <c r="V64" i="3"/>
  <c r="V62" i="3"/>
  <c r="T75" i="5"/>
  <c r="V78" i="3"/>
  <c r="T58" i="5"/>
  <c r="V89" i="3"/>
  <c r="K29" i="6"/>
  <c r="V87" i="3"/>
  <c r="V86" i="3"/>
  <c r="T34" i="5"/>
  <c r="V83" i="3"/>
  <c r="T30" i="5"/>
  <c r="V82" i="3"/>
  <c r="P35" i="6"/>
  <c r="V81" i="3"/>
  <c r="T10" i="5"/>
  <c r="V74" i="3"/>
  <c r="I62" i="5"/>
  <c r="I70" i="5"/>
  <c r="J70" i="5" s="1"/>
  <c r="Q70" i="5" s="1"/>
  <c r="V109" i="3"/>
  <c r="U280" i="5"/>
  <c r="U199" i="5"/>
  <c r="U170" i="5"/>
  <c r="I5" i="5"/>
  <c r="U137" i="5"/>
  <c r="U125" i="5"/>
  <c r="U74" i="5"/>
  <c r="U169" i="5"/>
  <c r="U167" i="5"/>
  <c r="U164" i="5"/>
  <c r="U161" i="5"/>
  <c r="U159" i="5"/>
  <c r="U316" i="5"/>
  <c r="U313" i="5"/>
  <c r="U308" i="5"/>
  <c r="U305" i="5"/>
  <c r="U303" i="5"/>
  <c r="U302" i="5"/>
  <c r="U300" i="5"/>
  <c r="U297" i="5"/>
  <c r="U291" i="5"/>
  <c r="U282" i="5"/>
  <c r="U281" i="5"/>
  <c r="U126" i="5"/>
  <c r="U105" i="5"/>
  <c r="U100" i="5"/>
  <c r="U97" i="5"/>
  <c r="U94" i="5"/>
  <c r="U91" i="5"/>
  <c r="U89" i="5"/>
  <c r="U83" i="5"/>
  <c r="U198" i="5"/>
  <c r="U177" i="5"/>
  <c r="U113" i="5"/>
  <c r="U112" i="5"/>
  <c r="U109" i="5"/>
  <c r="U279" i="5"/>
  <c r="U277" i="5"/>
  <c r="U276" i="5"/>
  <c r="U274" i="5"/>
  <c r="U273" i="5"/>
  <c r="U268" i="5"/>
  <c r="U265" i="5"/>
  <c r="U262" i="5"/>
  <c r="U259" i="5"/>
  <c r="U256" i="5"/>
  <c r="U253" i="5"/>
  <c r="U250" i="5"/>
  <c r="U248" i="5"/>
  <c r="U247" i="5"/>
  <c r="U242" i="5"/>
  <c r="U241" i="5"/>
  <c r="U240" i="5"/>
  <c r="U238" i="5"/>
  <c r="U237" i="5"/>
  <c r="U232" i="5"/>
  <c r="U231" i="5"/>
  <c r="U229" i="5"/>
  <c r="U228" i="5"/>
  <c r="U226" i="5"/>
  <c r="U223" i="5"/>
  <c r="U222" i="5"/>
  <c r="U219" i="5"/>
  <c r="U217" i="5"/>
  <c r="U216" i="5"/>
  <c r="U214" i="5"/>
  <c r="U213" i="5"/>
  <c r="U211" i="5"/>
  <c r="U208" i="5"/>
  <c r="U207" i="5"/>
  <c r="U206" i="5"/>
  <c r="U204" i="5"/>
  <c r="U149" i="5"/>
  <c r="U146" i="5"/>
  <c r="U143" i="5"/>
  <c r="U141" i="5"/>
  <c r="U124" i="5"/>
  <c r="U121" i="5"/>
  <c r="U118" i="5"/>
  <c r="U81" i="5"/>
  <c r="U79" i="5"/>
  <c r="U78" i="5"/>
  <c r="U77" i="5"/>
  <c r="I4" i="5"/>
  <c r="O11" i="1"/>
  <c r="U304" i="5"/>
  <c r="U236" i="5"/>
  <c r="I44" i="5"/>
  <c r="I23" i="5"/>
  <c r="I17" i="5"/>
  <c r="I64" i="5"/>
  <c r="I71" i="5"/>
  <c r="I68" i="5"/>
  <c r="T73" i="5"/>
  <c r="K5" i="1"/>
  <c r="M13" i="1"/>
  <c r="J13" i="1"/>
  <c r="L12" i="1"/>
  <c r="I12" i="1"/>
  <c r="K11" i="1"/>
  <c r="M10" i="1"/>
  <c r="J10" i="1"/>
  <c r="L9" i="1"/>
  <c r="I9" i="1"/>
  <c r="O13" i="1"/>
  <c r="O10" i="1"/>
  <c r="I49" i="5"/>
  <c r="I43" i="5"/>
  <c r="I37" i="5"/>
  <c r="I28" i="5"/>
  <c r="I22" i="5"/>
  <c r="I13" i="5"/>
  <c r="I63" i="5"/>
  <c r="J5" i="1"/>
  <c r="L13" i="1"/>
  <c r="I13" i="1"/>
  <c r="K12" i="1"/>
  <c r="M11" i="1"/>
  <c r="J11" i="1"/>
  <c r="L10" i="1"/>
  <c r="I10" i="1"/>
  <c r="K9" i="1"/>
  <c r="M5" i="1"/>
  <c r="O12" i="1"/>
  <c r="O9" i="1"/>
  <c r="U289" i="5"/>
  <c r="T43" i="5"/>
  <c r="I48" i="5"/>
  <c r="I39" i="5"/>
  <c r="I33" i="5"/>
  <c r="I27" i="5"/>
  <c r="I24" i="5"/>
  <c r="I18" i="5"/>
  <c r="I6" i="5"/>
  <c r="I69" i="5"/>
  <c r="I66" i="5"/>
  <c r="L5" i="1"/>
  <c r="I5" i="1"/>
  <c r="K13" i="1"/>
  <c r="M12" i="1"/>
  <c r="J12" i="1"/>
  <c r="L11" i="1"/>
  <c r="I11" i="1"/>
  <c r="K10" i="1"/>
  <c r="M9" i="1"/>
  <c r="J9" i="1"/>
  <c r="O5" i="1"/>
  <c r="U312" i="5"/>
  <c r="U309" i="5"/>
  <c r="U296" i="5"/>
  <c r="U285" i="5"/>
  <c r="U284" i="5"/>
  <c r="U266" i="5"/>
  <c r="U260" i="5"/>
  <c r="U257" i="5"/>
  <c r="U251" i="5"/>
  <c r="U244" i="5"/>
  <c r="U239" i="5"/>
  <c r="U230" i="5"/>
  <c r="U227" i="5"/>
  <c r="U218" i="5"/>
  <c r="U212" i="5"/>
  <c r="U210" i="5"/>
  <c r="U205" i="5"/>
  <c r="U202" i="5"/>
  <c r="U197" i="5"/>
  <c r="U176" i="5"/>
  <c r="U173" i="5"/>
  <c r="U140" i="5"/>
  <c r="U132" i="5"/>
  <c r="U120" i="5"/>
  <c r="U110" i="5"/>
  <c r="U98" i="5"/>
  <c r="U92" i="5"/>
  <c r="U88" i="5"/>
  <c r="U85" i="5"/>
  <c r="U193" i="5"/>
  <c r="U190" i="5"/>
  <c r="U187" i="5"/>
  <c r="U181" i="5"/>
  <c r="U178" i="5"/>
  <c r="U172" i="5"/>
  <c r="U168" i="5"/>
  <c r="U160" i="5"/>
  <c r="U155" i="5"/>
  <c r="U152" i="5"/>
  <c r="U150" i="5"/>
  <c r="U134" i="5"/>
  <c r="U128" i="5"/>
  <c r="T74" i="5"/>
  <c r="H283" i="5"/>
  <c r="O283" i="5" s="1"/>
  <c r="I305" i="5"/>
  <c r="V305" i="5" s="1"/>
  <c r="H306" i="5"/>
  <c r="O306" i="5" s="1"/>
  <c r="H307" i="5"/>
  <c r="O307" i="5" s="1"/>
  <c r="I313" i="5"/>
  <c r="P313" i="5" s="1"/>
  <c r="I72" i="5"/>
  <c r="H292" i="5"/>
  <c r="O292" i="5" s="1"/>
  <c r="S57" i="5"/>
  <c r="S52" i="5"/>
  <c r="S47" i="5"/>
  <c r="S42" i="5"/>
  <c r="S37" i="5"/>
  <c r="S32" i="5"/>
  <c r="S27" i="5"/>
  <c r="S22" i="5"/>
  <c r="S17" i="5"/>
  <c r="S12" i="5"/>
  <c r="T31" i="5"/>
  <c r="I60" i="5"/>
  <c r="I55" i="5"/>
  <c r="I50" i="5"/>
  <c r="I45" i="5"/>
  <c r="I40" i="5"/>
  <c r="I35" i="5"/>
  <c r="I30" i="5"/>
  <c r="I25" i="5"/>
  <c r="I20" i="5"/>
  <c r="I15" i="5"/>
  <c r="I10" i="5"/>
  <c r="H316" i="5"/>
  <c r="O316" i="5" s="1"/>
  <c r="U314" i="5"/>
  <c r="I295" i="5"/>
  <c r="P295" i="5" s="1"/>
  <c r="S4" i="5"/>
  <c r="H310" i="5"/>
  <c r="O310" i="5" s="1"/>
  <c r="H309" i="5"/>
  <c r="O309" i="5" s="1"/>
  <c r="H304" i="5"/>
  <c r="O304" i="5" s="1"/>
  <c r="I303" i="5"/>
  <c r="P303" i="5" s="1"/>
  <c r="S51" i="5"/>
  <c r="S41" i="5"/>
  <c r="S31" i="5"/>
  <c r="I59" i="5"/>
  <c r="I34" i="5"/>
  <c r="H315" i="5"/>
  <c r="O315" i="5" s="1"/>
  <c r="I308" i="5"/>
  <c r="V308" i="5" s="1"/>
  <c r="I298" i="5"/>
  <c r="V298" i="5" s="1"/>
  <c r="I291" i="5"/>
  <c r="J291" i="5" s="1"/>
  <c r="Q291" i="5" s="1"/>
  <c r="H77" i="5"/>
  <c r="O77" i="5" s="1"/>
  <c r="I77" i="5"/>
  <c r="H78" i="5"/>
  <c r="O78" i="5" s="1"/>
  <c r="I78" i="5"/>
  <c r="H79" i="5"/>
  <c r="O79" i="5" s="1"/>
  <c r="I79" i="5"/>
  <c r="I80" i="5"/>
  <c r="H81" i="5"/>
  <c r="O81" i="5" s="1"/>
  <c r="I82" i="5"/>
  <c r="I84" i="5"/>
  <c r="H85" i="5"/>
  <c r="O85" i="5" s="1"/>
  <c r="H86" i="5"/>
  <c r="O86" i="5" s="1"/>
  <c r="H88" i="5"/>
  <c r="O88" i="5" s="1"/>
  <c r="H89" i="5"/>
  <c r="O89" i="5" s="1"/>
  <c r="I91" i="5"/>
  <c r="I93" i="5"/>
  <c r="H94" i="5"/>
  <c r="O94" i="5" s="1"/>
  <c r="H95" i="5"/>
  <c r="O95" i="5" s="1"/>
  <c r="I96" i="5"/>
  <c r="I99" i="5"/>
  <c r="H100" i="5"/>
  <c r="O100" i="5" s="1"/>
  <c r="I101" i="5"/>
  <c r="H102" i="5"/>
  <c r="O102" i="5" s="1"/>
  <c r="I104" i="5"/>
  <c r="H105" i="5"/>
  <c r="O105" i="5" s="1"/>
  <c r="I106" i="5"/>
  <c r="I107" i="5"/>
  <c r="H108" i="5"/>
  <c r="O108" i="5" s="1"/>
  <c r="I112" i="5"/>
  <c r="I113" i="5"/>
  <c r="I114" i="5"/>
  <c r="H115" i="5"/>
  <c r="O115" i="5" s="1"/>
  <c r="I116" i="5"/>
  <c r="H117" i="5"/>
  <c r="O117" i="5" s="1"/>
  <c r="H120" i="5"/>
  <c r="O120" i="5" s="1"/>
  <c r="I121" i="5"/>
  <c r="I122" i="5"/>
  <c r="H123" i="5"/>
  <c r="O123" i="5" s="1"/>
  <c r="H125" i="5"/>
  <c r="O125" i="5" s="1"/>
  <c r="I127" i="5"/>
  <c r="I129" i="5"/>
  <c r="I130" i="5"/>
  <c r="I131" i="5"/>
  <c r="I81" i="5"/>
  <c r="H83" i="5"/>
  <c r="O83" i="5" s="1"/>
  <c r="I85" i="5"/>
  <c r="I86" i="5"/>
  <c r="H87" i="5"/>
  <c r="O87" i="5" s="1"/>
  <c r="I88" i="5"/>
  <c r="I89" i="5"/>
  <c r="H90" i="5"/>
  <c r="O90" i="5" s="1"/>
  <c r="H92" i="5"/>
  <c r="O92" i="5" s="1"/>
  <c r="I94" i="5"/>
  <c r="I95" i="5"/>
  <c r="H97" i="5"/>
  <c r="O97" i="5" s="1"/>
  <c r="H98" i="5"/>
  <c r="O98" i="5" s="1"/>
  <c r="I100" i="5"/>
  <c r="I102" i="5"/>
  <c r="H103" i="5"/>
  <c r="O103" i="5" s="1"/>
  <c r="I105" i="5"/>
  <c r="I108" i="5"/>
  <c r="H109" i="5"/>
  <c r="O109" i="5" s="1"/>
  <c r="H110" i="5"/>
  <c r="O110" i="5" s="1"/>
  <c r="H111" i="5"/>
  <c r="O111" i="5" s="1"/>
  <c r="I115" i="5"/>
  <c r="I117" i="5"/>
  <c r="H118" i="5"/>
  <c r="O118" i="5" s="1"/>
  <c r="H119" i="5"/>
  <c r="O119" i="5" s="1"/>
  <c r="I120" i="5"/>
  <c r="H80" i="5"/>
  <c r="O80" i="5" s="1"/>
  <c r="H82" i="5"/>
  <c r="O82" i="5" s="1"/>
  <c r="I83" i="5"/>
  <c r="H84" i="5"/>
  <c r="O84" i="5" s="1"/>
  <c r="I87" i="5"/>
  <c r="I90" i="5"/>
  <c r="H91" i="5"/>
  <c r="O91" i="5" s="1"/>
  <c r="I92" i="5"/>
  <c r="H93" i="5"/>
  <c r="O93" i="5" s="1"/>
  <c r="H96" i="5"/>
  <c r="O96" i="5" s="1"/>
  <c r="I97" i="5"/>
  <c r="I98" i="5"/>
  <c r="H99" i="5"/>
  <c r="O99" i="5" s="1"/>
  <c r="H101" i="5"/>
  <c r="O101" i="5" s="1"/>
  <c r="I103" i="5"/>
  <c r="H104" i="5"/>
  <c r="O104" i="5" s="1"/>
  <c r="H106" i="5"/>
  <c r="H107" i="5"/>
  <c r="O107" i="5" s="1"/>
  <c r="I109" i="5"/>
  <c r="I110" i="5"/>
  <c r="I111" i="5"/>
  <c r="H112" i="5"/>
  <c r="O112" i="5" s="1"/>
  <c r="H113" i="5"/>
  <c r="O113" i="5" s="1"/>
  <c r="H114" i="5"/>
  <c r="O114" i="5" s="1"/>
  <c r="H116" i="5"/>
  <c r="O116" i="5" s="1"/>
  <c r="I118" i="5"/>
  <c r="I119" i="5"/>
  <c r="H121" i="5"/>
  <c r="O121" i="5" s="1"/>
  <c r="H122" i="5"/>
  <c r="O122" i="5" s="1"/>
  <c r="I124" i="5"/>
  <c r="I123" i="5"/>
  <c r="I128" i="5"/>
  <c r="I132" i="5"/>
  <c r="H133" i="5"/>
  <c r="O133" i="5" s="1"/>
  <c r="I134" i="5"/>
  <c r="H136" i="5"/>
  <c r="O136" i="5" s="1"/>
  <c r="I137" i="5"/>
  <c r="I138" i="5"/>
  <c r="I140" i="5"/>
  <c r="I141" i="5"/>
  <c r="H142" i="5"/>
  <c r="O142" i="5" s="1"/>
  <c r="I143" i="5"/>
  <c r="H145" i="5"/>
  <c r="O145" i="5" s="1"/>
  <c r="I146" i="5"/>
  <c r="I147" i="5"/>
  <c r="I149" i="5"/>
  <c r="I150" i="5"/>
  <c r="H151" i="5"/>
  <c r="O151" i="5" s="1"/>
  <c r="I152" i="5"/>
  <c r="H154" i="5"/>
  <c r="O154" i="5" s="1"/>
  <c r="I125" i="5"/>
  <c r="H126" i="5"/>
  <c r="O126" i="5" s="1"/>
  <c r="H127" i="5"/>
  <c r="O127" i="5" s="1"/>
  <c r="H130" i="5"/>
  <c r="O130" i="5" s="1"/>
  <c r="H131" i="5"/>
  <c r="O131" i="5" s="1"/>
  <c r="I133" i="5"/>
  <c r="H135" i="5"/>
  <c r="O135" i="5" s="1"/>
  <c r="I136" i="5"/>
  <c r="H139" i="5"/>
  <c r="O139" i="5" s="1"/>
  <c r="I142" i="5"/>
  <c r="H144" i="5"/>
  <c r="O144" i="5" s="1"/>
  <c r="I145" i="5"/>
  <c r="H148" i="5"/>
  <c r="O148" i="5" s="1"/>
  <c r="I151" i="5"/>
  <c r="H153" i="5"/>
  <c r="O153" i="5" s="1"/>
  <c r="I154" i="5"/>
  <c r="H157" i="5"/>
  <c r="O157" i="5" s="1"/>
  <c r="I158" i="5"/>
  <c r="H162" i="5"/>
  <c r="O162" i="5" s="1"/>
  <c r="I163" i="5"/>
  <c r="I166" i="5"/>
  <c r="H168" i="5"/>
  <c r="O168" i="5" s="1"/>
  <c r="H169" i="5"/>
  <c r="O169" i="5" s="1"/>
  <c r="H170" i="5"/>
  <c r="O170" i="5" s="1"/>
  <c r="I171" i="5"/>
  <c r="H173" i="5"/>
  <c r="O173" i="5" s="1"/>
  <c r="H174" i="5"/>
  <c r="O174" i="5" s="1"/>
  <c r="H124" i="5"/>
  <c r="O124" i="5" s="1"/>
  <c r="I126" i="5"/>
  <c r="H128" i="5"/>
  <c r="O128" i="5" s="1"/>
  <c r="H129" i="5"/>
  <c r="O129" i="5" s="1"/>
  <c r="J131" i="5"/>
  <c r="Q131" i="5" s="1"/>
  <c r="H132" i="5"/>
  <c r="O132" i="5" s="1"/>
  <c r="H134" i="5"/>
  <c r="O134" i="5" s="1"/>
  <c r="I135" i="5"/>
  <c r="H137" i="5"/>
  <c r="O137" i="5" s="1"/>
  <c r="H138" i="5"/>
  <c r="O138" i="5" s="1"/>
  <c r="I139" i="5"/>
  <c r="H140" i="5"/>
  <c r="O140" i="5" s="1"/>
  <c r="H141" i="5"/>
  <c r="O141" i="5" s="1"/>
  <c r="H143" i="5"/>
  <c r="O143" i="5" s="1"/>
  <c r="I144" i="5"/>
  <c r="H146" i="5"/>
  <c r="O146" i="5" s="1"/>
  <c r="H147" i="5"/>
  <c r="O147" i="5" s="1"/>
  <c r="I148" i="5"/>
  <c r="H149" i="5"/>
  <c r="O149" i="5" s="1"/>
  <c r="H150" i="5"/>
  <c r="O150" i="5" s="1"/>
  <c r="H152" i="5"/>
  <c r="O152" i="5" s="1"/>
  <c r="I153" i="5"/>
  <c r="H155" i="5"/>
  <c r="O155" i="5" s="1"/>
  <c r="H156" i="5"/>
  <c r="O156" i="5" s="1"/>
  <c r="I156" i="5"/>
  <c r="H159" i="5"/>
  <c r="O159" i="5" s="1"/>
  <c r="H160" i="5"/>
  <c r="O160" i="5" s="1"/>
  <c r="I161" i="5"/>
  <c r="H163" i="5"/>
  <c r="O163" i="5" s="1"/>
  <c r="H165" i="5"/>
  <c r="O165" i="5" s="1"/>
  <c r="H166" i="5"/>
  <c r="O166" i="5" s="1"/>
  <c r="I169" i="5"/>
  <c r="H172" i="5"/>
  <c r="O172" i="5" s="1"/>
  <c r="I176" i="5"/>
  <c r="H177" i="5"/>
  <c r="O177" i="5" s="1"/>
  <c r="H178" i="5"/>
  <c r="O178" i="5" s="1"/>
  <c r="I179" i="5"/>
  <c r="I180" i="5"/>
  <c r="H182" i="5"/>
  <c r="O182" i="5" s="1"/>
  <c r="I184" i="5"/>
  <c r="I186" i="5"/>
  <c r="H187" i="5"/>
  <c r="O187" i="5" s="1"/>
  <c r="I188" i="5"/>
  <c r="I189" i="5"/>
  <c r="H190" i="5"/>
  <c r="O190" i="5" s="1"/>
  <c r="I192" i="5"/>
  <c r="H193" i="5"/>
  <c r="O193" i="5" s="1"/>
  <c r="I194" i="5"/>
  <c r="H195" i="5"/>
  <c r="O195" i="5" s="1"/>
  <c r="H198" i="5"/>
  <c r="O198" i="5" s="1"/>
  <c r="I199" i="5"/>
  <c r="H201" i="5"/>
  <c r="O201" i="5" s="1"/>
  <c r="H203" i="5"/>
  <c r="O203" i="5" s="1"/>
  <c r="I207" i="5"/>
  <c r="I208" i="5"/>
  <c r="H209" i="5"/>
  <c r="O209" i="5" s="1"/>
  <c r="I211" i="5"/>
  <c r="H215" i="5"/>
  <c r="O215" i="5" s="1"/>
  <c r="I216" i="5"/>
  <c r="J216" i="5" s="1"/>
  <c r="Q216" i="5" s="1"/>
  <c r="I219" i="5"/>
  <c r="V219" i="5" s="1"/>
  <c r="I220" i="5"/>
  <c r="J220" i="5" s="1"/>
  <c r="Q220" i="5" s="1"/>
  <c r="I221" i="5"/>
  <c r="J221" i="5" s="1"/>
  <c r="Q221" i="5" s="1"/>
  <c r="H222" i="5"/>
  <c r="O222" i="5" s="1"/>
  <c r="H224" i="5"/>
  <c r="O224" i="5" s="1"/>
  <c r="I225" i="5"/>
  <c r="V225" i="5" s="1"/>
  <c r="I227" i="5"/>
  <c r="R227" i="5" s="1"/>
  <c r="I232" i="5"/>
  <c r="V232" i="5" s="1"/>
  <c r="I233" i="5"/>
  <c r="J233" i="5" s="1"/>
  <c r="Q233" i="5" s="1"/>
  <c r="H234" i="5"/>
  <c r="O234" i="5" s="1"/>
  <c r="I235" i="5"/>
  <c r="J235" i="5" s="1"/>
  <c r="Q235" i="5" s="1"/>
  <c r="I236" i="5"/>
  <c r="V236" i="5" s="1"/>
  <c r="I155" i="5"/>
  <c r="I159" i="5"/>
  <c r="I160" i="5"/>
  <c r="H164" i="5"/>
  <c r="O164" i="5" s="1"/>
  <c r="I165" i="5"/>
  <c r="H167" i="5"/>
  <c r="O167" i="5" s="1"/>
  <c r="I168" i="5"/>
  <c r="I170" i="5"/>
  <c r="I172" i="5"/>
  <c r="I173" i="5"/>
  <c r="I174" i="5"/>
  <c r="H175" i="5"/>
  <c r="O175" i="5" s="1"/>
  <c r="I177" i="5"/>
  <c r="I178" i="5"/>
  <c r="H181" i="5"/>
  <c r="O181" i="5" s="1"/>
  <c r="I182" i="5"/>
  <c r="H183" i="5"/>
  <c r="O183" i="5" s="1"/>
  <c r="H185" i="5"/>
  <c r="O185" i="5" s="1"/>
  <c r="I187" i="5"/>
  <c r="I190" i="5"/>
  <c r="H191" i="5"/>
  <c r="O191" i="5" s="1"/>
  <c r="I193" i="5"/>
  <c r="I195" i="5"/>
  <c r="H196" i="5"/>
  <c r="O196" i="5" s="1"/>
  <c r="H197" i="5"/>
  <c r="O197" i="5" s="1"/>
  <c r="I198" i="5"/>
  <c r="H200" i="5"/>
  <c r="O200" i="5" s="1"/>
  <c r="I201" i="5"/>
  <c r="H202" i="5"/>
  <c r="O202" i="5" s="1"/>
  <c r="I203" i="5"/>
  <c r="H204" i="5"/>
  <c r="O204" i="5" s="1"/>
  <c r="H205" i="5"/>
  <c r="O205" i="5" s="1"/>
  <c r="H206" i="5"/>
  <c r="O206" i="5" s="1"/>
  <c r="I209" i="5"/>
  <c r="H210" i="5"/>
  <c r="O210" i="5" s="1"/>
  <c r="H212" i="5"/>
  <c r="O212" i="5" s="1"/>
  <c r="H213" i="5"/>
  <c r="O213" i="5" s="1"/>
  <c r="I157" i="5"/>
  <c r="H158" i="5"/>
  <c r="O158" i="5" s="1"/>
  <c r="H161" i="5"/>
  <c r="O161" i="5" s="1"/>
  <c r="I162" i="5"/>
  <c r="I164" i="5"/>
  <c r="I167" i="5"/>
  <c r="H171" i="5"/>
  <c r="O171" i="5" s="1"/>
  <c r="I175" i="5"/>
  <c r="H176" i="5"/>
  <c r="O176" i="5" s="1"/>
  <c r="H179" i="5"/>
  <c r="O179" i="5" s="1"/>
  <c r="H180" i="5"/>
  <c r="O180" i="5" s="1"/>
  <c r="I181" i="5"/>
  <c r="I183" i="5"/>
  <c r="H184" i="5"/>
  <c r="O184" i="5" s="1"/>
  <c r="I185" i="5"/>
  <c r="H186" i="5"/>
  <c r="O186" i="5" s="1"/>
  <c r="H188" i="5"/>
  <c r="O188" i="5" s="1"/>
  <c r="H189" i="5"/>
  <c r="O189" i="5" s="1"/>
  <c r="I191" i="5"/>
  <c r="H192" i="5"/>
  <c r="O192" i="5" s="1"/>
  <c r="H194" i="5"/>
  <c r="O194" i="5" s="1"/>
  <c r="I196" i="5"/>
  <c r="I197" i="5"/>
  <c r="H199" i="5"/>
  <c r="O199" i="5" s="1"/>
  <c r="I200" i="5"/>
  <c r="I202" i="5"/>
  <c r="I204" i="5"/>
  <c r="I205" i="5"/>
  <c r="I206" i="5"/>
  <c r="H207" i="5"/>
  <c r="O207" i="5" s="1"/>
  <c r="H208" i="5"/>
  <c r="O208" i="5" s="1"/>
  <c r="I210" i="5"/>
  <c r="H211" i="5"/>
  <c r="O211" i="5" s="1"/>
  <c r="I212" i="5"/>
  <c r="I213" i="5"/>
  <c r="I214" i="5"/>
  <c r="H216" i="5"/>
  <c r="O216" i="5" s="1"/>
  <c r="I215" i="5"/>
  <c r="R215" i="5" s="1"/>
  <c r="I217" i="5"/>
  <c r="J217" i="5" s="1"/>
  <c r="Q217" i="5" s="1"/>
  <c r="H223" i="5"/>
  <c r="O223" i="5" s="1"/>
  <c r="H225" i="5"/>
  <c r="O225" i="5" s="1"/>
  <c r="I226" i="5"/>
  <c r="H229" i="5"/>
  <c r="O229" i="5" s="1"/>
  <c r="I230" i="5"/>
  <c r="J230" i="5" s="1"/>
  <c r="Q230" i="5" s="1"/>
  <c r="H237" i="5"/>
  <c r="O237" i="5" s="1"/>
  <c r="I240" i="5"/>
  <c r="J240" i="5" s="1"/>
  <c r="Q240" i="5" s="1"/>
  <c r="H244" i="5"/>
  <c r="O244" i="5" s="1"/>
  <c r="H249" i="5"/>
  <c r="O249" i="5" s="1"/>
  <c r="I250" i="5"/>
  <c r="V250" i="5" s="1"/>
  <c r="I251" i="5"/>
  <c r="V251" i="5" s="1"/>
  <c r="I254" i="5"/>
  <c r="J254" i="5" s="1"/>
  <c r="Q254" i="5" s="1"/>
  <c r="H258" i="5"/>
  <c r="O258" i="5" s="1"/>
  <c r="H259" i="5"/>
  <c r="O259" i="5" s="1"/>
  <c r="H261" i="5"/>
  <c r="O261" i="5" s="1"/>
  <c r="I262" i="5"/>
  <c r="J262" i="5" s="1"/>
  <c r="Q262" i="5" s="1"/>
  <c r="H263" i="5"/>
  <c r="O263" i="5" s="1"/>
  <c r="H264" i="5"/>
  <c r="O264" i="5" s="1"/>
  <c r="H265" i="5"/>
  <c r="O265" i="5" s="1"/>
  <c r="I267" i="5"/>
  <c r="J267" i="5" s="1"/>
  <c r="Q267" i="5" s="1"/>
  <c r="I272" i="5"/>
  <c r="J272" i="5" s="1"/>
  <c r="Q272" i="5" s="1"/>
  <c r="I275" i="5"/>
  <c r="P275" i="5" s="1"/>
  <c r="I278" i="5"/>
  <c r="V278" i="5" s="1"/>
  <c r="I280" i="5"/>
  <c r="P280" i="5" s="1"/>
  <c r="H218" i="5"/>
  <c r="O218" i="5" s="1"/>
  <c r="I222" i="5"/>
  <c r="J222" i="5" s="1"/>
  <c r="Q222" i="5" s="1"/>
  <c r="I223" i="5"/>
  <c r="V223" i="5" s="1"/>
  <c r="I229" i="5"/>
  <c r="V229" i="5" s="1"/>
  <c r="H231" i="5"/>
  <c r="O231" i="5" s="1"/>
  <c r="H235" i="5"/>
  <c r="O235" i="5" s="1"/>
  <c r="H236" i="5"/>
  <c r="O236" i="5" s="1"/>
  <c r="I237" i="5"/>
  <c r="J237" i="5" s="1"/>
  <c r="Q237" i="5" s="1"/>
  <c r="H239" i="5"/>
  <c r="O239" i="5" s="1"/>
  <c r="H241" i="5"/>
  <c r="O241" i="5" s="1"/>
  <c r="H243" i="5"/>
  <c r="O243" i="5" s="1"/>
  <c r="I244" i="5"/>
  <c r="J244" i="5" s="1"/>
  <c r="Q244" i="5" s="1"/>
  <c r="H246" i="5"/>
  <c r="O246" i="5" s="1"/>
  <c r="H247" i="5"/>
  <c r="O247" i="5" s="1"/>
  <c r="I249" i="5"/>
  <c r="R249" i="5" s="1"/>
  <c r="H253" i="5"/>
  <c r="O253" i="5" s="1"/>
  <c r="I258" i="5"/>
  <c r="J258" i="5" s="1"/>
  <c r="Q258" i="5" s="1"/>
  <c r="I259" i="5"/>
  <c r="V259" i="5" s="1"/>
  <c r="H260" i="5"/>
  <c r="O260" i="5" s="1"/>
  <c r="I261" i="5"/>
  <c r="R261" i="5" s="1"/>
  <c r="I263" i="5"/>
  <c r="R263" i="5" s="1"/>
  <c r="I264" i="5"/>
  <c r="V264" i="5" s="1"/>
  <c r="I265" i="5"/>
  <c r="J265" i="5" s="1"/>
  <c r="Q265" i="5" s="1"/>
  <c r="H266" i="5"/>
  <c r="O266" i="5" s="1"/>
  <c r="H268" i="5"/>
  <c r="O268" i="5" s="1"/>
  <c r="H270" i="5"/>
  <c r="O270" i="5" s="1"/>
  <c r="H271" i="5"/>
  <c r="O271" i="5" s="1"/>
  <c r="I282" i="5"/>
  <c r="J282" i="5" s="1"/>
  <c r="Q282" i="5" s="1"/>
  <c r="I283" i="5"/>
  <c r="P283" i="5" s="1"/>
  <c r="H285" i="5"/>
  <c r="O285" i="5" s="1"/>
  <c r="H287" i="5"/>
  <c r="O287" i="5" s="1"/>
  <c r="H289" i="5"/>
  <c r="O289" i="5" s="1"/>
  <c r="H293" i="5"/>
  <c r="O293" i="5" s="1"/>
  <c r="H296" i="5"/>
  <c r="O296" i="5" s="1"/>
  <c r="H299" i="5"/>
  <c r="O299" i="5" s="1"/>
  <c r="H301" i="5"/>
  <c r="O301" i="5" s="1"/>
  <c r="I304" i="5"/>
  <c r="P304" i="5" s="1"/>
  <c r="I306" i="5"/>
  <c r="P306" i="5" s="1"/>
  <c r="I309" i="5"/>
  <c r="V309" i="5" s="1"/>
  <c r="I310" i="5"/>
  <c r="V310" i="5" s="1"/>
  <c r="H311" i="5"/>
  <c r="O311" i="5" s="1"/>
  <c r="H312" i="5"/>
  <c r="O312" i="5" s="1"/>
  <c r="I314" i="5"/>
  <c r="J314" i="5" s="1"/>
  <c r="Q314" i="5" s="1"/>
  <c r="I315" i="5"/>
  <c r="P315" i="5" s="1"/>
  <c r="I218" i="5"/>
  <c r="J218" i="5" s="1"/>
  <c r="Q218" i="5" s="1"/>
  <c r="H220" i="5"/>
  <c r="O220" i="5" s="1"/>
  <c r="I224" i="5"/>
  <c r="V224" i="5" s="1"/>
  <c r="H228" i="5"/>
  <c r="O228" i="5" s="1"/>
  <c r="I231" i="5"/>
  <c r="J231" i="5" s="1"/>
  <c r="Q231" i="5" s="1"/>
  <c r="H233" i="5"/>
  <c r="O233" i="5" s="1"/>
  <c r="H238" i="5"/>
  <c r="O238" i="5" s="1"/>
  <c r="I239" i="5"/>
  <c r="J239" i="5" s="1"/>
  <c r="Q239" i="5" s="1"/>
  <c r="I241" i="5"/>
  <c r="P241" i="5" s="1"/>
  <c r="H242" i="5"/>
  <c r="O242" i="5" s="1"/>
  <c r="I243" i="5"/>
  <c r="J243" i="5" s="1"/>
  <c r="Q243" i="5" s="1"/>
  <c r="H245" i="5"/>
  <c r="O245" i="5" s="1"/>
  <c r="I246" i="5"/>
  <c r="V246" i="5" s="1"/>
  <c r="I247" i="5"/>
  <c r="V247" i="5" s="1"/>
  <c r="H248" i="5"/>
  <c r="O248" i="5" s="1"/>
  <c r="H252" i="5"/>
  <c r="O252" i="5" s="1"/>
  <c r="I253" i="5"/>
  <c r="J253" i="5" s="1"/>
  <c r="Q253" i="5" s="1"/>
  <c r="H255" i="5"/>
  <c r="O255" i="5" s="1"/>
  <c r="H256" i="5"/>
  <c r="O256" i="5" s="1"/>
  <c r="H257" i="5"/>
  <c r="O257" i="5" s="1"/>
  <c r="I260" i="5"/>
  <c r="V260" i="5" s="1"/>
  <c r="I266" i="5"/>
  <c r="J266" i="5" s="1"/>
  <c r="Q266" i="5" s="1"/>
  <c r="I268" i="5"/>
  <c r="J268" i="5" s="1"/>
  <c r="Q268" i="5" s="1"/>
  <c r="H269" i="5"/>
  <c r="O269" i="5" s="1"/>
  <c r="I270" i="5"/>
  <c r="R270" i="5" s="1"/>
  <c r="I271" i="5"/>
  <c r="J271" i="5" s="1"/>
  <c r="Q271" i="5" s="1"/>
  <c r="H273" i="5"/>
  <c r="O273" i="5" s="1"/>
  <c r="H274" i="5"/>
  <c r="O274" i="5" s="1"/>
  <c r="H276" i="5"/>
  <c r="O276" i="5" s="1"/>
  <c r="H277" i="5"/>
  <c r="O277" i="5" s="1"/>
  <c r="H279" i="5"/>
  <c r="O279" i="5" s="1"/>
  <c r="H281" i="5"/>
  <c r="O281" i="5" s="1"/>
  <c r="H284" i="5"/>
  <c r="O284" i="5" s="1"/>
  <c r="I285" i="5"/>
  <c r="V285" i="5" s="1"/>
  <c r="H286" i="5"/>
  <c r="O286" i="5" s="1"/>
  <c r="I287" i="5"/>
  <c r="J287" i="5" s="1"/>
  <c r="Q287" i="5" s="1"/>
  <c r="H288" i="5"/>
  <c r="O288" i="5" s="1"/>
  <c r="I289" i="5"/>
  <c r="V289" i="5" s="1"/>
  <c r="H290" i="5"/>
  <c r="O290" i="5" s="1"/>
  <c r="H291" i="5"/>
  <c r="O291" i="5" s="1"/>
  <c r="I293" i="5"/>
  <c r="V293" i="5" s="1"/>
  <c r="H294" i="5"/>
  <c r="O294" i="5" s="1"/>
  <c r="H295" i="5"/>
  <c r="O295" i="5" s="1"/>
  <c r="I296" i="5"/>
  <c r="V296" i="5" s="1"/>
  <c r="H297" i="5"/>
  <c r="O297" i="5" s="1"/>
  <c r="H298" i="5"/>
  <c r="O298" i="5" s="1"/>
  <c r="I299" i="5"/>
  <c r="H300" i="5"/>
  <c r="O300" i="5" s="1"/>
  <c r="I301" i="5"/>
  <c r="J301" i="5" s="1"/>
  <c r="Q301" i="5" s="1"/>
  <c r="H302" i="5"/>
  <c r="O302" i="5" s="1"/>
  <c r="H303" i="5"/>
  <c r="O303" i="5" s="1"/>
  <c r="I311" i="5"/>
  <c r="V311" i="5" s="1"/>
  <c r="I312" i="5"/>
  <c r="J312" i="5" s="1"/>
  <c r="Q312" i="5" s="1"/>
  <c r="H214" i="5"/>
  <c r="O214" i="5" s="1"/>
  <c r="H217" i="5"/>
  <c r="O217" i="5" s="1"/>
  <c r="H219" i="5"/>
  <c r="O219" i="5" s="1"/>
  <c r="H221" i="5"/>
  <c r="O221" i="5" s="1"/>
  <c r="H226" i="5"/>
  <c r="O226" i="5" s="1"/>
  <c r="H227" i="5"/>
  <c r="O227" i="5" s="1"/>
  <c r="I228" i="5"/>
  <c r="J228" i="5" s="1"/>
  <c r="Q228" i="5" s="1"/>
  <c r="H230" i="5"/>
  <c r="O230" i="5" s="1"/>
  <c r="H232" i="5"/>
  <c r="O232" i="5" s="1"/>
  <c r="I234" i="5"/>
  <c r="R234" i="5" s="1"/>
  <c r="I238" i="5"/>
  <c r="V238" i="5" s="1"/>
  <c r="H240" i="5"/>
  <c r="O240" i="5" s="1"/>
  <c r="I242" i="5"/>
  <c r="J242" i="5" s="1"/>
  <c r="Q242" i="5" s="1"/>
  <c r="I245" i="5"/>
  <c r="J245" i="5" s="1"/>
  <c r="Q245" i="5" s="1"/>
  <c r="I248" i="5"/>
  <c r="J248" i="5" s="1"/>
  <c r="Q248" i="5" s="1"/>
  <c r="H250" i="5"/>
  <c r="O250" i="5" s="1"/>
  <c r="H251" i="5"/>
  <c r="O251" i="5" s="1"/>
  <c r="I252" i="5"/>
  <c r="R252" i="5" s="1"/>
  <c r="H254" i="5"/>
  <c r="O254" i="5" s="1"/>
  <c r="I255" i="5"/>
  <c r="R255" i="5" s="1"/>
  <c r="I256" i="5"/>
  <c r="R256" i="5" s="1"/>
  <c r="I257" i="5"/>
  <c r="V257" i="5" s="1"/>
  <c r="H262" i="5"/>
  <c r="O262" i="5" s="1"/>
  <c r="H267" i="5"/>
  <c r="O267" i="5" s="1"/>
  <c r="I269" i="5"/>
  <c r="V269" i="5" s="1"/>
  <c r="H272" i="5"/>
  <c r="O272" i="5" s="1"/>
  <c r="I273" i="5"/>
  <c r="V273" i="5" s="1"/>
  <c r="I274" i="5"/>
  <c r="J274" i="5" s="1"/>
  <c r="Q274" i="5" s="1"/>
  <c r="H275" i="5"/>
  <c r="O275" i="5" s="1"/>
  <c r="I276" i="5"/>
  <c r="V276" i="5" s="1"/>
  <c r="I277" i="5"/>
  <c r="V277" i="5" s="1"/>
  <c r="H278" i="5"/>
  <c r="O278" i="5" s="1"/>
  <c r="I279" i="5"/>
  <c r="J279" i="5" s="1"/>
  <c r="Q279" i="5" s="1"/>
  <c r="H280" i="5"/>
  <c r="O280" i="5" s="1"/>
  <c r="I281" i="5"/>
  <c r="J281" i="5" s="1"/>
  <c r="Q281" i="5" s="1"/>
  <c r="I284" i="5"/>
  <c r="P284" i="5" s="1"/>
  <c r="I286" i="5"/>
  <c r="J286" i="5" s="1"/>
  <c r="Q286" i="5" s="1"/>
  <c r="I288" i="5"/>
  <c r="P288" i="5" s="1"/>
  <c r="I290" i="5"/>
  <c r="J290" i="5" s="1"/>
  <c r="Q290" i="5" s="1"/>
  <c r="I61" i="5"/>
  <c r="I56" i="5"/>
  <c r="I46" i="5"/>
  <c r="I36" i="5"/>
  <c r="I31" i="5"/>
  <c r="I26" i="5"/>
  <c r="I21" i="5"/>
  <c r="I16" i="5"/>
  <c r="I11" i="5"/>
  <c r="I316" i="5"/>
  <c r="J316" i="5" s="1"/>
  <c r="Q316" i="5" s="1"/>
  <c r="H313" i="5"/>
  <c r="O313" i="5" s="1"/>
  <c r="H305" i="5"/>
  <c r="O305" i="5" s="1"/>
  <c r="T42" i="5"/>
  <c r="T49" i="5"/>
  <c r="S60" i="5"/>
  <c r="T37" i="5"/>
  <c r="I73" i="5"/>
  <c r="H314" i="5"/>
  <c r="O314" i="5" s="1"/>
  <c r="U311" i="5"/>
  <c r="H308" i="5"/>
  <c r="O308" i="5" s="1"/>
  <c r="I307" i="5"/>
  <c r="J307" i="5" s="1"/>
  <c r="Q307" i="5" s="1"/>
  <c r="I302" i="5"/>
  <c r="J302" i="5" s="1"/>
  <c r="Q302" i="5" s="1"/>
  <c r="I294" i="5"/>
  <c r="J294" i="5" s="1"/>
  <c r="Q294" i="5" s="1"/>
  <c r="H282" i="5"/>
  <c r="O282" i="5" s="1"/>
  <c r="I57" i="5"/>
  <c r="I7" i="5"/>
  <c r="I300" i="5"/>
  <c r="J300" i="5" s="1"/>
  <c r="Q300" i="5" s="1"/>
  <c r="I297" i="5"/>
  <c r="J297" i="5" s="1"/>
  <c r="Q297" i="5" s="1"/>
  <c r="I292" i="5"/>
  <c r="P292" i="5" s="1"/>
  <c r="U233" i="5"/>
  <c r="U220" i="5"/>
  <c r="U301" i="5"/>
  <c r="U293" i="5"/>
  <c r="U287" i="5"/>
  <c r="U283" i="5"/>
  <c r="U255" i="5"/>
  <c r="U310" i="5"/>
  <c r="U271" i="5"/>
  <c r="U270" i="5"/>
  <c r="U246" i="5"/>
  <c r="U264" i="5"/>
  <c r="U196" i="5"/>
  <c r="U194" i="5"/>
  <c r="U235" i="5"/>
  <c r="U225" i="5"/>
  <c r="U203" i="5"/>
  <c r="U184" i="5"/>
  <c r="U179" i="5"/>
  <c r="U130" i="5"/>
  <c r="U163" i="5"/>
  <c r="U154" i="5"/>
  <c r="U153" i="5"/>
  <c r="U145" i="5"/>
  <c r="U144" i="5"/>
  <c r="U136" i="5"/>
  <c r="U135" i="5"/>
  <c r="U131" i="5"/>
  <c r="U122" i="5"/>
  <c r="U116" i="5"/>
  <c r="U107" i="5"/>
  <c r="U103" i="5"/>
  <c r="U101" i="5"/>
  <c r="U87" i="5"/>
  <c r="U129" i="5"/>
  <c r="U96" i="5"/>
  <c r="H74" i="5"/>
  <c r="O74" i="5" s="1"/>
  <c r="I74" i="5"/>
  <c r="H75" i="5"/>
  <c r="O75" i="5" s="1"/>
  <c r="I75" i="5"/>
  <c r="H76" i="5"/>
  <c r="O76" i="5" s="1"/>
  <c r="I76" i="5"/>
  <c r="B128" i="5"/>
  <c r="C128" i="5"/>
  <c r="B127" i="5"/>
  <c r="C127" i="5"/>
  <c r="B126" i="5"/>
  <c r="C126" i="5"/>
  <c r="B125" i="5"/>
  <c r="C125" i="5"/>
  <c r="B124" i="5"/>
  <c r="C124" i="5"/>
  <c r="B123" i="5"/>
  <c r="C123" i="5"/>
  <c r="B122" i="5"/>
  <c r="C122" i="5"/>
  <c r="B121" i="5"/>
  <c r="C121" i="5"/>
  <c r="B120" i="5"/>
  <c r="C120" i="5"/>
  <c r="B119" i="5"/>
  <c r="C119" i="5"/>
  <c r="B118" i="5"/>
  <c r="C118" i="5"/>
  <c r="B117" i="5"/>
  <c r="C117" i="5"/>
  <c r="B116" i="5"/>
  <c r="C116" i="5"/>
  <c r="B115" i="5"/>
  <c r="C115" i="5"/>
  <c r="B114" i="5"/>
  <c r="C114" i="5"/>
  <c r="B113" i="5"/>
  <c r="C113" i="5"/>
  <c r="B112" i="5"/>
  <c r="C112" i="5"/>
  <c r="B111" i="5"/>
  <c r="C111" i="5"/>
  <c r="B110" i="5"/>
  <c r="C110" i="5"/>
  <c r="B109" i="5"/>
  <c r="C109" i="5"/>
  <c r="B108" i="5"/>
  <c r="C108" i="5"/>
  <c r="B107" i="5"/>
  <c r="C107" i="5"/>
  <c r="B106" i="5"/>
  <c r="C106" i="5"/>
  <c r="B105" i="5"/>
  <c r="C105" i="5"/>
  <c r="B104" i="5"/>
  <c r="C104" i="5"/>
  <c r="B103" i="5"/>
  <c r="C103" i="5"/>
  <c r="B102" i="5"/>
  <c r="C102" i="5"/>
  <c r="B101" i="5"/>
  <c r="C101" i="5"/>
  <c r="B100" i="5"/>
  <c r="C100" i="5"/>
  <c r="B99" i="5"/>
  <c r="C99" i="5"/>
  <c r="B98" i="5"/>
  <c r="C98" i="5"/>
  <c r="B97" i="5"/>
  <c r="C97" i="5"/>
  <c r="B96" i="5"/>
  <c r="C96" i="5"/>
  <c r="B95" i="5"/>
  <c r="C95" i="5"/>
  <c r="B94" i="5"/>
  <c r="C94" i="5"/>
  <c r="B93" i="5"/>
  <c r="C93" i="5"/>
  <c r="B92" i="5"/>
  <c r="C92" i="5"/>
  <c r="B91" i="5"/>
  <c r="C91" i="5"/>
  <c r="B90" i="5"/>
  <c r="C90" i="5"/>
  <c r="B89" i="5"/>
  <c r="C89" i="5"/>
  <c r="B88" i="5"/>
  <c r="C88" i="5"/>
  <c r="B87" i="5"/>
  <c r="C87" i="5"/>
  <c r="B86" i="5"/>
  <c r="C86" i="5"/>
  <c r="B85" i="5"/>
  <c r="C85" i="5"/>
  <c r="B84" i="5"/>
  <c r="C84" i="5"/>
  <c r="B83" i="5"/>
  <c r="C83" i="5"/>
  <c r="B82" i="5"/>
  <c r="C82" i="5"/>
  <c r="B81" i="5"/>
  <c r="C81" i="5"/>
  <c r="B80" i="5"/>
  <c r="C80" i="5"/>
  <c r="B79" i="5"/>
  <c r="C79" i="5"/>
  <c r="B78" i="5"/>
  <c r="C78" i="5"/>
  <c r="B77" i="5"/>
  <c r="C77" i="5"/>
  <c r="B76" i="5"/>
  <c r="C76" i="5"/>
  <c r="B75" i="5"/>
  <c r="C75" i="5"/>
  <c r="B74" i="5"/>
  <c r="C74" i="5"/>
  <c r="B73" i="5"/>
  <c r="C73" i="5"/>
  <c r="U299" i="5"/>
  <c r="U298" i="5"/>
  <c r="U292" i="5"/>
  <c r="U288" i="5"/>
  <c r="U269" i="5"/>
  <c r="U267" i="5"/>
  <c r="U315" i="5"/>
  <c r="U307" i="5"/>
  <c r="U306" i="5"/>
  <c r="U295" i="5"/>
  <c r="U294" i="5"/>
  <c r="U290" i="5"/>
  <c r="U286" i="5"/>
  <c r="U278" i="5"/>
  <c r="U275" i="5"/>
  <c r="U272" i="5"/>
  <c r="U263" i="5"/>
  <c r="U261" i="5"/>
  <c r="U254" i="5"/>
  <c r="U252" i="5"/>
  <c r="U245" i="5"/>
  <c r="U243" i="5"/>
  <c r="U234" i="5"/>
  <c r="U221" i="5"/>
  <c r="U200" i="5"/>
  <c r="U195" i="5"/>
  <c r="U191" i="5"/>
  <c r="U258" i="5"/>
  <c r="U249" i="5"/>
  <c r="U224" i="5"/>
  <c r="U215" i="5"/>
  <c r="U209" i="5"/>
  <c r="U201" i="5"/>
  <c r="U192" i="5"/>
  <c r="U189" i="5"/>
  <c r="U186" i="5"/>
  <c r="U183" i="5"/>
  <c r="U180" i="5"/>
  <c r="U175" i="5"/>
  <c r="U171" i="5"/>
  <c r="U166" i="5"/>
  <c r="U162" i="5"/>
  <c r="U157" i="5"/>
  <c r="U148" i="5"/>
  <c r="U139" i="5"/>
  <c r="U188" i="5"/>
  <c r="U185" i="5"/>
  <c r="U182" i="5"/>
  <c r="U174" i="5"/>
  <c r="U165" i="5"/>
  <c r="U156" i="5"/>
  <c r="U151" i="5"/>
  <c r="U147" i="5"/>
  <c r="U142" i="5"/>
  <c r="U138" i="5"/>
  <c r="U133" i="5"/>
  <c r="U119" i="5"/>
  <c r="U117" i="5"/>
  <c r="U108" i="5"/>
  <c r="U99" i="5"/>
  <c r="U90" i="5"/>
  <c r="U123" i="5"/>
  <c r="U114" i="5"/>
  <c r="U80" i="5"/>
  <c r="U111" i="5"/>
  <c r="U104" i="5"/>
  <c r="U102" i="5"/>
  <c r="U95" i="5"/>
  <c r="U93" i="5"/>
  <c r="U86" i="5"/>
  <c r="U84" i="5"/>
  <c r="B72" i="17"/>
  <c r="C72" i="17"/>
  <c r="D72" i="17"/>
  <c r="E72" i="17"/>
  <c r="B71" i="17"/>
  <c r="C71" i="17"/>
  <c r="D71" i="17"/>
  <c r="E71" i="17"/>
  <c r="G7" i="19"/>
  <c r="D7" i="19"/>
  <c r="C8" i="19"/>
  <c r="O14" i="1"/>
  <c r="I14" i="1"/>
  <c r="J14" i="1"/>
  <c r="K14" i="1"/>
  <c r="L14" i="1"/>
  <c r="M14" i="1"/>
  <c r="E14" i="1"/>
  <c r="F14" i="1"/>
  <c r="B70" i="17"/>
  <c r="C70" i="17"/>
  <c r="D70" i="17"/>
  <c r="E70" i="17"/>
  <c r="B66" i="17"/>
  <c r="C66" i="17"/>
  <c r="D66" i="17"/>
  <c r="E66" i="17"/>
  <c r="B67" i="17"/>
  <c r="C67" i="17"/>
  <c r="D67" i="17"/>
  <c r="E67" i="17"/>
  <c r="B68" i="17"/>
  <c r="C68" i="17"/>
  <c r="D68" i="17"/>
  <c r="E68" i="17"/>
  <c r="B69" i="17"/>
  <c r="C69" i="17"/>
  <c r="D69" i="17"/>
  <c r="E69" i="17"/>
  <c r="T46" i="5"/>
  <c r="T50" i="5"/>
  <c r="T22" i="5"/>
  <c r="T35" i="5"/>
  <c r="T29" i="5"/>
  <c r="C58" i="5"/>
  <c r="B58" i="5"/>
  <c r="S64" i="5"/>
  <c r="B64" i="5"/>
  <c r="G63" i="5"/>
  <c r="B63" i="5"/>
  <c r="G62" i="5"/>
  <c r="T62" i="5"/>
  <c r="B62" i="5"/>
  <c r="G71" i="5"/>
  <c r="S71" i="5"/>
  <c r="T71" i="5"/>
  <c r="B71" i="5"/>
  <c r="C71" i="5"/>
  <c r="C69" i="5"/>
  <c r="S67" i="5"/>
  <c r="B67" i="5"/>
  <c r="G72" i="5"/>
  <c r="S72" i="5"/>
  <c r="T72" i="5"/>
  <c r="B72" i="5"/>
  <c r="C72" i="5"/>
  <c r="G68" i="5"/>
  <c r="S68" i="5"/>
  <c r="T68" i="5"/>
  <c r="B68" i="5"/>
  <c r="C68" i="5"/>
  <c r="G70" i="5"/>
  <c r="S70" i="5"/>
  <c r="T70" i="5"/>
  <c r="B70" i="5"/>
  <c r="C70" i="5"/>
  <c r="B69" i="5"/>
  <c r="T69" i="5"/>
  <c r="S69" i="5"/>
  <c r="G69" i="5"/>
  <c r="G65" i="15"/>
  <c r="G57" i="15"/>
  <c r="G49" i="15"/>
  <c r="G41" i="15"/>
  <c r="G33" i="15"/>
  <c r="G25" i="15"/>
  <c r="G64" i="15"/>
  <c r="G56" i="15"/>
  <c r="G48" i="15"/>
  <c r="G40" i="15"/>
  <c r="G32" i="15"/>
  <c r="G24" i="15"/>
  <c r="G63" i="15"/>
  <c r="G55" i="15"/>
  <c r="G47" i="15"/>
  <c r="G39" i="15"/>
  <c r="G31" i="15"/>
  <c r="G23" i="15"/>
  <c r="G62" i="15"/>
  <c r="G54" i="15"/>
  <c r="G46" i="15"/>
  <c r="G38" i="15"/>
  <c r="G30" i="15"/>
  <c r="G22" i="15"/>
  <c r="G61" i="15"/>
  <c r="G53" i="15"/>
  <c r="G45" i="15"/>
  <c r="G37" i="15"/>
  <c r="G29" i="15"/>
  <c r="G21" i="15"/>
  <c r="G60" i="15"/>
  <c r="G52" i="15"/>
  <c r="G44" i="15"/>
  <c r="G36" i="15"/>
  <c r="G28" i="15"/>
  <c r="G59" i="15"/>
  <c r="G51" i="15"/>
  <c r="G43" i="15"/>
  <c r="G35" i="15"/>
  <c r="G27" i="15"/>
  <c r="G66" i="15"/>
  <c r="G58" i="15"/>
  <c r="G50" i="15"/>
  <c r="G42" i="15"/>
  <c r="G34" i="15"/>
  <c r="G26" i="15"/>
  <c r="C63" i="5"/>
  <c r="G67" i="5"/>
  <c r="G64" i="5"/>
  <c r="T63" i="5"/>
  <c r="T61" i="5"/>
  <c r="T47" i="5"/>
  <c r="C67" i="5"/>
  <c r="C62" i="5"/>
  <c r="T65" i="5"/>
  <c r="S63" i="5"/>
  <c r="S61" i="5"/>
  <c r="S65" i="5"/>
  <c r="G61" i="5"/>
  <c r="C65" i="5"/>
  <c r="G65" i="5"/>
  <c r="G57" i="5"/>
  <c r="C57" i="5"/>
  <c r="B65" i="5"/>
  <c r="C64" i="5"/>
  <c r="T67" i="5"/>
  <c r="T64" i="5"/>
  <c r="S62" i="5"/>
  <c r="M9" i="12"/>
  <c r="E13" i="1"/>
  <c r="F13" i="1"/>
  <c r="B63" i="17"/>
  <c r="C63" i="17"/>
  <c r="D63" i="17"/>
  <c r="B64" i="17"/>
  <c r="C64" i="17"/>
  <c r="D64" i="17"/>
  <c r="B65" i="17"/>
  <c r="C65" i="17"/>
  <c r="D65" i="17"/>
  <c r="E62" i="17"/>
  <c r="E63" i="17"/>
  <c r="E64" i="17"/>
  <c r="E65" i="17"/>
  <c r="G66" i="5"/>
  <c r="S66" i="5"/>
  <c r="T66" i="5"/>
  <c r="B66" i="5"/>
  <c r="C66" i="5"/>
  <c r="A1" i="17"/>
  <c r="D4" i="17"/>
  <c r="D7" i="17"/>
  <c r="D10" i="17"/>
  <c r="D13" i="17"/>
  <c r="D16" i="17"/>
  <c r="D19" i="17"/>
  <c r="D22" i="17"/>
  <c r="D25" i="17"/>
  <c r="D28" i="17"/>
  <c r="D31" i="17"/>
  <c r="D34" i="17"/>
  <c r="D37" i="17"/>
  <c r="D40" i="17"/>
  <c r="D43" i="17"/>
  <c r="D46" i="17"/>
  <c r="D49" i="17"/>
  <c r="D52" i="17"/>
  <c r="D55" i="17"/>
  <c r="D58" i="17"/>
  <c r="D61" i="17"/>
  <c r="C2" i="17"/>
  <c r="E31" i="17"/>
  <c r="E34" i="17"/>
  <c r="E37" i="17"/>
  <c r="E40" i="17"/>
  <c r="E43" i="17"/>
  <c r="E46" i="17"/>
  <c r="E49" i="17"/>
  <c r="E52" i="17"/>
  <c r="E55" i="17"/>
  <c r="E58" i="17"/>
  <c r="E61" i="17"/>
  <c r="E5" i="17"/>
  <c r="E8" i="17"/>
  <c r="E11" i="17"/>
  <c r="E14" i="17"/>
  <c r="E17" i="17"/>
  <c r="E20" i="17"/>
  <c r="E23" i="17"/>
  <c r="E26" i="17"/>
  <c r="E2" i="17"/>
  <c r="B4" i="17"/>
  <c r="C5" i="17"/>
  <c r="B7" i="17"/>
  <c r="C8" i="17"/>
  <c r="B10" i="17"/>
  <c r="C11" i="17"/>
  <c r="B13" i="17"/>
  <c r="C14" i="17"/>
  <c r="B16" i="17"/>
  <c r="C17" i="17"/>
  <c r="B19" i="17"/>
  <c r="C20" i="17"/>
  <c r="B22" i="17"/>
  <c r="C23" i="17"/>
  <c r="B25" i="17"/>
  <c r="C26" i="17"/>
  <c r="B28" i="17"/>
  <c r="C29" i="17"/>
  <c r="B31" i="17"/>
  <c r="C32" i="17"/>
  <c r="B34" i="17"/>
  <c r="C35" i="17"/>
  <c r="B37" i="17"/>
  <c r="C38" i="17"/>
  <c r="B40" i="17"/>
  <c r="C41" i="17"/>
  <c r="B43" i="17"/>
  <c r="C44" i="17"/>
  <c r="B46" i="17"/>
  <c r="C47" i="17"/>
  <c r="B49" i="17"/>
  <c r="C50" i="17"/>
  <c r="B52" i="17"/>
  <c r="C53" i="17"/>
  <c r="B55" i="17"/>
  <c r="C56" i="17"/>
  <c r="B58" i="17"/>
  <c r="C59" i="17"/>
  <c r="B61" i="17"/>
  <c r="B62" i="17"/>
  <c r="D5" i="17"/>
  <c r="D8" i="17"/>
  <c r="D11" i="17"/>
  <c r="D14" i="17"/>
  <c r="D17" i="17"/>
  <c r="D20" i="17"/>
  <c r="D23" i="17"/>
  <c r="D26" i="17"/>
  <c r="D29" i="17"/>
  <c r="D32" i="17"/>
  <c r="D35" i="17"/>
  <c r="D38" i="17"/>
  <c r="D41" i="17"/>
  <c r="D44" i="17"/>
  <c r="D47" i="17"/>
  <c r="D50" i="17"/>
  <c r="D53" i="17"/>
  <c r="D56" i="17"/>
  <c r="D59" i="17"/>
  <c r="D62" i="17"/>
  <c r="E29" i="17"/>
  <c r="E32" i="17"/>
  <c r="E35" i="17"/>
  <c r="E38" i="17"/>
  <c r="E41" i="17"/>
  <c r="E44" i="17"/>
  <c r="E47" i="17"/>
  <c r="E50" i="17"/>
  <c r="E53" i="17"/>
  <c r="E56" i="17"/>
  <c r="E59" i="17"/>
  <c r="E3" i="17"/>
  <c r="E6" i="17"/>
  <c r="E9" i="17"/>
  <c r="E12" i="17"/>
  <c r="E15" i="17"/>
  <c r="E18" i="17"/>
  <c r="E21" i="17"/>
  <c r="E24" i="17"/>
  <c r="E27" i="17"/>
  <c r="B3" i="17"/>
  <c r="C4" i="17"/>
  <c r="B6" i="17"/>
  <c r="C7" i="17"/>
  <c r="B9" i="17"/>
  <c r="C10" i="17"/>
  <c r="B12" i="17"/>
  <c r="C13" i="17"/>
  <c r="B15" i="17"/>
  <c r="C16" i="17"/>
  <c r="B18" i="17"/>
  <c r="C19" i="17"/>
  <c r="B21" i="17"/>
  <c r="C22" i="17"/>
  <c r="B24" i="17"/>
  <c r="C25" i="17"/>
  <c r="B27" i="17"/>
  <c r="C28" i="17"/>
  <c r="B30" i="17"/>
  <c r="C31" i="17"/>
  <c r="B33" i="17"/>
  <c r="C34" i="17"/>
  <c r="B36" i="17"/>
  <c r="C37" i="17"/>
  <c r="B39" i="17"/>
  <c r="C40" i="17"/>
  <c r="B42" i="17"/>
  <c r="C43" i="17"/>
  <c r="B45" i="17"/>
  <c r="C46" i="17"/>
  <c r="B48" i="17"/>
  <c r="C49" i="17"/>
  <c r="B51" i="17"/>
  <c r="C52" i="17"/>
  <c r="B54" i="17"/>
  <c r="C55" i="17"/>
  <c r="B57" i="17"/>
  <c r="C58" i="17"/>
  <c r="B60" i="17"/>
  <c r="C61" i="17"/>
  <c r="C62" i="17"/>
  <c r="D3" i="17"/>
  <c r="D6" i="17"/>
  <c r="D9" i="17"/>
  <c r="D12" i="17"/>
  <c r="D15" i="17"/>
  <c r="D18" i="17"/>
  <c r="D21" i="17"/>
  <c r="D24" i="17"/>
  <c r="D27" i="17"/>
  <c r="D30" i="17"/>
  <c r="D33" i="17"/>
  <c r="D36" i="17"/>
  <c r="D39" i="17"/>
  <c r="D42" i="17"/>
  <c r="D45" i="17"/>
  <c r="D48" i="17"/>
  <c r="D51" i="17"/>
  <c r="D54" i="17"/>
  <c r="D57" i="17"/>
  <c r="D60" i="17"/>
  <c r="D2" i="17"/>
  <c r="E30" i="17"/>
  <c r="E33" i="17"/>
  <c r="E36" i="17"/>
  <c r="E39" i="17"/>
  <c r="E42" i="17"/>
  <c r="E45" i="17"/>
  <c r="E48" i="17"/>
  <c r="E51" i="17"/>
  <c r="E54" i="17"/>
  <c r="E57" i="17"/>
  <c r="E60" i="17"/>
  <c r="E4" i="17"/>
  <c r="E7" i="17"/>
  <c r="E10" i="17"/>
  <c r="E13" i="17"/>
  <c r="E16" i="17"/>
  <c r="E19" i="17"/>
  <c r="E22" i="17"/>
  <c r="E25" i="17"/>
  <c r="E28" i="17"/>
  <c r="C3" i="17"/>
  <c r="B5" i="17"/>
  <c r="C6" i="17"/>
  <c r="B8" i="17"/>
  <c r="C9" i="17"/>
  <c r="B11" i="17"/>
  <c r="C12" i="17"/>
  <c r="B14" i="17"/>
  <c r="C15" i="17"/>
  <c r="B17" i="17"/>
  <c r="C18" i="17"/>
  <c r="B20" i="17"/>
  <c r="C21" i="17"/>
  <c r="B23" i="17"/>
  <c r="C24" i="17"/>
  <c r="B26" i="17"/>
  <c r="C27" i="17"/>
  <c r="B29" i="17"/>
  <c r="C30" i="17"/>
  <c r="B32" i="17"/>
  <c r="C33" i="17"/>
  <c r="B35" i="17"/>
  <c r="C36" i="17"/>
  <c r="B38" i="17"/>
  <c r="C39" i="17"/>
  <c r="B41" i="17"/>
  <c r="C42" i="17"/>
  <c r="B44" i="17"/>
  <c r="C45" i="17"/>
  <c r="B47" i="17"/>
  <c r="C48" i="17"/>
  <c r="B50" i="17"/>
  <c r="C51" i="17"/>
  <c r="B53" i="17"/>
  <c r="C54" i="17"/>
  <c r="B56" i="17"/>
  <c r="C57" i="17"/>
  <c r="B59" i="17"/>
  <c r="C60" i="17"/>
  <c r="B2" i="17"/>
  <c r="U73" i="5"/>
  <c r="M19" i="12"/>
  <c r="M23" i="12"/>
  <c r="M16" i="12"/>
  <c r="M6" i="12"/>
  <c r="M3" i="12"/>
  <c r="M7" i="12"/>
  <c r="M36" i="12"/>
  <c r="M75" i="12"/>
  <c r="M62" i="12"/>
  <c r="M77" i="12"/>
  <c r="M59" i="12"/>
  <c r="M66" i="12"/>
  <c r="M68" i="12"/>
  <c r="M74" i="12"/>
  <c r="M71" i="12"/>
  <c r="M67" i="12"/>
  <c r="M41" i="12"/>
  <c r="M73" i="12"/>
  <c r="M78" i="12"/>
  <c r="M61" i="12"/>
  <c r="M60" i="12"/>
  <c r="M79" i="12"/>
  <c r="M15" i="12"/>
  <c r="M70" i="12"/>
  <c r="M80" i="12"/>
  <c r="M17" i="12"/>
  <c r="M18" i="12"/>
  <c r="M31" i="12"/>
  <c r="M55" i="12"/>
  <c r="M49" i="12"/>
  <c r="M48" i="12"/>
  <c r="M57" i="12"/>
  <c r="M58" i="12"/>
  <c r="M20" i="12"/>
  <c r="M56" i="12"/>
  <c r="M63" i="12"/>
  <c r="M76" i="12"/>
  <c r="M72" i="12"/>
  <c r="M40" i="12"/>
  <c r="M69" i="12"/>
  <c r="M37" i="12"/>
  <c r="M54" i="12"/>
  <c r="M64" i="12"/>
  <c r="M65" i="12"/>
  <c r="M51" i="12"/>
  <c r="M52" i="12"/>
  <c r="M50" i="12"/>
  <c r="M45" i="12"/>
  <c r="M47" i="12"/>
  <c r="M46" i="12"/>
  <c r="M21" i="12"/>
  <c r="M53" i="12"/>
  <c r="M12" i="12"/>
  <c r="M30" i="12"/>
  <c r="M11" i="12"/>
  <c r="M10" i="12"/>
  <c r="M13" i="12"/>
  <c r="M14" i="12"/>
  <c r="M43" i="12"/>
  <c r="M8" i="12"/>
  <c r="M35" i="12"/>
  <c r="M27" i="12"/>
  <c r="M22" i="12"/>
  <c r="M5" i="12"/>
  <c r="H61" i="5"/>
  <c r="H62" i="5"/>
  <c r="H73" i="5"/>
  <c r="O73" i="5" s="1"/>
  <c r="H72" i="5"/>
  <c r="H69" i="5"/>
  <c r="H66" i="5"/>
  <c r="J65" i="5"/>
  <c r="Q65" i="5" s="1"/>
  <c r="H63" i="5"/>
  <c r="H71" i="5"/>
  <c r="H68" i="5"/>
  <c r="J67" i="5"/>
  <c r="Q67" i="5" s="1"/>
  <c r="H65" i="5"/>
  <c r="H70" i="5"/>
  <c r="H67" i="5"/>
  <c r="H64" i="5"/>
  <c r="C61" i="5"/>
  <c r="C60" i="5"/>
  <c r="B60" i="5"/>
  <c r="G58" i="5"/>
  <c r="C59" i="5"/>
  <c r="G59" i="5"/>
  <c r="G56" i="5"/>
  <c r="B56" i="5"/>
  <c r="C56" i="5"/>
  <c r="G55" i="5"/>
  <c r="B55" i="5"/>
  <c r="C55" i="5"/>
  <c r="G54" i="5"/>
  <c r="B54" i="5"/>
  <c r="C54" i="5"/>
  <c r="G53" i="5"/>
  <c r="B53" i="5"/>
  <c r="C53" i="5"/>
  <c r="G52" i="5"/>
  <c r="B52" i="5"/>
  <c r="C52" i="5"/>
  <c r="G51" i="5"/>
  <c r="B51" i="5"/>
  <c r="C51" i="5"/>
  <c r="G50" i="5"/>
  <c r="B50" i="5"/>
  <c r="C50" i="5"/>
  <c r="G49" i="5"/>
  <c r="B49" i="5"/>
  <c r="C49" i="5"/>
  <c r="G48" i="5"/>
  <c r="B48" i="5"/>
  <c r="C48" i="5"/>
  <c r="G47" i="5"/>
  <c r="B47" i="5"/>
  <c r="C47" i="5"/>
  <c r="G46" i="5"/>
  <c r="B46" i="5"/>
  <c r="C46" i="5"/>
  <c r="G45" i="5"/>
  <c r="B45" i="5"/>
  <c r="C45" i="5"/>
  <c r="G44" i="5"/>
  <c r="B44" i="5"/>
  <c r="C44" i="5"/>
  <c r="G43" i="5"/>
  <c r="B43" i="5"/>
  <c r="C43" i="5"/>
  <c r="G42" i="5"/>
  <c r="B42" i="5"/>
  <c r="C42" i="5"/>
  <c r="G41" i="5"/>
  <c r="B41" i="5"/>
  <c r="C41" i="5"/>
  <c r="G40" i="5"/>
  <c r="B40" i="5"/>
  <c r="C40" i="5"/>
  <c r="G39" i="5"/>
  <c r="B39" i="5"/>
  <c r="C39" i="5"/>
  <c r="G38" i="5"/>
  <c r="B38" i="5"/>
  <c r="C38" i="5"/>
  <c r="G37" i="5"/>
  <c r="B37" i="5"/>
  <c r="C37" i="5"/>
  <c r="G36" i="5"/>
  <c r="B36" i="5"/>
  <c r="C36" i="5"/>
  <c r="G35" i="5"/>
  <c r="B35" i="5"/>
  <c r="C35" i="5"/>
  <c r="G34" i="5"/>
  <c r="B34" i="5"/>
  <c r="C34" i="5"/>
  <c r="G33" i="5"/>
  <c r="B33" i="5"/>
  <c r="C33" i="5"/>
  <c r="G32" i="5"/>
  <c r="B32" i="5"/>
  <c r="C32" i="5"/>
  <c r="G31" i="5"/>
  <c r="B31" i="5"/>
  <c r="C31" i="5"/>
  <c r="G30" i="5"/>
  <c r="B30" i="5"/>
  <c r="C30" i="5"/>
  <c r="G29" i="5"/>
  <c r="B29" i="5"/>
  <c r="C29" i="5"/>
  <c r="G28" i="5"/>
  <c r="B28" i="5"/>
  <c r="C28" i="5"/>
  <c r="G27" i="5"/>
  <c r="B27" i="5"/>
  <c r="C27" i="5"/>
  <c r="G26" i="5"/>
  <c r="B26" i="5"/>
  <c r="C26" i="5"/>
  <c r="G25" i="5"/>
  <c r="B25" i="5"/>
  <c r="C25" i="5"/>
  <c r="G24" i="5"/>
  <c r="B24" i="5"/>
  <c r="C24" i="5"/>
  <c r="G23" i="5"/>
  <c r="B23" i="5"/>
  <c r="C23" i="5"/>
  <c r="G22" i="5"/>
  <c r="B22" i="5"/>
  <c r="C22" i="5"/>
  <c r="G21" i="5"/>
  <c r="B21" i="5"/>
  <c r="C21" i="5"/>
  <c r="G20" i="5"/>
  <c r="B20" i="5"/>
  <c r="C20" i="5"/>
  <c r="G19" i="5"/>
  <c r="B19" i="5"/>
  <c r="C19" i="5"/>
  <c r="G18" i="5"/>
  <c r="U18" i="5" s="1"/>
  <c r="B18" i="5"/>
  <c r="C18" i="5"/>
  <c r="G17" i="5"/>
  <c r="B17" i="5"/>
  <c r="C17" i="5"/>
  <c r="G16" i="5"/>
  <c r="B16" i="5"/>
  <c r="C16" i="5"/>
  <c r="G15" i="5"/>
  <c r="B15" i="5"/>
  <c r="C15" i="5"/>
  <c r="G14" i="5"/>
  <c r="B14" i="5"/>
  <c r="C14" i="5"/>
  <c r="G13" i="5"/>
  <c r="B13" i="5"/>
  <c r="C13" i="5"/>
  <c r="G12" i="5"/>
  <c r="B12" i="5"/>
  <c r="C12" i="5"/>
  <c r="G11" i="5"/>
  <c r="B11" i="5"/>
  <c r="C11" i="5"/>
  <c r="G10" i="5"/>
  <c r="B10" i="5"/>
  <c r="C10" i="5"/>
  <c r="G9" i="5"/>
  <c r="U9" i="5" s="1"/>
  <c r="B9" i="5"/>
  <c r="C9" i="5"/>
  <c r="G8" i="5"/>
  <c r="B8" i="5"/>
  <c r="C8" i="5"/>
  <c r="G7" i="5"/>
  <c r="B7" i="5"/>
  <c r="C7" i="5"/>
  <c r="G6" i="5"/>
  <c r="B6" i="5"/>
  <c r="C6" i="5"/>
  <c r="G5" i="5"/>
  <c r="B5" i="5"/>
  <c r="C5" i="5"/>
  <c r="G4" i="5"/>
  <c r="C4" i="5"/>
  <c r="B4" i="5"/>
  <c r="B12" i="4"/>
  <c r="B13" i="4"/>
  <c r="B14" i="4"/>
  <c r="C11" i="4"/>
  <c r="J11" i="4" s="1"/>
  <c r="C12" i="4"/>
  <c r="J12" i="4" s="1"/>
  <c r="C13" i="4"/>
  <c r="J13" i="4" s="1"/>
  <c r="C14" i="4"/>
  <c r="J14" i="4" s="1"/>
  <c r="B8" i="4"/>
  <c r="B9" i="4"/>
  <c r="B10" i="4"/>
  <c r="B11" i="4"/>
  <c r="C10" i="4"/>
  <c r="J10" i="4" s="1"/>
  <c r="T45" i="5"/>
  <c r="T38" i="5"/>
  <c r="T4" i="5"/>
  <c r="T32" i="5"/>
  <c r="T25" i="5"/>
  <c r="T15" i="5"/>
  <c r="K6" i="6"/>
  <c r="E10" i="1"/>
  <c r="F10" i="1"/>
  <c r="E11" i="1"/>
  <c r="F11" i="1"/>
  <c r="E12" i="1"/>
  <c r="F12" i="1"/>
  <c r="T44" i="5"/>
  <c r="T41" i="5"/>
  <c r="T28" i="5"/>
  <c r="T20" i="5"/>
  <c r="T14" i="5"/>
  <c r="O62" i="6"/>
  <c r="O63" i="6" s="1"/>
  <c r="Q22" i="6"/>
  <c r="L30" i="6"/>
  <c r="L40" i="6"/>
  <c r="Q52" i="6"/>
  <c r="T33" i="5"/>
  <c r="T26" i="5"/>
  <c r="T23" i="5"/>
  <c r="I6" i="6"/>
  <c r="L6" i="6" s="1"/>
  <c r="H4" i="5"/>
  <c r="H5" i="5"/>
  <c r="H6" i="5"/>
  <c r="H7" i="5"/>
  <c r="H8" i="5"/>
  <c r="J8" i="5"/>
  <c r="Q8" i="5" s="1"/>
  <c r="H9" i="5"/>
  <c r="J9" i="5"/>
  <c r="Q9" i="5" s="1"/>
  <c r="H10" i="5"/>
  <c r="H11" i="5"/>
  <c r="H12" i="5"/>
  <c r="H13" i="5"/>
  <c r="H14" i="5"/>
  <c r="J14" i="5"/>
  <c r="Q14" i="5" s="1"/>
  <c r="H15" i="5"/>
  <c r="H16" i="5"/>
  <c r="H17" i="5"/>
  <c r="H18" i="5"/>
  <c r="H19" i="5"/>
  <c r="J19" i="5"/>
  <c r="H20" i="5"/>
  <c r="H21" i="5"/>
  <c r="H22" i="5"/>
  <c r="H23" i="5"/>
  <c r="H24" i="5"/>
  <c r="H25" i="5"/>
  <c r="H26" i="5"/>
  <c r="H27" i="5"/>
  <c r="H28" i="5"/>
  <c r="H29" i="5"/>
  <c r="J29" i="5"/>
  <c r="Q29" i="5" s="1"/>
  <c r="H30" i="5"/>
  <c r="H31" i="5"/>
  <c r="H32" i="5"/>
  <c r="H33" i="5"/>
  <c r="H34" i="5"/>
  <c r="H35" i="5"/>
  <c r="H36" i="5"/>
  <c r="H37" i="5"/>
  <c r="H38" i="5"/>
  <c r="H39" i="5"/>
  <c r="H40" i="5"/>
  <c r="H41" i="5"/>
  <c r="J41" i="5"/>
  <c r="Q41" i="5" s="1"/>
  <c r="H42" i="5"/>
  <c r="H43" i="5"/>
  <c r="H44" i="5"/>
  <c r="H45" i="5"/>
  <c r="H46" i="5"/>
  <c r="H47" i="5"/>
  <c r="H48" i="5"/>
  <c r="H49" i="5"/>
  <c r="H50" i="5"/>
  <c r="H51" i="5"/>
  <c r="J51" i="5"/>
  <c r="Q51" i="5" s="1"/>
  <c r="H52" i="5"/>
  <c r="J52" i="5"/>
  <c r="Q52" i="5" s="1"/>
  <c r="H53" i="5"/>
  <c r="J53" i="5"/>
  <c r="Q53" i="5" s="1"/>
  <c r="H54" i="5"/>
  <c r="J54" i="5"/>
  <c r="Q54" i="5" s="1"/>
  <c r="H55" i="5"/>
  <c r="H56" i="5"/>
  <c r="H57" i="5"/>
  <c r="H58" i="5"/>
  <c r="H59" i="5"/>
  <c r="H60" i="5"/>
  <c r="M32" i="6"/>
  <c r="N32" i="6"/>
  <c r="O57" i="6"/>
  <c r="L4" i="6"/>
  <c r="Q17" i="6"/>
  <c r="P46" i="6"/>
  <c r="J46" i="6"/>
  <c r="M46" i="6" s="1"/>
  <c r="G46" i="6" a="1"/>
  <c r="G46" i="6" s="1"/>
  <c r="I8" i="6"/>
  <c r="L8" i="6" s="1"/>
  <c r="P3" i="6"/>
  <c r="J3" i="6"/>
  <c r="M3" i="6" s="1"/>
  <c r="G3" i="6" a="1"/>
  <c r="G3" i="6" s="1"/>
  <c r="I15" i="6"/>
  <c r="L15" i="6" s="1"/>
  <c r="P5" i="6"/>
  <c r="J5" i="6"/>
  <c r="M5" i="6" s="1"/>
  <c r="N5" i="6" s="1"/>
  <c r="G5" i="6" a="1"/>
  <c r="G5" i="6" s="1"/>
  <c r="P51" i="6"/>
  <c r="J51" i="6"/>
  <c r="N51" i="6" s="1"/>
  <c r="G51" i="6" a="1"/>
  <c r="G51" i="6" s="1"/>
  <c r="I51" i="6"/>
  <c r="K51" i="6"/>
  <c r="P18" i="6"/>
  <c r="J18" i="6"/>
  <c r="N18" i="6" s="1"/>
  <c r="G18" i="6" a="1"/>
  <c r="G18" i="6" s="1"/>
  <c r="I25" i="6"/>
  <c r="L25" i="6" s="1"/>
  <c r="P54" i="6"/>
  <c r="J54" i="6"/>
  <c r="N54" i="6" s="1"/>
  <c r="G54" i="6" a="1"/>
  <c r="G54" i="6" s="1"/>
  <c r="I54" i="6"/>
  <c r="L54" i="6" s="1"/>
  <c r="K54" i="6"/>
  <c r="I16" i="6"/>
  <c r="L16" i="6" s="1"/>
  <c r="I14" i="6"/>
  <c r="L14" i="6" s="1"/>
  <c r="P4" i="6"/>
  <c r="J4" i="6"/>
  <c r="M4" i="6" s="1"/>
  <c r="G4" i="6" a="1"/>
  <c r="G4" i="6" s="1"/>
  <c r="P48" i="6"/>
  <c r="J48" i="6"/>
  <c r="N48" i="6" s="1"/>
  <c r="G48" i="6" a="1"/>
  <c r="G48" i="6" s="1"/>
  <c r="I13" i="6"/>
  <c r="L13" i="6" s="1"/>
  <c r="P16" i="6"/>
  <c r="J16" i="6"/>
  <c r="N16" i="6" s="1"/>
  <c r="G16" i="6" a="1"/>
  <c r="G16" i="6" s="1"/>
  <c r="I9" i="6"/>
  <c r="L9" i="6" s="1"/>
  <c r="P47" i="6"/>
  <c r="J47" i="6"/>
  <c r="M47" i="6" s="1"/>
  <c r="G47" i="6" a="1"/>
  <c r="G47" i="6" s="1"/>
  <c r="I48" i="6"/>
  <c r="L48" i="6" s="1"/>
  <c r="K48" i="6"/>
  <c r="P55" i="6"/>
  <c r="J55" i="6"/>
  <c r="N55" i="6" s="1"/>
  <c r="G55" i="6" a="1"/>
  <c r="G55" i="6" s="1"/>
  <c r="I55" i="6"/>
  <c r="L55" i="6" s="1"/>
  <c r="K55" i="6"/>
  <c r="I23" i="6"/>
  <c r="L23" i="6" s="1"/>
  <c r="P50" i="6"/>
  <c r="J50" i="6"/>
  <c r="N50" i="6" s="1"/>
  <c r="G50" i="6" a="1"/>
  <c r="G50" i="6" s="1"/>
  <c r="I50" i="6"/>
  <c r="L50" i="6" s="1"/>
  <c r="K50" i="6"/>
  <c r="P49" i="6"/>
  <c r="J49" i="6"/>
  <c r="N49" i="6" s="1"/>
  <c r="G49" i="6" a="1"/>
  <c r="G49" i="6" s="1"/>
  <c r="I49" i="6"/>
  <c r="L49" i="6" s="1"/>
  <c r="K49" i="6"/>
  <c r="T59" i="5"/>
  <c r="T56" i="5"/>
  <c r="T53" i="5"/>
  <c r="T17" i="5"/>
  <c r="T11" i="5"/>
  <c r="T5" i="5"/>
  <c r="K5" i="6"/>
  <c r="J8" i="6"/>
  <c r="M8" i="6" s="1"/>
  <c r="N8" i="6" s="1"/>
  <c r="P8" i="6"/>
  <c r="K9" i="6"/>
  <c r="J14" i="6"/>
  <c r="N14" i="6" s="1"/>
  <c r="P14" i="6"/>
  <c r="K15" i="6"/>
  <c r="K16" i="6"/>
  <c r="K23" i="6"/>
  <c r="T55" i="5"/>
  <c r="T52" i="5"/>
  <c r="T19" i="5"/>
  <c r="T16" i="5"/>
  <c r="T13" i="5"/>
  <c r="T7" i="5"/>
  <c r="G8" i="6" a="1"/>
  <c r="G8" i="6" s="1"/>
  <c r="K8" i="6"/>
  <c r="J13" i="6"/>
  <c r="N13" i="6" s="1"/>
  <c r="P13" i="6"/>
  <c r="G14" i="6" a="1"/>
  <c r="G14" i="6" s="1"/>
  <c r="K14" i="6"/>
  <c r="G35" i="6" a="1"/>
  <c r="G35" i="6" s="1"/>
  <c r="J35" i="6"/>
  <c r="N35" i="6" s="1"/>
  <c r="P43" i="6"/>
  <c r="J43" i="6"/>
  <c r="N43" i="6" s="1"/>
  <c r="G43" i="6" a="1"/>
  <c r="G43" i="6" s="1"/>
  <c r="I45" i="6"/>
  <c r="L45" i="6" s="1"/>
  <c r="K45" i="6"/>
  <c r="I7" i="6"/>
  <c r="L7" i="6" s="1"/>
  <c r="P45" i="6"/>
  <c r="J45" i="6"/>
  <c r="N45" i="6" s="1"/>
  <c r="G45" i="6" a="1"/>
  <c r="G45" i="6" s="1"/>
  <c r="I47" i="6"/>
  <c r="L47" i="6" s="1"/>
  <c r="K47" i="6"/>
  <c r="I20" i="6"/>
  <c r="L20" i="6" s="1"/>
  <c r="P44" i="6"/>
  <c r="J44" i="6"/>
  <c r="N44" i="6" s="1"/>
  <c r="G44" i="6" a="1"/>
  <c r="G44" i="6" s="1"/>
  <c r="I46" i="6"/>
  <c r="L46" i="6" s="1"/>
  <c r="K46" i="6"/>
  <c r="P53" i="6"/>
  <c r="J53" i="6"/>
  <c r="N53" i="6" s="1"/>
  <c r="G53" i="6" a="1"/>
  <c r="G53" i="6" s="1"/>
  <c r="I53" i="6"/>
  <c r="L53" i="6" s="1"/>
  <c r="K53" i="6"/>
  <c r="P24" i="6"/>
  <c r="J24" i="6"/>
  <c r="M24" i="6" s="1"/>
  <c r="G24" i="6" a="1"/>
  <c r="G24" i="6" s="1"/>
  <c r="I29" i="6"/>
  <c r="L29" i="6" s="1"/>
  <c r="P52" i="6"/>
  <c r="J52" i="6"/>
  <c r="M52" i="6" s="1"/>
  <c r="G52" i="6" a="1"/>
  <c r="G52" i="6" s="1"/>
  <c r="I52" i="6"/>
  <c r="L52" i="6" s="1"/>
  <c r="K52" i="6"/>
  <c r="T60" i="5"/>
  <c r="T57" i="5"/>
  <c r="T54" i="5"/>
  <c r="T51" i="5"/>
  <c r="T48" i="5"/>
  <c r="T39" i="5"/>
  <c r="T27" i="5"/>
  <c r="T21" i="5"/>
  <c r="T9" i="5"/>
  <c r="T6" i="5"/>
  <c r="I5" i="6"/>
  <c r="L5" i="6" s="1"/>
  <c r="G2" i="6" a="1"/>
  <c r="G2" i="6" s="1"/>
  <c r="G6" i="6" a="1"/>
  <c r="G6" i="6" s="1"/>
  <c r="J6" i="6"/>
  <c r="N6" i="6" s="1"/>
  <c r="P6" i="6"/>
  <c r="K7" i="6"/>
  <c r="G10" i="6" a="1"/>
  <c r="G10" i="6" s="1"/>
  <c r="J10" i="6"/>
  <c r="N10" i="6" s="1"/>
  <c r="P10" i="6"/>
  <c r="G13" i="6" a="1"/>
  <c r="G13" i="6" s="1"/>
  <c r="K13" i="6"/>
  <c r="K25" i="6"/>
  <c r="L21" i="6"/>
  <c r="L32" i="6"/>
  <c r="L36" i="6"/>
  <c r="L42" i="6"/>
  <c r="Q42" i="6"/>
  <c r="L12" i="6"/>
  <c r="L28" i="6"/>
  <c r="Q27" i="6"/>
  <c r="M42" i="6"/>
  <c r="Q48" i="6"/>
  <c r="M37" i="6"/>
  <c r="R42" i="6"/>
  <c r="Q43" i="6"/>
  <c r="L3" i="6"/>
  <c r="R37" i="6"/>
  <c r="Q45" i="6"/>
  <c r="Q9" i="6"/>
  <c r="Q3" i="6"/>
  <c r="Q18" i="6"/>
  <c r="Q23" i="6"/>
  <c r="M29" i="6"/>
  <c r="Q53" i="6"/>
  <c r="Q11" i="6"/>
  <c r="Q5" i="6"/>
  <c r="L26" i="6"/>
  <c r="Q29" i="6"/>
  <c r="Q50" i="6"/>
  <c r="Q13" i="6"/>
  <c r="R15" i="6"/>
  <c r="Q30" i="6"/>
  <c r="L43" i="6"/>
  <c r="R17" i="6"/>
  <c r="Q21" i="6"/>
  <c r="R23" i="6"/>
  <c r="Q44" i="6"/>
  <c r="Q7" i="6"/>
  <c r="Q20" i="6"/>
  <c r="R12" i="6"/>
  <c r="L41" i="6"/>
  <c r="Q8" i="6"/>
  <c r="L10" i="6"/>
  <c r="L11" i="6"/>
  <c r="Q28" i="6"/>
  <c r="Q35" i="6"/>
  <c r="L18" i="6"/>
  <c r="Q24" i="6"/>
  <c r="L34" i="6"/>
  <c r="M40" i="6"/>
  <c r="Q15" i="6"/>
  <c r="R9" i="6"/>
  <c r="Q10" i="6"/>
  <c r="Q16" i="6"/>
  <c r="R20" i="6"/>
  <c r="L39" i="6"/>
  <c r="M41" i="6"/>
  <c r="L51" i="6"/>
  <c r="M11" i="6"/>
  <c r="Q40" i="6"/>
  <c r="P57" i="6"/>
  <c r="Q19" i="6"/>
  <c r="Q14" i="6"/>
  <c r="Q34" i="6"/>
  <c r="Q4" i="6"/>
  <c r="Q25" i="6"/>
  <c r="R25" i="6"/>
  <c r="L27" i="6"/>
  <c r="R29" i="6"/>
  <c r="R34" i="6"/>
  <c r="M39" i="6"/>
  <c r="L31" i="6"/>
  <c r="L38" i="6"/>
  <c r="Q41" i="6"/>
  <c r="Q46" i="6"/>
  <c r="M26" i="6"/>
  <c r="L17" i="6"/>
  <c r="M22" i="6"/>
  <c r="Q26" i="6"/>
  <c r="R31" i="6"/>
  <c r="Q32" i="6"/>
  <c r="R32" i="6"/>
  <c r="Q37" i="6"/>
  <c r="R38" i="6"/>
  <c r="Q39" i="6"/>
  <c r="R39" i="6"/>
  <c r="Q51" i="6"/>
  <c r="Q54" i="6"/>
  <c r="M27" i="6"/>
  <c r="M55" i="6"/>
  <c r="M12" i="6"/>
  <c r="P62" i="6"/>
  <c r="N17" i="6"/>
  <c r="N20" i="6"/>
  <c r="M25" i="6"/>
  <c r="L35" i="6"/>
  <c r="Q55" i="6"/>
  <c r="N9" i="6"/>
  <c r="Q12" i="6"/>
  <c r="R22" i="6"/>
  <c r="L24" i="6"/>
  <c r="R27" i="6"/>
  <c r="Q31" i="6"/>
  <c r="M34" i="6"/>
  <c r="Q36" i="6"/>
  <c r="Q38" i="6"/>
  <c r="Q47" i="6"/>
  <c r="R19" i="6"/>
  <c r="Q6" i="6"/>
  <c r="R7" i="6"/>
  <c r="R28" i="6"/>
  <c r="R36" i="6"/>
  <c r="R21" i="6"/>
  <c r="M7" i="6"/>
  <c r="M15" i="6"/>
  <c r="L22" i="6"/>
  <c r="M23" i="6"/>
  <c r="M30" i="6"/>
  <c r="N31" i="6"/>
  <c r="L37" i="6"/>
  <c r="N38" i="6"/>
  <c r="L44" i="6"/>
  <c r="Q49" i="6"/>
  <c r="R11" i="6"/>
  <c r="N15" i="6"/>
  <c r="N23" i="6"/>
  <c r="N30" i="6"/>
  <c r="R41" i="6"/>
  <c r="M21" i="6"/>
  <c r="R26" i="6"/>
  <c r="M28" i="6"/>
  <c r="R33" i="6"/>
  <c r="M36" i="6"/>
  <c r="R40" i="6"/>
  <c r="H67" i="6"/>
  <c r="F9" i="1"/>
  <c r="B7" i="4"/>
  <c r="C7" i="4"/>
  <c r="J7" i="4" s="1"/>
  <c r="J9" i="4"/>
  <c r="B5" i="4"/>
  <c r="E9" i="1"/>
  <c r="C5" i="4"/>
  <c r="J5" i="4" s="1"/>
  <c r="B6" i="4"/>
  <c r="C6" i="4"/>
  <c r="J6" i="4" s="1"/>
  <c r="C4" i="4"/>
  <c r="J4" i="4" s="1"/>
  <c r="B3" i="4"/>
  <c r="B4" i="4"/>
  <c r="L250" i="23"/>
  <c r="F250" i="23"/>
  <c r="D250" i="23"/>
  <c r="Q250" i="23"/>
  <c r="V250" i="23"/>
  <c r="X250" i="23"/>
  <c r="K250" i="23"/>
  <c r="Y250" i="23"/>
  <c r="E250" i="23"/>
  <c r="W250" i="23"/>
  <c r="Z250" i="23"/>
  <c r="N250" i="23"/>
  <c r="U250" i="23"/>
  <c r="R250" i="23"/>
  <c r="T250" i="23"/>
  <c r="P250" i="23"/>
  <c r="G250" i="23"/>
  <c r="M250" i="23"/>
  <c r="S250" i="23"/>
  <c r="J250" i="23"/>
  <c r="I250" i="23"/>
  <c r="H250" i="23"/>
  <c r="O250" i="23"/>
  <c r="AA250" i="23" l="1"/>
  <c r="G143" i="23"/>
  <c r="H139" i="23"/>
  <c r="I139" i="23" s="1"/>
  <c r="J139" i="23" s="1"/>
  <c r="H213" i="23"/>
  <c r="I213" i="23" s="1"/>
  <c r="B251" i="23"/>
  <c r="H237" i="23"/>
  <c r="I237" i="23" s="1"/>
  <c r="G233" i="23"/>
  <c r="K230" i="23"/>
  <c r="I232" i="23"/>
  <c r="H236" i="23"/>
  <c r="I236" i="23" s="1"/>
  <c r="J236" i="23" s="1"/>
  <c r="H227" i="23"/>
  <c r="I228" i="23"/>
  <c r="J228" i="23" s="1"/>
  <c r="H234" i="23"/>
  <c r="I234" i="23" s="1"/>
  <c r="I235" i="23"/>
  <c r="J235" i="23" s="1"/>
  <c r="H231" i="23"/>
  <c r="I231" i="23" s="1"/>
  <c r="L230" i="23"/>
  <c r="H238" i="23"/>
  <c r="I229" i="23"/>
  <c r="I163" i="23"/>
  <c r="J163" i="23" s="1"/>
  <c r="I191" i="23"/>
  <c r="J191" i="23" s="1"/>
  <c r="H209" i="23"/>
  <c r="H167" i="23"/>
  <c r="H165" i="23"/>
  <c r="I165" i="23" s="1"/>
  <c r="H202" i="23"/>
  <c r="I202" i="23" s="1"/>
  <c r="J202" i="23" s="1"/>
  <c r="H208" i="23"/>
  <c r="I208" i="23" s="1"/>
  <c r="I224" i="23"/>
  <c r="J224" i="23" s="1"/>
  <c r="K224" i="23" s="1"/>
  <c r="G173" i="23"/>
  <c r="H173" i="23" s="1"/>
  <c r="I173" i="23" s="1"/>
  <c r="I215" i="23"/>
  <c r="J215" i="23" s="1"/>
  <c r="K215" i="23" s="1"/>
  <c r="I225" i="23"/>
  <c r="J225" i="23" s="1"/>
  <c r="H150" i="23"/>
  <c r="I150" i="23" s="1"/>
  <c r="G181" i="23"/>
  <c r="H181" i="23" s="1"/>
  <c r="H179" i="23"/>
  <c r="G207" i="23"/>
  <c r="I218" i="23"/>
  <c r="J218" i="23" s="1"/>
  <c r="H201" i="23"/>
  <c r="H223" i="23"/>
  <c r="I223" i="23" s="1"/>
  <c r="I222" i="23"/>
  <c r="J222" i="23" s="1"/>
  <c r="K222" i="23" s="1"/>
  <c r="G168" i="23"/>
  <c r="H168" i="23" s="1"/>
  <c r="H199" i="23"/>
  <c r="I199" i="23" s="1"/>
  <c r="H170" i="23"/>
  <c r="I170" i="23" s="1"/>
  <c r="J186" i="23"/>
  <c r="K186" i="23" s="1"/>
  <c r="H184" i="23"/>
  <c r="I184" i="23" s="1"/>
  <c r="I209" i="23"/>
  <c r="J209" i="23" s="1"/>
  <c r="I226" i="23"/>
  <c r="H156" i="23"/>
  <c r="I156" i="23" s="1"/>
  <c r="H192" i="23"/>
  <c r="I192" i="23" s="1"/>
  <c r="I177" i="23"/>
  <c r="H204" i="23"/>
  <c r="I204" i="23" s="1"/>
  <c r="J204" i="23" s="1"/>
  <c r="G212" i="23"/>
  <c r="H212" i="23" s="1"/>
  <c r="I212" i="23" s="1"/>
  <c r="H217" i="23"/>
  <c r="I217" i="23" s="1"/>
  <c r="G172" i="23"/>
  <c r="G220" i="23"/>
  <c r="H220" i="23" s="1"/>
  <c r="M16" i="6"/>
  <c r="H174" i="23"/>
  <c r="H206" i="23"/>
  <c r="H207" i="23"/>
  <c r="H189" i="23"/>
  <c r="I154" i="23"/>
  <c r="H169" i="23"/>
  <c r="H158" i="23"/>
  <c r="H161" i="23"/>
  <c r="I161" i="23" s="1"/>
  <c r="H205" i="23"/>
  <c r="H166" i="23"/>
  <c r="H159" i="23"/>
  <c r="I159" i="23" s="1"/>
  <c r="I203" i="23"/>
  <c r="J203" i="23" s="1"/>
  <c r="H160" i="23"/>
  <c r="I160" i="23" s="1"/>
  <c r="J160" i="23" s="1"/>
  <c r="I185" i="23"/>
  <c r="J152" i="23"/>
  <c r="H175" i="23"/>
  <c r="I175" i="23" s="1"/>
  <c r="H183" i="23"/>
  <c r="J164" i="23"/>
  <c r="K164" i="23" s="1"/>
  <c r="I200" i="23"/>
  <c r="I219" i="23"/>
  <c r="H153" i="23"/>
  <c r="J171" i="23"/>
  <c r="H188" i="23"/>
  <c r="I176" i="23"/>
  <c r="H221" i="23"/>
  <c r="I180" i="23"/>
  <c r="H216" i="23"/>
  <c r="I167" i="23"/>
  <c r="I193" i="23"/>
  <c r="J155" i="23"/>
  <c r="H190" i="23"/>
  <c r="I178" i="23"/>
  <c r="J178" i="23" s="1"/>
  <c r="H187" i="23"/>
  <c r="J196" i="23"/>
  <c r="K196" i="23" s="1"/>
  <c r="H195" i="23"/>
  <c r="H211" i="23"/>
  <c r="I198" i="23"/>
  <c r="I182" i="23"/>
  <c r="J182" i="23" s="1"/>
  <c r="J157" i="23"/>
  <c r="I197" i="23"/>
  <c r="I162" i="23"/>
  <c r="H194" i="23"/>
  <c r="I194" i="23"/>
  <c r="I210" i="23"/>
  <c r="H214" i="23"/>
  <c r="H151" i="23"/>
  <c r="I151" i="23" s="1"/>
  <c r="I149" i="23"/>
  <c r="H148" i="23"/>
  <c r="I148" i="23" s="1"/>
  <c r="I147" i="23"/>
  <c r="I146" i="23"/>
  <c r="H145" i="23"/>
  <c r="I144" i="23"/>
  <c r="I142" i="23"/>
  <c r="H141" i="23"/>
  <c r="J140" i="23"/>
  <c r="R50" i="6"/>
  <c r="M50" i="6"/>
  <c r="M310" i="5"/>
  <c r="M18" i="6"/>
  <c r="R54" i="6"/>
  <c r="M49" i="6"/>
  <c r="N4" i="6"/>
  <c r="M48" i="6"/>
  <c r="L233" i="5"/>
  <c r="L173" i="5"/>
  <c r="R3" i="6"/>
  <c r="R51" i="6"/>
  <c r="M54" i="6"/>
  <c r="R49" i="6"/>
  <c r="R47" i="6"/>
  <c r="R48" i="6"/>
  <c r="M212" i="5"/>
  <c r="N244" i="5"/>
  <c r="R16" i="6"/>
  <c r="L278" i="5"/>
  <c r="M245" i="5"/>
  <c r="N316" i="5"/>
  <c r="M289" i="5"/>
  <c r="L255" i="5"/>
  <c r="Q38" i="21"/>
  <c r="N294" i="5"/>
  <c r="M264" i="5"/>
  <c r="L138" i="5"/>
  <c r="R55" i="6"/>
  <c r="Q54" i="21"/>
  <c r="Q67" i="21"/>
  <c r="M51" i="6"/>
  <c r="N46" i="6"/>
  <c r="N47" i="6"/>
  <c r="R18" i="6"/>
  <c r="R5" i="6"/>
  <c r="R46" i="6"/>
  <c r="K315" i="5"/>
  <c r="L289" i="5"/>
  <c r="Q42" i="21"/>
  <c r="Q47" i="21"/>
  <c r="Q14" i="21"/>
  <c r="P63" i="6"/>
  <c r="N3" i="6"/>
  <c r="L4" i="5"/>
  <c r="N310" i="5"/>
  <c r="L284" i="5"/>
  <c r="Q9" i="21"/>
  <c r="Q51" i="21"/>
  <c r="M305" i="5"/>
  <c r="K278" i="5"/>
  <c r="L297" i="5"/>
  <c r="L104" i="5"/>
  <c r="Q29" i="21"/>
  <c r="L300" i="5"/>
  <c r="N271" i="5"/>
  <c r="K193" i="5"/>
  <c r="N299" i="5"/>
  <c r="L265" i="5"/>
  <c r="Q41" i="21"/>
  <c r="Q65" i="21"/>
  <c r="Q53" i="21"/>
  <c r="Q8" i="21"/>
  <c r="N211" i="5"/>
  <c r="L170" i="5"/>
  <c r="L308" i="5"/>
  <c r="M297" i="5"/>
  <c r="N286" i="5"/>
  <c r="L275" i="5"/>
  <c r="M260" i="5"/>
  <c r="L240" i="5"/>
  <c r="L203" i="5"/>
  <c r="N157" i="5"/>
  <c r="Q19" i="5"/>
  <c r="Q19" i="21"/>
  <c r="N307" i="5"/>
  <c r="M286" i="5"/>
  <c r="M274" i="5"/>
  <c r="N259" i="5"/>
  <c r="N239" i="5"/>
  <c r="L201" i="5"/>
  <c r="M155" i="5"/>
  <c r="I25" i="19"/>
  <c r="M4" i="5"/>
  <c r="N314" i="5"/>
  <c r="L305" i="5"/>
  <c r="M294" i="5"/>
  <c r="N283" i="5"/>
  <c r="M271" i="5"/>
  <c r="N254" i="5"/>
  <c r="L231" i="5"/>
  <c r="M191" i="5"/>
  <c r="N136" i="5"/>
  <c r="K313" i="5"/>
  <c r="N302" i="5"/>
  <c r="L292" i="5"/>
  <c r="M281" i="5"/>
  <c r="L268" i="5"/>
  <c r="M250" i="5"/>
  <c r="K223" i="5"/>
  <c r="M182" i="5"/>
  <c r="K4" i="5"/>
  <c r="I22" i="19"/>
  <c r="K108" i="5"/>
  <c r="L144" i="5"/>
  <c r="K159" i="5"/>
  <c r="L174" i="5"/>
  <c r="K184" i="5"/>
  <c r="N193" i="5"/>
  <c r="L204" i="5"/>
  <c r="K214" i="5"/>
  <c r="N223" i="5"/>
  <c r="L234" i="5"/>
  <c r="K241" i="5"/>
  <c r="N245" i="5"/>
  <c r="K251" i="5"/>
  <c r="K256" i="5"/>
  <c r="N260" i="5"/>
  <c r="M265" i="5"/>
  <c r="K269" i="5"/>
  <c r="K272" i="5"/>
  <c r="M275" i="5"/>
  <c r="K279" i="5"/>
  <c r="N281" i="5"/>
  <c r="M284" i="5"/>
  <c r="L287" i="5"/>
  <c r="N289" i="5"/>
  <c r="M292" i="5"/>
  <c r="L295" i="5"/>
  <c r="N297" i="5"/>
  <c r="M300" i="5"/>
  <c r="L303" i="5"/>
  <c r="N305" i="5"/>
  <c r="M308" i="5"/>
  <c r="L311" i="5"/>
  <c r="L313" i="5"/>
  <c r="L315" i="5"/>
  <c r="L279" i="5"/>
  <c r="L282" i="5"/>
  <c r="N284" i="5"/>
  <c r="M287" i="5"/>
  <c r="L290" i="5"/>
  <c r="N292" i="5"/>
  <c r="M295" i="5"/>
  <c r="L298" i="5"/>
  <c r="N300" i="5"/>
  <c r="M303" i="5"/>
  <c r="L306" i="5"/>
  <c r="N308" i="5"/>
  <c r="M311" i="5"/>
  <c r="M313" i="5"/>
  <c r="M315" i="5"/>
  <c r="K312" i="5"/>
  <c r="I23" i="19"/>
  <c r="L152" i="5"/>
  <c r="N178" i="5"/>
  <c r="L219" i="5"/>
  <c r="L238" i="5"/>
  <c r="M270" i="5"/>
  <c r="M280" i="5"/>
  <c r="L291" i="5"/>
  <c r="M296" i="5"/>
  <c r="L307" i="5"/>
  <c r="N309" i="5"/>
  <c r="I24" i="19"/>
  <c r="K80" i="5"/>
  <c r="K169" i="5"/>
  <c r="M200" i="5"/>
  <c r="M230" i="5"/>
  <c r="L249" i="5"/>
  <c r="L264" i="5"/>
  <c r="L274" i="5"/>
  <c r="N277" i="5"/>
  <c r="L286" i="5"/>
  <c r="L294" i="5"/>
  <c r="L302" i="5"/>
  <c r="N304" i="5"/>
  <c r="M312" i="5"/>
  <c r="K111" i="5"/>
  <c r="M146" i="5"/>
  <c r="K162" i="5"/>
  <c r="K175" i="5"/>
  <c r="M185" i="5"/>
  <c r="N195" i="5"/>
  <c r="K205" i="5"/>
  <c r="M215" i="5"/>
  <c r="N225" i="5"/>
  <c r="K235" i="5"/>
  <c r="N241" i="5"/>
  <c r="N246" i="5"/>
  <c r="M251" i="5"/>
  <c r="N256" i="5"/>
  <c r="N261" i="5"/>
  <c r="N265" i="5"/>
  <c r="L269" i="5"/>
  <c r="N272" i="5"/>
  <c r="N275" i="5"/>
  <c r="N117" i="5"/>
  <c r="N147" i="5"/>
  <c r="M163" i="5"/>
  <c r="M176" i="5"/>
  <c r="L186" i="5"/>
  <c r="N196" i="5"/>
  <c r="M206" i="5"/>
  <c r="L216" i="5"/>
  <c r="N226" i="5"/>
  <c r="M236" i="5"/>
  <c r="K242" i="5"/>
  <c r="L247" i="5"/>
  <c r="L252" i="5"/>
  <c r="K257" i="5"/>
  <c r="L262" i="5"/>
  <c r="M266" i="5"/>
  <c r="M269" i="5"/>
  <c r="K273" i="5"/>
  <c r="M276" i="5"/>
  <c r="M279" i="5"/>
  <c r="M282" i="5"/>
  <c r="L285" i="5"/>
  <c r="N287" i="5"/>
  <c r="M290" i="5"/>
  <c r="L293" i="5"/>
  <c r="N295" i="5"/>
  <c r="M298" i="5"/>
  <c r="L301" i="5"/>
  <c r="N303" i="5"/>
  <c r="M306" i="5"/>
  <c r="L309" i="5"/>
  <c r="N311" i="5"/>
  <c r="N313" i="5"/>
  <c r="N315" i="5"/>
  <c r="N150" i="5"/>
  <c r="M164" i="5"/>
  <c r="M197" i="5"/>
  <c r="M227" i="5"/>
  <c r="N247" i="5"/>
  <c r="N262" i="5"/>
  <c r="L273" i="5"/>
  <c r="L280" i="5"/>
  <c r="N282" i="5"/>
  <c r="L288" i="5"/>
  <c r="M293" i="5"/>
  <c r="M301" i="5"/>
  <c r="N306" i="5"/>
  <c r="K314" i="5"/>
  <c r="N124" i="5"/>
  <c r="L189" i="5"/>
  <c r="N208" i="5"/>
  <c r="M243" i="5"/>
  <c r="L253" i="5"/>
  <c r="M263" i="5"/>
  <c r="K274" i="5"/>
  <c r="N285" i="5"/>
  <c r="N293" i="5"/>
  <c r="M304" i="5"/>
  <c r="L314" i="5"/>
  <c r="N4" i="5"/>
  <c r="M131" i="5"/>
  <c r="K190" i="5"/>
  <c r="K220" i="5"/>
  <c r="L239" i="5"/>
  <c r="L254" i="5"/>
  <c r="N267" i="5"/>
  <c r="M283" i="5"/>
  <c r="M291" i="5"/>
  <c r="M299" i="5"/>
  <c r="M307" i="5"/>
  <c r="M316" i="5"/>
  <c r="M121" i="5"/>
  <c r="K178" i="5"/>
  <c r="L188" i="5"/>
  <c r="K208" i="5"/>
  <c r="L218" i="5"/>
  <c r="K238" i="5"/>
  <c r="K243" i="5"/>
  <c r="K253" i="5"/>
  <c r="K258" i="5"/>
  <c r="N266" i="5"/>
  <c r="L270" i="5"/>
  <c r="N276" i="5"/>
  <c r="M285" i="5"/>
  <c r="N290" i="5"/>
  <c r="L296" i="5"/>
  <c r="N298" i="5"/>
  <c r="L304" i="5"/>
  <c r="M309" i="5"/>
  <c r="K316" i="5"/>
  <c r="L51" i="5"/>
  <c r="N166" i="5"/>
  <c r="K199" i="5"/>
  <c r="K229" i="5"/>
  <c r="M248" i="5"/>
  <c r="M258" i="5"/>
  <c r="K267" i="5"/>
  <c r="K277" i="5"/>
  <c r="L283" i="5"/>
  <c r="M288" i="5"/>
  <c r="L299" i="5"/>
  <c r="N301" i="5"/>
  <c r="L312" i="5"/>
  <c r="L316" i="5"/>
  <c r="L153" i="5"/>
  <c r="N180" i="5"/>
  <c r="N210" i="5"/>
  <c r="K244" i="5"/>
  <c r="K259" i="5"/>
  <c r="N270" i="5"/>
  <c r="N280" i="5"/>
  <c r="N288" i="5"/>
  <c r="N296" i="5"/>
  <c r="L310" i="5"/>
  <c r="M314" i="5"/>
  <c r="N312" i="5"/>
  <c r="M302" i="5"/>
  <c r="N291" i="5"/>
  <c r="L281" i="5"/>
  <c r="K268" i="5"/>
  <c r="M249" i="5"/>
  <c r="M221" i="5"/>
  <c r="N181" i="5"/>
  <c r="M89" i="5"/>
  <c r="Q70" i="21"/>
  <c r="Q52" i="21"/>
  <c r="J76" i="5"/>
  <c r="Q76" i="5" s="1"/>
  <c r="J75" i="5"/>
  <c r="Q75" i="5" s="1"/>
  <c r="J74" i="5"/>
  <c r="Q74" i="5" s="1"/>
  <c r="J7" i="5"/>
  <c r="Q7" i="5" s="1"/>
  <c r="J57" i="5"/>
  <c r="Q57" i="5" s="1"/>
  <c r="J73" i="5"/>
  <c r="Q73" i="5" s="1"/>
  <c r="J11" i="5"/>
  <c r="Q11" i="5" s="1"/>
  <c r="J16" i="5"/>
  <c r="Q16" i="5" s="1"/>
  <c r="J21" i="5"/>
  <c r="Q21" i="5" s="1"/>
  <c r="J26" i="5"/>
  <c r="Q26" i="5" s="1"/>
  <c r="J31" i="5"/>
  <c r="Q31" i="5" s="1"/>
  <c r="J36" i="5"/>
  <c r="Q36" i="5" s="1"/>
  <c r="J46" i="5"/>
  <c r="Q46" i="5" s="1"/>
  <c r="J56" i="5"/>
  <c r="Q56" i="5" s="1"/>
  <c r="J61" i="5"/>
  <c r="Q61" i="5" s="1"/>
  <c r="P214" i="5"/>
  <c r="R213" i="5"/>
  <c r="J212" i="5"/>
  <c r="Q212" i="5" s="1"/>
  <c r="J206" i="5"/>
  <c r="Q206" i="5" s="1"/>
  <c r="J205" i="5"/>
  <c r="Q205" i="5" s="1"/>
  <c r="P204" i="5"/>
  <c r="J202" i="5"/>
  <c r="Q202" i="5" s="1"/>
  <c r="V200" i="5"/>
  <c r="V197" i="5"/>
  <c r="V191" i="5"/>
  <c r="R185" i="5"/>
  <c r="V183" i="5"/>
  <c r="R181" i="5"/>
  <c r="V175" i="5"/>
  <c r="P167" i="5"/>
  <c r="V164" i="5"/>
  <c r="R162" i="5"/>
  <c r="R157" i="5"/>
  <c r="J209" i="5"/>
  <c r="Q209" i="5" s="1"/>
  <c r="J203" i="5"/>
  <c r="Q203" i="5" s="1"/>
  <c r="R201" i="5"/>
  <c r="R198" i="5"/>
  <c r="R195" i="5"/>
  <c r="J193" i="5"/>
  <c r="Q193" i="5" s="1"/>
  <c r="P190" i="5"/>
  <c r="R187" i="5"/>
  <c r="V182" i="5"/>
  <c r="V178" i="5"/>
  <c r="J177" i="5"/>
  <c r="Q177" i="5" s="1"/>
  <c r="J174" i="5"/>
  <c r="Q174" i="5" s="1"/>
  <c r="V173" i="5"/>
  <c r="R172" i="5"/>
  <c r="V170" i="5"/>
  <c r="J168" i="5"/>
  <c r="Q168" i="5" s="1"/>
  <c r="J165" i="5"/>
  <c r="Q165" i="5" s="1"/>
  <c r="V160" i="5"/>
  <c r="J159" i="5"/>
  <c r="Q159" i="5" s="1"/>
  <c r="V211" i="5"/>
  <c r="J208" i="5"/>
  <c r="Q208" i="5" s="1"/>
  <c r="P207" i="5"/>
  <c r="P199" i="5"/>
  <c r="J194" i="5"/>
  <c r="Q194" i="5" s="1"/>
  <c r="J192" i="5"/>
  <c r="Q192" i="5" s="1"/>
  <c r="J189" i="5"/>
  <c r="Q189" i="5" s="1"/>
  <c r="P188" i="5"/>
  <c r="J186" i="5"/>
  <c r="Q186" i="5" s="1"/>
  <c r="R184" i="5"/>
  <c r="R180" i="5"/>
  <c r="J179" i="5"/>
  <c r="Q179" i="5" s="1"/>
  <c r="V176" i="5"/>
  <c r="V169" i="5"/>
  <c r="J161" i="5"/>
  <c r="Q161" i="5" s="1"/>
  <c r="V156" i="5"/>
  <c r="V153" i="5"/>
  <c r="V148" i="5"/>
  <c r="R144" i="5"/>
  <c r="V139" i="5"/>
  <c r="V135" i="5"/>
  <c r="J126" i="5"/>
  <c r="Q126" i="5" s="1"/>
  <c r="R171" i="5"/>
  <c r="R166" i="5"/>
  <c r="R163" i="5"/>
  <c r="P158" i="5"/>
  <c r="R154" i="5"/>
  <c r="V151" i="5"/>
  <c r="R145" i="5"/>
  <c r="R142" i="5"/>
  <c r="R136" i="5"/>
  <c r="R133" i="5"/>
  <c r="P125" i="5"/>
  <c r="J152" i="5"/>
  <c r="Q152" i="5" s="1"/>
  <c r="J150" i="5"/>
  <c r="Q150" i="5" s="1"/>
  <c r="V149" i="5"/>
  <c r="V147" i="5"/>
  <c r="V146" i="5"/>
  <c r="V143" i="5"/>
  <c r="J141" i="5"/>
  <c r="Q141" i="5" s="1"/>
  <c r="V140" i="5"/>
  <c r="R138" i="5"/>
  <c r="V137" i="5"/>
  <c r="J134" i="5"/>
  <c r="Q134" i="5" s="1"/>
  <c r="J132" i="5"/>
  <c r="Q132" i="5" s="1"/>
  <c r="J128" i="5"/>
  <c r="Q128" i="5" s="1"/>
  <c r="Q128" i="21"/>
  <c r="V123" i="5"/>
  <c r="J124" i="5"/>
  <c r="Q124" i="5" s="1"/>
  <c r="V119" i="5"/>
  <c r="J118" i="5"/>
  <c r="Q118" i="5" s="1"/>
  <c r="R111" i="5"/>
  <c r="J110" i="5"/>
  <c r="Q110" i="5" s="1"/>
  <c r="V109" i="5"/>
  <c r="J103" i="5"/>
  <c r="Q103" i="5" s="1"/>
  <c r="J98" i="5"/>
  <c r="Q98" i="5" s="1"/>
  <c r="V97" i="5"/>
  <c r="V92" i="5"/>
  <c r="V90" i="5"/>
  <c r="V87" i="5"/>
  <c r="R83" i="5"/>
  <c r="V120" i="5"/>
  <c r="V117" i="5"/>
  <c r="V115" i="5"/>
  <c r="V108" i="5"/>
  <c r="V105" i="5"/>
  <c r="R102" i="5"/>
  <c r="V100" i="5"/>
  <c r="V95" i="5"/>
  <c r="J89" i="5"/>
  <c r="Q89" i="5" s="1"/>
  <c r="V88" i="5"/>
  <c r="R86" i="5"/>
  <c r="V131" i="5"/>
  <c r="Q131" i="21"/>
  <c r="J130" i="5"/>
  <c r="Q130" i="5" s="1"/>
  <c r="V129" i="5"/>
  <c r="V127" i="5"/>
  <c r="J122" i="5"/>
  <c r="Q122" i="5" s="1"/>
  <c r="V121" i="5"/>
  <c r="V116" i="5"/>
  <c r="V114" i="5"/>
  <c r="J113" i="5"/>
  <c r="Q113" i="5" s="1"/>
  <c r="V112" i="5"/>
  <c r="J107" i="5"/>
  <c r="Q107" i="5" s="1"/>
  <c r="J104" i="5"/>
  <c r="Q104" i="5" s="1"/>
  <c r="V101" i="5"/>
  <c r="V99" i="5"/>
  <c r="R96" i="5"/>
  <c r="V93" i="5"/>
  <c r="P91" i="5"/>
  <c r="V82" i="5"/>
  <c r="J80" i="5"/>
  <c r="Q80" i="5" s="1"/>
  <c r="J79" i="5"/>
  <c r="Q79" i="5" s="1"/>
  <c r="V78" i="5"/>
  <c r="J34" i="5"/>
  <c r="Q34" i="5" s="1"/>
  <c r="J59" i="5"/>
  <c r="Q59" i="5" s="1"/>
  <c r="J10" i="5"/>
  <c r="Q10" i="5" s="1"/>
  <c r="J15" i="5"/>
  <c r="Q15" i="5" s="1"/>
  <c r="Q15" i="21"/>
  <c r="J20" i="5"/>
  <c r="Q20" i="5" s="1"/>
  <c r="J25" i="5"/>
  <c r="Q25" i="5" s="1"/>
  <c r="J30" i="5"/>
  <c r="Q30" i="5" s="1"/>
  <c r="J35" i="5"/>
  <c r="Q35" i="5" s="1"/>
  <c r="J40" i="5"/>
  <c r="Q40" i="5" s="1"/>
  <c r="J45" i="5"/>
  <c r="Q45" i="5" s="1"/>
  <c r="J50" i="5"/>
  <c r="Q50" i="5" s="1"/>
  <c r="J55" i="5"/>
  <c r="Q55" i="5" s="1"/>
  <c r="J60" i="5"/>
  <c r="Q60" i="5" s="1"/>
  <c r="J66" i="5"/>
  <c r="Q66" i="5" s="1"/>
  <c r="J6" i="5"/>
  <c r="Q6" i="5" s="1"/>
  <c r="J18" i="5"/>
  <c r="Q18" i="5" s="1"/>
  <c r="J24" i="5"/>
  <c r="Q24" i="5" s="1"/>
  <c r="J27" i="5"/>
  <c r="Q27" i="5" s="1"/>
  <c r="J33" i="5"/>
  <c r="Q33" i="5" s="1"/>
  <c r="J39" i="5"/>
  <c r="Q39" i="5" s="1"/>
  <c r="J48" i="5"/>
  <c r="Q48" i="5" s="1"/>
  <c r="J63" i="5"/>
  <c r="Q63" i="5" s="1"/>
  <c r="J13" i="5"/>
  <c r="Q13" i="5" s="1"/>
  <c r="J22" i="5"/>
  <c r="Q22" i="5" s="1"/>
  <c r="J28" i="5"/>
  <c r="Q28" i="5" s="1"/>
  <c r="J37" i="5"/>
  <c r="Q37" i="5" s="1"/>
  <c r="J43" i="5"/>
  <c r="Q43" i="5" s="1"/>
  <c r="J49" i="5"/>
  <c r="Q49" i="5" s="1"/>
  <c r="J68" i="5"/>
  <c r="Q68" i="5" s="1"/>
  <c r="J71" i="5"/>
  <c r="Q71" i="5" s="1"/>
  <c r="J64" i="5"/>
  <c r="Q64" i="5" s="1"/>
  <c r="J17" i="5"/>
  <c r="Q17" i="5" s="1"/>
  <c r="J23" i="5"/>
  <c r="Q23" i="5" s="1"/>
  <c r="J44" i="5"/>
  <c r="Q44" i="5" s="1"/>
  <c r="J4" i="5"/>
  <c r="Q4" i="21" s="1"/>
  <c r="P5" i="5"/>
  <c r="J62" i="5"/>
  <c r="Q62" i="5" s="1"/>
  <c r="J12" i="5"/>
  <c r="Q12" i="5" s="1"/>
  <c r="J32" i="5"/>
  <c r="Q32" i="5" s="1"/>
  <c r="J58" i="5"/>
  <c r="Q58" i="5" s="1"/>
  <c r="V106" i="5"/>
  <c r="O106" i="5"/>
  <c r="J181" i="21"/>
  <c r="M181" i="21"/>
  <c r="J122" i="21"/>
  <c r="M122" i="21"/>
  <c r="J212" i="21"/>
  <c r="M212" i="21"/>
  <c r="J153" i="21"/>
  <c r="M153" i="21"/>
  <c r="J144" i="21"/>
  <c r="M144" i="21"/>
  <c r="J112" i="21"/>
  <c r="M112" i="21"/>
  <c r="J131" i="21"/>
  <c r="M131" i="21"/>
  <c r="J143" i="21"/>
  <c r="M143" i="21"/>
  <c r="J107" i="21"/>
  <c r="M107" i="21"/>
  <c r="M132" i="21"/>
  <c r="J132" i="21"/>
  <c r="M182" i="21"/>
  <c r="J182" i="21"/>
  <c r="J192" i="21"/>
  <c r="M192" i="21"/>
  <c r="J193" i="21"/>
  <c r="M193" i="21"/>
  <c r="J138" i="21"/>
  <c r="M138" i="21"/>
  <c r="J135" i="21"/>
  <c r="M135" i="21"/>
  <c r="M127" i="21"/>
  <c r="J127" i="21"/>
  <c r="M185" i="21"/>
  <c r="J185" i="21"/>
  <c r="M167" i="21"/>
  <c r="J167" i="21"/>
  <c r="J136" i="21"/>
  <c r="M136" i="21"/>
  <c r="J196" i="21"/>
  <c r="M196" i="21"/>
  <c r="J183" i="21"/>
  <c r="M183" i="21"/>
  <c r="M186" i="21"/>
  <c r="J186" i="21"/>
  <c r="M118" i="21"/>
  <c r="J118" i="21"/>
  <c r="M140" i="21"/>
  <c r="J140" i="21"/>
  <c r="J165" i="21"/>
  <c r="M165" i="21"/>
  <c r="M201" i="21"/>
  <c r="J201" i="21"/>
  <c r="J150" i="21"/>
  <c r="M150" i="21"/>
  <c r="J146" i="21"/>
  <c r="M146" i="21"/>
  <c r="J204" i="21"/>
  <c r="M204" i="21"/>
  <c r="J205" i="21"/>
  <c r="M205" i="21"/>
  <c r="M115" i="21"/>
  <c r="J115" i="21"/>
  <c r="J157" i="21"/>
  <c r="M157" i="21"/>
  <c r="M168" i="21"/>
  <c r="J168" i="21"/>
  <c r="J145" i="21"/>
  <c r="M145" i="21"/>
  <c r="J191" i="21"/>
  <c r="M191" i="21"/>
  <c r="M125" i="21"/>
  <c r="J125" i="21"/>
  <c r="J202" i="21"/>
  <c r="M202" i="21"/>
  <c r="J194" i="21"/>
  <c r="M194" i="21"/>
  <c r="M148" i="21"/>
  <c r="J148" i="21"/>
  <c r="J184" i="21"/>
  <c r="M184" i="21"/>
  <c r="J195" i="21"/>
  <c r="M195" i="21"/>
  <c r="J211" i="21"/>
  <c r="M211" i="21"/>
  <c r="M187" i="21"/>
  <c r="J187" i="21"/>
  <c r="J210" i="21"/>
  <c r="M210" i="21"/>
  <c r="M214" i="21"/>
  <c r="J214" i="21"/>
  <c r="M108" i="21"/>
  <c r="J108" i="21"/>
  <c r="M141" i="21"/>
  <c r="J141" i="21"/>
  <c r="J149" i="21"/>
  <c r="M149" i="21"/>
  <c r="M175" i="21"/>
  <c r="J175" i="21"/>
  <c r="M113" i="21"/>
  <c r="J113" i="21"/>
  <c r="J126" i="21"/>
  <c r="M126" i="21"/>
  <c r="M130" i="21"/>
  <c r="J130" i="21"/>
  <c r="M160" i="21"/>
  <c r="J160" i="21"/>
  <c r="M111" i="21"/>
  <c r="J111" i="21"/>
  <c r="J133" i="21"/>
  <c r="M133" i="21"/>
  <c r="M137" i="21"/>
  <c r="J137" i="21"/>
  <c r="J158" i="21"/>
  <c r="M158" i="21"/>
  <c r="M188" i="21"/>
  <c r="J188" i="21"/>
  <c r="U64" i="5"/>
  <c r="U106" i="5"/>
  <c r="M102" i="21"/>
  <c r="J102" i="21"/>
  <c r="M101" i="21"/>
  <c r="J101" i="21"/>
  <c r="M97" i="21"/>
  <c r="J97" i="21"/>
  <c r="M94" i="21"/>
  <c r="J94" i="21"/>
  <c r="M90" i="21"/>
  <c r="J90" i="21"/>
  <c r="M85" i="21"/>
  <c r="J85" i="21"/>
  <c r="M84" i="21"/>
  <c r="J84" i="21"/>
  <c r="M83" i="21"/>
  <c r="J83" i="21"/>
  <c r="M82" i="21"/>
  <c r="J82" i="21"/>
  <c r="M80" i="21"/>
  <c r="J80" i="21"/>
  <c r="M77" i="21"/>
  <c r="J77" i="21"/>
  <c r="M76" i="21"/>
  <c r="J76" i="21"/>
  <c r="M73" i="21"/>
  <c r="J73" i="21"/>
  <c r="M69" i="21"/>
  <c r="J69" i="21"/>
  <c r="M67" i="21"/>
  <c r="J67" i="21"/>
  <c r="M65" i="21"/>
  <c r="J65" i="21"/>
  <c r="M63" i="21"/>
  <c r="J63" i="21"/>
  <c r="M61" i="21"/>
  <c r="J61" i="21"/>
  <c r="M60" i="21"/>
  <c r="J60" i="21"/>
  <c r="M58" i="21"/>
  <c r="J58" i="21"/>
  <c r="M57" i="21"/>
  <c r="J57" i="21"/>
  <c r="M55" i="21"/>
  <c r="J55" i="21"/>
  <c r="M49" i="21"/>
  <c r="J49" i="21"/>
  <c r="M47" i="21"/>
  <c r="J47" i="21"/>
  <c r="M45" i="21"/>
  <c r="J45" i="21"/>
  <c r="M44" i="21"/>
  <c r="J44" i="21"/>
  <c r="M42" i="21"/>
  <c r="J42" i="21"/>
  <c r="M39" i="21"/>
  <c r="J39" i="21"/>
  <c r="M34" i="21"/>
  <c r="J34" i="21"/>
  <c r="M31" i="21"/>
  <c r="J31" i="21"/>
  <c r="M27" i="21"/>
  <c r="J27" i="21"/>
  <c r="M25" i="21"/>
  <c r="J25" i="21"/>
  <c r="M23" i="21"/>
  <c r="J23" i="21"/>
  <c r="M17" i="21"/>
  <c r="J17" i="21"/>
  <c r="M4" i="21"/>
  <c r="J4" i="21"/>
  <c r="J5" i="5"/>
  <c r="Q5" i="5" s="1"/>
  <c r="K7" i="5"/>
  <c r="N69" i="5"/>
  <c r="M97" i="5"/>
  <c r="M104" i="5"/>
  <c r="L111" i="5"/>
  <c r="K120" i="5"/>
  <c r="N126" i="5"/>
  <c r="M133" i="5"/>
  <c r="L140" i="5"/>
  <c r="L146" i="5"/>
  <c r="M148" i="5"/>
  <c r="K151" i="5"/>
  <c r="M154" i="5"/>
  <c r="M157" i="5"/>
  <c r="N159" i="5"/>
  <c r="L162" i="5"/>
  <c r="N165" i="5"/>
  <c r="N168" i="5"/>
  <c r="K171" i="5"/>
  <c r="M173" i="5"/>
  <c r="N175" i="5"/>
  <c r="N177" i="5"/>
  <c r="L179" i="5"/>
  <c r="K181" i="5"/>
  <c r="L183" i="5"/>
  <c r="L185" i="5"/>
  <c r="N186" i="5"/>
  <c r="M188" i="5"/>
  <c r="N190" i="5"/>
  <c r="N192" i="5"/>
  <c r="L194" i="5"/>
  <c r="K196" i="5"/>
  <c r="L198" i="5"/>
  <c r="L200" i="5"/>
  <c r="N201" i="5"/>
  <c r="M203" i="5"/>
  <c r="N205" i="5"/>
  <c r="N207" i="5"/>
  <c r="L209" i="5"/>
  <c r="K211" i="5"/>
  <c r="L213" i="5"/>
  <c r="L215" i="5"/>
  <c r="N216" i="5"/>
  <c r="M218" i="5"/>
  <c r="N220" i="5"/>
  <c r="N222" i="5"/>
  <c r="L224" i="5"/>
  <c r="K226" i="5"/>
  <c r="L228" i="5"/>
  <c r="L230" i="5"/>
  <c r="N231" i="5"/>
  <c r="M233" i="5"/>
  <c r="N235" i="5"/>
  <c r="N237" i="5"/>
  <c r="M238" i="5"/>
  <c r="M239" i="5"/>
  <c r="M240" i="5"/>
  <c r="M241" i="5"/>
  <c r="L242" i="5"/>
  <c r="L243" i="5"/>
  <c r="L244" i="5"/>
  <c r="L245" i="5"/>
  <c r="K246" i="5"/>
  <c r="K247" i="5"/>
  <c r="K248" i="5"/>
  <c r="K249" i="5"/>
  <c r="N249" i="5"/>
  <c r="N250" i="5"/>
  <c r="N251" i="5"/>
  <c r="N252" i="5"/>
  <c r="M253" i="5"/>
  <c r="M254" i="5"/>
  <c r="M255" i="5"/>
  <c r="M256" i="5"/>
  <c r="L257" i="5"/>
  <c r="L258" i="5"/>
  <c r="L259" i="5"/>
  <c r="L260" i="5"/>
  <c r="K261" i="5"/>
  <c r="K262" i="5"/>
  <c r="K263" i="5"/>
  <c r="K264" i="5"/>
  <c r="M29" i="5"/>
  <c r="N97" i="5"/>
  <c r="N114" i="5"/>
  <c r="L128" i="5"/>
  <c r="L143" i="5"/>
  <c r="K150" i="5"/>
  <c r="L155" i="5"/>
  <c r="L161" i="5"/>
  <c r="M166" i="5"/>
  <c r="M172" i="5"/>
  <c r="L176" i="5"/>
  <c r="L180" i="5"/>
  <c r="N183" i="5"/>
  <c r="N187" i="5"/>
  <c r="L191" i="5"/>
  <c r="L195" i="5"/>
  <c r="N198" i="5"/>
  <c r="N202" i="5"/>
  <c r="L206" i="5"/>
  <c r="L210" i="5"/>
  <c r="N213" i="5"/>
  <c r="N217" i="5"/>
  <c r="L221" i="5"/>
  <c r="L225" i="5"/>
  <c r="N228" i="5"/>
  <c r="N232" i="5"/>
  <c r="L236" i="5"/>
  <c r="K239" i="5"/>
  <c r="N240" i="5"/>
  <c r="N242" i="5"/>
  <c r="M244" i="5"/>
  <c r="M246" i="5"/>
  <c r="L248" i="5"/>
  <c r="L250" i="5"/>
  <c r="K252" i="5"/>
  <c r="K254" i="5"/>
  <c r="N255" i="5"/>
  <c r="N257" i="5"/>
  <c r="M259" i="5"/>
  <c r="M261" i="5"/>
  <c r="L263" i="5"/>
  <c r="N264" i="5"/>
  <c r="K266" i="5"/>
  <c r="L267" i="5"/>
  <c r="M268" i="5"/>
  <c r="N269" i="5"/>
  <c r="K271" i="5"/>
  <c r="L272" i="5"/>
  <c r="M273" i="5"/>
  <c r="N274" i="5"/>
  <c r="K276" i="5"/>
  <c r="L277" i="5"/>
  <c r="M278" i="5"/>
  <c r="N279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N10" i="5"/>
  <c r="K72" i="5"/>
  <c r="N18" i="5"/>
  <c r="U4" i="5"/>
  <c r="U67" i="5"/>
  <c r="K144" i="5"/>
  <c r="K138" i="5"/>
  <c r="L131" i="5"/>
  <c r="L123" i="5"/>
  <c r="M116" i="5"/>
  <c r="N109" i="5"/>
  <c r="K103" i="5"/>
  <c r="M94" i="5"/>
  <c r="M87" i="5"/>
  <c r="L77" i="5"/>
  <c r="L67" i="5"/>
  <c r="K49" i="5"/>
  <c r="L26" i="5"/>
  <c r="V194" i="5"/>
  <c r="N100" i="5"/>
  <c r="K94" i="5"/>
  <c r="N86" i="5"/>
  <c r="M76" i="5"/>
  <c r="M64" i="5"/>
  <c r="L44" i="5"/>
  <c r="K22" i="5"/>
  <c r="N141" i="5"/>
  <c r="M134" i="5"/>
  <c r="N127" i="5"/>
  <c r="K121" i="5"/>
  <c r="L114" i="5"/>
  <c r="M106" i="5"/>
  <c r="N99" i="5"/>
  <c r="K93" i="5"/>
  <c r="L85" i="5"/>
  <c r="K60" i="5"/>
  <c r="M37" i="5"/>
  <c r="K91" i="5"/>
  <c r="N81" i="5"/>
  <c r="N71" i="5"/>
  <c r="M56" i="5"/>
  <c r="L36" i="5"/>
  <c r="L9" i="5"/>
  <c r="M5" i="5"/>
  <c r="L14" i="5"/>
  <c r="L24" i="5"/>
  <c r="L32" i="5"/>
  <c r="N39" i="5"/>
  <c r="M47" i="5"/>
  <c r="N54" i="5"/>
  <c r="M62" i="5"/>
  <c r="N68" i="5"/>
  <c r="K74" i="5"/>
  <c r="N78" i="5"/>
  <c r="K84" i="5"/>
  <c r="N88" i="5"/>
  <c r="L92" i="5"/>
  <c r="M95" i="5"/>
  <c r="K99" i="5"/>
  <c r="L102" i="5"/>
  <c r="N105" i="5"/>
  <c r="K109" i="5"/>
  <c r="M112" i="5"/>
  <c r="N115" i="5"/>
  <c r="L119" i="5"/>
  <c r="M122" i="5"/>
  <c r="K126" i="5"/>
  <c r="L129" i="5"/>
  <c r="N132" i="5"/>
  <c r="K136" i="5"/>
  <c r="M139" i="5"/>
  <c r="N142" i="5"/>
  <c r="K145" i="5"/>
  <c r="L147" i="5"/>
  <c r="M149" i="5"/>
  <c r="N151" i="5"/>
  <c r="K154" i="5"/>
  <c r="L156" i="5"/>
  <c r="M158" i="5"/>
  <c r="N160" i="5"/>
  <c r="K163" i="5"/>
  <c r="L165" i="5"/>
  <c r="M167" i="5"/>
  <c r="N169" i="5"/>
  <c r="K172" i="5"/>
  <c r="K174" i="5"/>
  <c r="M175" i="5"/>
  <c r="K177" i="5"/>
  <c r="M178" i="5"/>
  <c r="K180" i="5"/>
  <c r="M181" i="5"/>
  <c r="K183" i="5"/>
  <c r="M184" i="5"/>
  <c r="K186" i="5"/>
  <c r="M187" i="5"/>
  <c r="K189" i="5"/>
  <c r="M190" i="5"/>
  <c r="K192" i="5"/>
  <c r="M193" i="5"/>
  <c r="K195" i="5"/>
  <c r="M196" i="5"/>
  <c r="K198" i="5"/>
  <c r="M199" i="5"/>
  <c r="K201" i="5"/>
  <c r="M202" i="5"/>
  <c r="K204" i="5"/>
  <c r="M205" i="5"/>
  <c r="K207" i="5"/>
  <c r="M208" i="5"/>
  <c r="K210" i="5"/>
  <c r="M211" i="5"/>
  <c r="K213" i="5"/>
  <c r="M214" i="5"/>
  <c r="K216" i="5"/>
  <c r="M217" i="5"/>
  <c r="K219" i="5"/>
  <c r="M220" i="5"/>
  <c r="K222" i="5"/>
  <c r="M223" i="5"/>
  <c r="K225" i="5"/>
  <c r="M226" i="5"/>
  <c r="K228" i="5"/>
  <c r="M229" i="5"/>
  <c r="K231" i="5"/>
  <c r="M232" i="5"/>
  <c r="K234" i="5"/>
  <c r="M235" i="5"/>
  <c r="K237" i="5"/>
  <c r="N13" i="5"/>
  <c r="N28" i="5"/>
  <c r="L41" i="5"/>
  <c r="M52" i="5"/>
  <c r="M66" i="5"/>
  <c r="K75" i="5"/>
  <c r="L82" i="5"/>
  <c r="N90" i="5"/>
  <c r="L96" i="5"/>
  <c r="L101" i="5"/>
  <c r="M107" i="5"/>
  <c r="L113" i="5"/>
  <c r="K118" i="5"/>
  <c r="M124" i="5"/>
  <c r="K130" i="5"/>
  <c r="K135" i="5"/>
  <c r="L141" i="5"/>
  <c r="M145" i="5"/>
  <c r="N148" i="5"/>
  <c r="K153" i="5"/>
  <c r="N156" i="5"/>
  <c r="K160" i="5"/>
  <c r="L164" i="5"/>
  <c r="K168" i="5"/>
  <c r="L171" i="5"/>
  <c r="N174" i="5"/>
  <c r="L177" i="5"/>
  <c r="M179" i="5"/>
  <c r="L182" i="5"/>
  <c r="N184" i="5"/>
  <c r="K187" i="5"/>
  <c r="N189" i="5"/>
  <c r="L192" i="5"/>
  <c r="M194" i="5"/>
  <c r="L197" i="5"/>
  <c r="N199" i="5"/>
  <c r="K202" i="5"/>
  <c r="N204" i="5"/>
  <c r="L207" i="5"/>
  <c r="M209" i="5"/>
  <c r="L212" i="5"/>
  <c r="N214" i="5"/>
  <c r="K217" i="5"/>
  <c r="N219" i="5"/>
  <c r="L222" i="5"/>
  <c r="M224" i="5"/>
  <c r="L227" i="5"/>
  <c r="N229" i="5"/>
  <c r="K232" i="5"/>
  <c r="N234" i="5"/>
  <c r="L237" i="5"/>
  <c r="N238" i="5"/>
  <c r="K240" i="5"/>
  <c r="L241" i="5"/>
  <c r="M242" i="5"/>
  <c r="N243" i="5"/>
  <c r="K245" i="5"/>
  <c r="L246" i="5"/>
  <c r="M247" i="5"/>
  <c r="N248" i="5"/>
  <c r="K250" i="5"/>
  <c r="L251" i="5"/>
  <c r="M252" i="5"/>
  <c r="N253" i="5"/>
  <c r="K255" i="5"/>
  <c r="L256" i="5"/>
  <c r="M257" i="5"/>
  <c r="N258" i="5"/>
  <c r="K260" i="5"/>
  <c r="L261" i="5"/>
  <c r="M262" i="5"/>
  <c r="N263" i="5"/>
  <c r="K265" i="5"/>
  <c r="L266" i="5"/>
  <c r="M267" i="5"/>
  <c r="N268" i="5"/>
  <c r="K270" i="5"/>
  <c r="L271" i="5"/>
  <c r="M272" i="5"/>
  <c r="N273" i="5"/>
  <c r="K275" i="5"/>
  <c r="L276" i="5"/>
  <c r="M277" i="5"/>
  <c r="N278" i="5"/>
  <c r="K280" i="5"/>
  <c r="K21" i="5"/>
  <c r="K34" i="5"/>
  <c r="M44" i="5"/>
  <c r="L59" i="5"/>
  <c r="L17" i="5"/>
  <c r="V295" i="5"/>
  <c r="R194" i="5"/>
  <c r="M8" i="5"/>
  <c r="M113" i="5"/>
  <c r="M115" i="5"/>
  <c r="K117" i="5"/>
  <c r="N118" i="5"/>
  <c r="L120" i="5"/>
  <c r="L122" i="5"/>
  <c r="N123" i="5"/>
  <c r="M125" i="5"/>
  <c r="K127" i="5"/>
  <c r="K129" i="5"/>
  <c r="M130" i="5"/>
  <c r="L132" i="5"/>
  <c r="N133" i="5"/>
  <c r="N135" i="5"/>
  <c r="L137" i="5"/>
  <c r="K139" i="5"/>
  <c r="M140" i="5"/>
  <c r="M142" i="5"/>
  <c r="M143" i="5"/>
  <c r="N144" i="5"/>
  <c r="N145" i="5"/>
  <c r="K147" i="5"/>
  <c r="K148" i="5"/>
  <c r="L149" i="5"/>
  <c r="L150" i="5"/>
  <c r="M151" i="5"/>
  <c r="M152" i="5"/>
  <c r="N153" i="5"/>
  <c r="N154" i="5"/>
  <c r="K156" i="5"/>
  <c r="K157" i="5"/>
  <c r="L158" i="5"/>
  <c r="L159" i="5"/>
  <c r="M160" i="5"/>
  <c r="M161" i="5"/>
  <c r="N162" i="5"/>
  <c r="N163" i="5"/>
  <c r="K165" i="5"/>
  <c r="K166" i="5"/>
  <c r="L167" i="5"/>
  <c r="L168" i="5"/>
  <c r="M169" i="5"/>
  <c r="M170" i="5"/>
  <c r="N171" i="5"/>
  <c r="N172" i="5"/>
  <c r="N173" i="5"/>
  <c r="M174" i="5"/>
  <c r="L175" i="5"/>
  <c r="K176" i="5"/>
  <c r="N176" i="5"/>
  <c r="M177" i="5"/>
  <c r="L178" i="5"/>
  <c r="K179" i="5"/>
  <c r="N179" i="5"/>
  <c r="M180" i="5"/>
  <c r="L181" i="5"/>
  <c r="K182" i="5"/>
  <c r="N182" i="5"/>
  <c r="M183" i="5"/>
  <c r="L184" i="5"/>
  <c r="K185" i="5"/>
  <c r="N185" i="5"/>
  <c r="M186" i="5"/>
  <c r="L187" i="5"/>
  <c r="K188" i="5"/>
  <c r="N188" i="5"/>
  <c r="M189" i="5"/>
  <c r="L190" i="5"/>
  <c r="K191" i="5"/>
  <c r="N191" i="5"/>
  <c r="M192" i="5"/>
  <c r="L193" i="5"/>
  <c r="K194" i="5"/>
  <c r="N194" i="5"/>
  <c r="M195" i="5"/>
  <c r="L196" i="5"/>
  <c r="K197" i="5"/>
  <c r="N197" i="5"/>
  <c r="M198" i="5"/>
  <c r="L199" i="5"/>
  <c r="K200" i="5"/>
  <c r="N200" i="5"/>
  <c r="M201" i="5"/>
  <c r="L202" i="5"/>
  <c r="K203" i="5"/>
  <c r="N203" i="5"/>
  <c r="M204" i="5"/>
  <c r="L205" i="5"/>
  <c r="K206" i="5"/>
  <c r="N206" i="5"/>
  <c r="M207" i="5"/>
  <c r="L208" i="5"/>
  <c r="K209" i="5"/>
  <c r="N209" i="5"/>
  <c r="M210" i="5"/>
  <c r="L211" i="5"/>
  <c r="K212" i="5"/>
  <c r="N212" i="5"/>
  <c r="M213" i="5"/>
  <c r="L214" i="5"/>
  <c r="K215" i="5"/>
  <c r="N215" i="5"/>
  <c r="M216" i="5"/>
  <c r="L217" i="5"/>
  <c r="K218" i="5"/>
  <c r="N218" i="5"/>
  <c r="M219" i="5"/>
  <c r="L220" i="5"/>
  <c r="K221" i="5"/>
  <c r="N221" i="5"/>
  <c r="M222" i="5"/>
  <c r="L223" i="5"/>
  <c r="K224" i="5"/>
  <c r="N224" i="5"/>
  <c r="M225" i="5"/>
  <c r="L226" i="5"/>
  <c r="K227" i="5"/>
  <c r="N227" i="5"/>
  <c r="M228" i="5"/>
  <c r="L229" i="5"/>
  <c r="K230" i="5"/>
  <c r="N230" i="5"/>
  <c r="M231" i="5"/>
  <c r="L232" i="5"/>
  <c r="K233" i="5"/>
  <c r="N233" i="5"/>
  <c r="M234" i="5"/>
  <c r="L235" i="5"/>
  <c r="K236" i="5"/>
  <c r="N236" i="5"/>
  <c r="M237" i="5"/>
  <c r="M45" i="6"/>
  <c r="K112" i="5"/>
  <c r="L110" i="5"/>
  <c r="N108" i="5"/>
  <c r="N106" i="5"/>
  <c r="L105" i="5"/>
  <c r="M103" i="5"/>
  <c r="K102" i="5"/>
  <c r="K100" i="5"/>
  <c r="M98" i="5"/>
  <c r="N96" i="5"/>
  <c r="L95" i="5"/>
  <c r="L93" i="5"/>
  <c r="N91" i="5"/>
  <c r="K90" i="5"/>
  <c r="M88" i="5"/>
  <c r="M85" i="5"/>
  <c r="L83" i="5"/>
  <c r="N80" i="5"/>
  <c r="M78" i="5"/>
  <c r="M75" i="5"/>
  <c r="L73" i="5"/>
  <c r="M70" i="5"/>
  <c r="L68" i="5"/>
  <c r="N64" i="5"/>
  <c r="M61" i="5"/>
  <c r="N57" i="5"/>
  <c r="L54" i="5"/>
  <c r="N49" i="5"/>
  <c r="M46" i="5"/>
  <c r="L42" i="5"/>
  <c r="K39" i="5"/>
  <c r="M34" i="5"/>
  <c r="K31" i="5"/>
  <c r="L27" i="5"/>
  <c r="K24" i="5"/>
  <c r="M19" i="5"/>
  <c r="K16" i="5"/>
  <c r="K12" i="5"/>
  <c r="F23" i="19"/>
  <c r="M7" i="5"/>
  <c r="M10" i="5"/>
  <c r="N12" i="5"/>
  <c r="L15" i="5"/>
  <c r="M17" i="5"/>
  <c r="M20" i="5"/>
  <c r="N22" i="5"/>
  <c r="M25" i="5"/>
  <c r="N27" i="5"/>
  <c r="N30" i="5"/>
  <c r="K33" i="5"/>
  <c r="M35" i="5"/>
  <c r="N37" i="5"/>
  <c r="N40" i="5"/>
  <c r="K43" i="5"/>
  <c r="N45" i="5"/>
  <c r="K48" i="5"/>
  <c r="K51" i="5"/>
  <c r="L53" i="5"/>
  <c r="N55" i="5"/>
  <c r="K58" i="5"/>
  <c r="K61" i="5"/>
  <c r="L63" i="5"/>
  <c r="K66" i="5"/>
  <c r="M67" i="5"/>
  <c r="M69" i="5"/>
  <c r="K71" i="5"/>
  <c r="N72" i="5"/>
  <c r="L74" i="5"/>
  <c r="L76" i="5"/>
  <c r="N77" i="5"/>
  <c r="M79" i="5"/>
  <c r="K81" i="5"/>
  <c r="K83" i="5"/>
  <c r="M84" i="5"/>
  <c r="L86" i="5"/>
  <c r="N87" i="5"/>
  <c r="L89" i="5"/>
  <c r="L90" i="5"/>
  <c r="M91" i="5"/>
  <c r="M92" i="5"/>
  <c r="N93" i="5"/>
  <c r="N94" i="5"/>
  <c r="K96" i="5"/>
  <c r="K97" i="5"/>
  <c r="L98" i="5"/>
  <c r="L99" i="5"/>
  <c r="M100" i="5"/>
  <c r="M101" i="5"/>
  <c r="N102" i="5"/>
  <c r="N103" i="5"/>
  <c r="K105" i="5"/>
  <c r="K106" i="5"/>
  <c r="L107" i="5"/>
  <c r="L108" i="5"/>
  <c r="M109" i="5"/>
  <c r="M110" i="5"/>
  <c r="N111" i="5"/>
  <c r="N112" i="5"/>
  <c r="K114" i="5"/>
  <c r="K115" i="5"/>
  <c r="L116" i="5"/>
  <c r="L117" i="5"/>
  <c r="M118" i="5"/>
  <c r="M119" i="5"/>
  <c r="N120" i="5"/>
  <c r="N121" i="5"/>
  <c r="K123" i="5"/>
  <c r="K124" i="5"/>
  <c r="L125" i="5"/>
  <c r="L126" i="5"/>
  <c r="M127" i="5"/>
  <c r="M128" i="5"/>
  <c r="N129" i="5"/>
  <c r="N130" i="5"/>
  <c r="K132" i="5"/>
  <c r="K133" i="5"/>
  <c r="L134" i="5"/>
  <c r="L135" i="5"/>
  <c r="M136" i="5"/>
  <c r="M137" i="5"/>
  <c r="N138" i="5"/>
  <c r="N139" i="5"/>
  <c r="K141" i="5"/>
  <c r="K142" i="5"/>
  <c r="M16" i="5"/>
  <c r="L18" i="5"/>
  <c r="N19" i="5"/>
  <c r="N21" i="5"/>
  <c r="L23" i="5"/>
  <c r="K25" i="5"/>
  <c r="M26" i="5"/>
  <c r="M28" i="5"/>
  <c r="K30" i="5"/>
  <c r="N31" i="5"/>
  <c r="L33" i="5"/>
  <c r="L35" i="5"/>
  <c r="N36" i="5"/>
  <c r="M38" i="5"/>
  <c r="K40" i="5"/>
  <c r="K42" i="5"/>
  <c r="M43" i="5"/>
  <c r="L45" i="5"/>
  <c r="N46" i="5"/>
  <c r="N48" i="5"/>
  <c r="L50" i="5"/>
  <c r="K52" i="5"/>
  <c r="M53" i="5"/>
  <c r="M55" i="5"/>
  <c r="K57" i="5"/>
  <c r="N58" i="5"/>
  <c r="L60" i="5"/>
  <c r="L62" i="5"/>
  <c r="N63" i="5"/>
  <c r="M65" i="5"/>
  <c r="N66" i="5"/>
  <c r="K68" i="5"/>
  <c r="K69" i="5"/>
  <c r="L70" i="5"/>
  <c r="L71" i="5"/>
  <c r="M72" i="5"/>
  <c r="M73" i="5"/>
  <c r="N74" i="5"/>
  <c r="N75" i="5"/>
  <c r="K77" i="5"/>
  <c r="K78" i="5"/>
  <c r="L79" i="5"/>
  <c r="L80" i="5"/>
  <c r="M81" i="5"/>
  <c r="M82" i="5"/>
  <c r="N83" i="5"/>
  <c r="N84" i="5"/>
  <c r="K86" i="5"/>
  <c r="K87" i="5"/>
  <c r="L88" i="5"/>
  <c r="K89" i="5"/>
  <c r="N89" i="5"/>
  <c r="M90" i="5"/>
  <c r="L91" i="5"/>
  <c r="K92" i="5"/>
  <c r="N92" i="5"/>
  <c r="M93" i="5"/>
  <c r="L94" i="5"/>
  <c r="K95" i="5"/>
  <c r="N95" i="5"/>
  <c r="M96" i="5"/>
  <c r="L97" i="5"/>
  <c r="K98" i="5"/>
  <c r="N98" i="5"/>
  <c r="M99" i="5"/>
  <c r="L100" i="5"/>
  <c r="K101" i="5"/>
  <c r="N101" i="5"/>
  <c r="M102" i="5"/>
  <c r="L103" i="5"/>
  <c r="K104" i="5"/>
  <c r="N104" i="5"/>
  <c r="M105" i="5"/>
  <c r="L106" i="5"/>
  <c r="K107" i="5"/>
  <c r="N107" i="5"/>
  <c r="M108" i="5"/>
  <c r="L109" i="5"/>
  <c r="K110" i="5"/>
  <c r="N110" i="5"/>
  <c r="M111" i="5"/>
  <c r="L112" i="5"/>
  <c r="K113" i="5"/>
  <c r="N113" i="5"/>
  <c r="M114" i="5"/>
  <c r="L115" i="5"/>
  <c r="K116" i="5"/>
  <c r="N116" i="5"/>
  <c r="M117" i="5"/>
  <c r="L118" i="5"/>
  <c r="K119" i="5"/>
  <c r="N119" i="5"/>
  <c r="M120" i="5"/>
  <c r="L121" i="5"/>
  <c r="K122" i="5"/>
  <c r="N122" i="5"/>
  <c r="M123" i="5"/>
  <c r="L124" i="5"/>
  <c r="K125" i="5"/>
  <c r="N125" i="5"/>
  <c r="M126" i="5"/>
  <c r="L127" i="5"/>
  <c r="K128" i="5"/>
  <c r="N128" i="5"/>
  <c r="M129" i="5"/>
  <c r="L130" i="5"/>
  <c r="K131" i="5"/>
  <c r="N131" i="5"/>
  <c r="M132" i="5"/>
  <c r="L133" i="5"/>
  <c r="K134" i="5"/>
  <c r="N134" i="5"/>
  <c r="M135" i="5"/>
  <c r="L136" i="5"/>
  <c r="K137" i="5"/>
  <c r="N137" i="5"/>
  <c r="M138" i="5"/>
  <c r="L139" i="5"/>
  <c r="K140" i="5"/>
  <c r="N140" i="5"/>
  <c r="M141" i="5"/>
  <c r="L142" i="5"/>
  <c r="K143" i="5"/>
  <c r="N143" i="5"/>
  <c r="M144" i="5"/>
  <c r="L145" i="5"/>
  <c r="K146" i="5"/>
  <c r="N146" i="5"/>
  <c r="M147" i="5"/>
  <c r="L148" i="5"/>
  <c r="K149" i="5"/>
  <c r="N149" i="5"/>
  <c r="M150" i="5"/>
  <c r="L151" i="5"/>
  <c r="K152" i="5"/>
  <c r="N152" i="5"/>
  <c r="M153" i="5"/>
  <c r="L154" i="5"/>
  <c r="K155" i="5"/>
  <c r="N155" i="5"/>
  <c r="M156" i="5"/>
  <c r="L157" i="5"/>
  <c r="K158" i="5"/>
  <c r="N158" i="5"/>
  <c r="M159" i="5"/>
  <c r="L160" i="5"/>
  <c r="K161" i="5"/>
  <c r="N161" i="5"/>
  <c r="M162" i="5"/>
  <c r="L163" i="5"/>
  <c r="K164" i="5"/>
  <c r="N164" i="5"/>
  <c r="M165" i="5"/>
  <c r="L166" i="5"/>
  <c r="K167" i="5"/>
  <c r="N167" i="5"/>
  <c r="M168" i="5"/>
  <c r="L169" i="5"/>
  <c r="K170" i="5"/>
  <c r="N170" i="5"/>
  <c r="M171" i="5"/>
  <c r="L172" i="5"/>
  <c r="K173" i="5"/>
  <c r="K15" i="5"/>
  <c r="K13" i="5"/>
  <c r="M11" i="5"/>
  <c r="N9" i="5"/>
  <c r="L8" i="5"/>
  <c r="K6" i="5"/>
  <c r="F25" i="19"/>
  <c r="L5" i="5"/>
  <c r="N6" i="5"/>
  <c r="N7" i="5"/>
  <c r="K9" i="5"/>
  <c r="K10" i="5"/>
  <c r="L11" i="5"/>
  <c r="L12" i="5"/>
  <c r="M13" i="5"/>
  <c r="M14" i="5"/>
  <c r="N15" i="5"/>
  <c r="N16" i="5"/>
  <c r="K18" i="5"/>
  <c r="K19" i="5"/>
  <c r="L20" i="5"/>
  <c r="L21" i="5"/>
  <c r="M22" i="5"/>
  <c r="M23" i="5"/>
  <c r="N24" i="5"/>
  <c r="N25" i="5"/>
  <c r="K27" i="5"/>
  <c r="K28" i="5"/>
  <c r="L29" i="5"/>
  <c r="L30" i="5"/>
  <c r="M31" i="5"/>
  <c r="M32" i="5"/>
  <c r="N33" i="5"/>
  <c r="N34" i="5"/>
  <c r="K36" i="5"/>
  <c r="K37" i="5"/>
  <c r="L38" i="5"/>
  <c r="L39" i="5"/>
  <c r="M40" i="5"/>
  <c r="M41" i="5"/>
  <c r="N42" i="5"/>
  <c r="N43" i="5"/>
  <c r="K45" i="5"/>
  <c r="K46" i="5"/>
  <c r="L47" i="5"/>
  <c r="L48" i="5"/>
  <c r="M49" i="5"/>
  <c r="M50" i="5"/>
  <c r="N51" i="5"/>
  <c r="N52" i="5"/>
  <c r="K54" i="5"/>
  <c r="K55" i="5"/>
  <c r="L56" i="5"/>
  <c r="L57" i="5"/>
  <c r="M58" i="5"/>
  <c r="M59" i="5"/>
  <c r="N60" i="5"/>
  <c r="N61" i="5"/>
  <c r="K63" i="5"/>
  <c r="K64" i="5"/>
  <c r="L65" i="5"/>
  <c r="L66" i="5"/>
  <c r="K67" i="5"/>
  <c r="N67" i="5"/>
  <c r="M68" i="5"/>
  <c r="L69" i="5"/>
  <c r="K70" i="5"/>
  <c r="N70" i="5"/>
  <c r="M71" i="5"/>
  <c r="L72" i="5"/>
  <c r="K73" i="5"/>
  <c r="N73" i="5"/>
  <c r="M74" i="5"/>
  <c r="L75" i="5"/>
  <c r="K76" i="5"/>
  <c r="N76" i="5"/>
  <c r="M77" i="5"/>
  <c r="L78" i="5"/>
  <c r="K79" i="5"/>
  <c r="N79" i="5"/>
  <c r="M80" i="5"/>
  <c r="L81" i="5"/>
  <c r="K82" i="5"/>
  <c r="N82" i="5"/>
  <c r="M83" i="5"/>
  <c r="L84" i="5"/>
  <c r="K85" i="5"/>
  <c r="N85" i="5"/>
  <c r="M86" i="5"/>
  <c r="L87" i="5"/>
  <c r="K88" i="5"/>
  <c r="R211" i="5"/>
  <c r="V207" i="5"/>
  <c r="P194" i="5"/>
  <c r="P219" i="5"/>
  <c r="V313" i="5"/>
  <c r="J305" i="5"/>
  <c r="Q305" i="5" s="1"/>
  <c r="R313" i="5"/>
  <c r="R4" i="6"/>
  <c r="V199" i="5"/>
  <c r="L6" i="5"/>
  <c r="F22" i="19"/>
  <c r="F24" i="19"/>
  <c r="K5" i="5"/>
  <c r="N5" i="5"/>
  <c r="M6" i="5"/>
  <c r="L7" i="5"/>
  <c r="K8" i="5"/>
  <c r="N8" i="5"/>
  <c r="M9" i="5"/>
  <c r="L10" i="5"/>
  <c r="K11" i="5"/>
  <c r="N11" i="5"/>
  <c r="M12" i="5"/>
  <c r="L13" i="5"/>
  <c r="K14" i="5"/>
  <c r="N14" i="5"/>
  <c r="M15" i="5"/>
  <c r="L16" i="5"/>
  <c r="K17" i="5"/>
  <c r="N17" i="5"/>
  <c r="M18" i="5"/>
  <c r="L19" i="5"/>
  <c r="K20" i="5"/>
  <c r="N20" i="5"/>
  <c r="M21" i="5"/>
  <c r="L22" i="5"/>
  <c r="K23" i="5"/>
  <c r="N23" i="5"/>
  <c r="M24" i="5"/>
  <c r="L25" i="5"/>
  <c r="K26" i="5"/>
  <c r="N26" i="5"/>
  <c r="M27" i="5"/>
  <c r="L28" i="5"/>
  <c r="K29" i="5"/>
  <c r="N29" i="5"/>
  <c r="M30" i="5"/>
  <c r="L31" i="5"/>
  <c r="K32" i="5"/>
  <c r="N32" i="5"/>
  <c r="M33" i="5"/>
  <c r="L34" i="5"/>
  <c r="K35" i="5"/>
  <c r="N35" i="5"/>
  <c r="M36" i="5"/>
  <c r="L37" i="5"/>
  <c r="K38" i="5"/>
  <c r="N38" i="5"/>
  <c r="M39" i="5"/>
  <c r="L40" i="5"/>
  <c r="K41" i="5"/>
  <c r="N41" i="5"/>
  <c r="M42" i="5"/>
  <c r="L43" i="5"/>
  <c r="K44" i="5"/>
  <c r="N44" i="5"/>
  <c r="M45" i="5"/>
  <c r="L46" i="5"/>
  <c r="K47" i="5"/>
  <c r="N47" i="5"/>
  <c r="M48" i="5"/>
  <c r="L49" i="5"/>
  <c r="K50" i="5"/>
  <c r="N50" i="5"/>
  <c r="M51" i="5"/>
  <c r="L52" i="5"/>
  <c r="K53" i="5"/>
  <c r="N53" i="5"/>
  <c r="M54" i="5"/>
  <c r="L55" i="5"/>
  <c r="K56" i="5"/>
  <c r="N56" i="5"/>
  <c r="M57" i="5"/>
  <c r="L58" i="5"/>
  <c r="K59" i="5"/>
  <c r="N59" i="5"/>
  <c r="M60" i="5"/>
  <c r="L61" i="5"/>
  <c r="K62" i="5"/>
  <c r="N62" i="5"/>
  <c r="M63" i="5"/>
  <c r="L64" i="5"/>
  <c r="K65" i="5"/>
  <c r="N65" i="5"/>
  <c r="R305" i="5"/>
  <c r="P110" i="5"/>
  <c r="P112" i="5"/>
  <c r="V145" i="5"/>
  <c r="R92" i="5"/>
  <c r="P128" i="5"/>
  <c r="V158" i="5"/>
  <c r="V133" i="5"/>
  <c r="V138" i="5"/>
  <c r="V69" i="5"/>
  <c r="O68" i="5"/>
  <c r="O62" i="5"/>
  <c r="R128" i="5"/>
  <c r="V89" i="5"/>
  <c r="J106" i="5"/>
  <c r="Q106" i="5" s="1"/>
  <c r="R148" i="5"/>
  <c r="V86" i="5"/>
  <c r="V166" i="5"/>
  <c r="V128" i="5"/>
  <c r="V110" i="5"/>
  <c r="V81" i="5"/>
  <c r="R110" i="5"/>
  <c r="R269" i="5"/>
  <c r="R108" i="5"/>
  <c r="V144" i="5"/>
  <c r="V206" i="5"/>
  <c r="V242" i="5"/>
  <c r="P165" i="5"/>
  <c r="V248" i="5"/>
  <c r="J229" i="5"/>
  <c r="Q229" i="5" s="1"/>
  <c r="R304" i="5"/>
  <c r="R240" i="5"/>
  <c r="V157" i="5"/>
  <c r="U62" i="5"/>
  <c r="V297" i="5"/>
  <c r="V281" i="5"/>
  <c r="J309" i="5"/>
  <c r="Q309" i="5" s="1"/>
  <c r="J280" i="5"/>
  <c r="Q280" i="5" s="1"/>
  <c r="R182" i="5"/>
  <c r="V214" i="5"/>
  <c r="R288" i="5"/>
  <c r="R281" i="5"/>
  <c r="V72" i="5"/>
  <c r="R107" i="5"/>
  <c r="R125" i="5"/>
  <c r="R248" i="5"/>
  <c r="J296" i="5"/>
  <c r="Q296" i="5" s="1"/>
  <c r="P247" i="5"/>
  <c r="J293" i="5"/>
  <c r="Q293" i="5" s="1"/>
  <c r="V304" i="5"/>
  <c r="J304" i="5"/>
  <c r="Q304" i="5" s="1"/>
  <c r="R188" i="5"/>
  <c r="P243" i="5"/>
  <c r="V212" i="5"/>
  <c r="P231" i="5"/>
  <c r="P248" i="5"/>
  <c r="R236" i="5"/>
  <c r="V228" i="5"/>
  <c r="V241" i="5"/>
  <c r="R292" i="5"/>
  <c r="V203" i="5"/>
  <c r="V315" i="5"/>
  <c r="R141" i="5"/>
  <c r="R228" i="5"/>
  <c r="J88" i="5"/>
  <c r="Q88" i="5" s="1"/>
  <c r="P221" i="5"/>
  <c r="V102" i="5"/>
  <c r="V283" i="5"/>
  <c r="R197" i="5"/>
  <c r="P109" i="5"/>
  <c r="P122" i="5"/>
  <c r="V152" i="5"/>
  <c r="R315" i="5"/>
  <c r="R284" i="5"/>
  <c r="V213" i="5"/>
  <c r="V215" i="5"/>
  <c r="V290" i="5"/>
  <c r="R101" i="5"/>
  <c r="R122" i="5"/>
  <c r="R203" i="5"/>
  <c r="R233" i="5"/>
  <c r="R251" i="5"/>
  <c r="P290" i="5"/>
  <c r="V83" i="5"/>
  <c r="V91" i="5"/>
  <c r="P107" i="5"/>
  <c r="R114" i="5"/>
  <c r="P82" i="5"/>
  <c r="V124" i="5"/>
  <c r="R169" i="5"/>
  <c r="P206" i="5"/>
  <c r="P233" i="5"/>
  <c r="P203" i="5"/>
  <c r="R264" i="5"/>
  <c r="V111" i="5"/>
  <c r="V216" i="5"/>
  <c r="V198" i="5"/>
  <c r="V231" i="5"/>
  <c r="V261" i="5"/>
  <c r="V268" i="5"/>
  <c r="R43" i="6"/>
  <c r="R209" i="5"/>
  <c r="R165" i="5"/>
  <c r="J308" i="5"/>
  <c r="Q308" i="5" s="1"/>
  <c r="P209" i="5"/>
  <c r="P217" i="5"/>
  <c r="J238" i="5"/>
  <c r="Q238" i="5" s="1"/>
  <c r="R300" i="5"/>
  <c r="V266" i="5"/>
  <c r="R280" i="5"/>
  <c r="J303" i="5"/>
  <c r="Q303" i="5" s="1"/>
  <c r="R316" i="5"/>
  <c r="V142" i="5"/>
  <c r="V165" i="5"/>
  <c r="V201" i="5"/>
  <c r="V185" i="5"/>
  <c r="V249" i="5"/>
  <c r="V244" i="5"/>
  <c r="V316" i="5"/>
  <c r="M43" i="6"/>
  <c r="M35" i="6"/>
  <c r="R116" i="5"/>
  <c r="R218" i="5"/>
  <c r="R174" i="5"/>
  <c r="V107" i="5"/>
  <c r="P174" i="5"/>
  <c r="P218" i="5"/>
  <c r="V245" i="5"/>
  <c r="R206" i="5"/>
  <c r="R221" i="5"/>
  <c r="R135" i="5"/>
  <c r="R147" i="5"/>
  <c r="R217" i="5"/>
  <c r="R243" i="5"/>
  <c r="R242" i="5"/>
  <c r="R266" i="5"/>
  <c r="J284" i="5"/>
  <c r="Q284" i="5" s="1"/>
  <c r="P298" i="5"/>
  <c r="P80" i="5"/>
  <c r="P98" i="5"/>
  <c r="R105" i="5"/>
  <c r="P100" i="5"/>
  <c r="V122" i="5"/>
  <c r="R93" i="5"/>
  <c r="P132" i="5"/>
  <c r="V167" i="5"/>
  <c r="R178" i="5"/>
  <c r="R190" i="5"/>
  <c r="P228" i="5"/>
  <c r="V204" i="5"/>
  <c r="P242" i="5"/>
  <c r="P266" i="5"/>
  <c r="R276" i="5"/>
  <c r="R283" i="5"/>
  <c r="V265" i="5"/>
  <c r="J283" i="5"/>
  <c r="Q283" i="5" s="1"/>
  <c r="R290" i="5"/>
  <c r="R306" i="5"/>
  <c r="V84" i="5"/>
  <c r="V221" i="5"/>
  <c r="V174" i="5"/>
  <c r="V188" i="5"/>
  <c r="V208" i="5"/>
  <c r="V233" i="5"/>
  <c r="V243" i="5"/>
  <c r="V284" i="5"/>
  <c r="V230" i="5"/>
  <c r="V280" i="5"/>
  <c r="V255" i="5"/>
  <c r="R14" i="6"/>
  <c r="R35" i="6"/>
  <c r="U68" i="5"/>
  <c r="R89" i="5"/>
  <c r="R104" i="5"/>
  <c r="R119" i="5"/>
  <c r="R212" i="5"/>
  <c r="J125" i="5"/>
  <c r="Q125" i="5" s="1"/>
  <c r="R156" i="5"/>
  <c r="R260" i="5"/>
  <c r="R272" i="5"/>
  <c r="R78" i="5"/>
  <c r="R99" i="5"/>
  <c r="R117" i="5"/>
  <c r="P126" i="5"/>
  <c r="P121" i="5"/>
  <c r="R139" i="5"/>
  <c r="J190" i="5"/>
  <c r="Q190" i="5" s="1"/>
  <c r="J188" i="5"/>
  <c r="Q188" i="5" s="1"/>
  <c r="R225" i="5"/>
  <c r="P212" i="5"/>
  <c r="P230" i="5"/>
  <c r="V314" i="5"/>
  <c r="P281" i="5"/>
  <c r="V77" i="5"/>
  <c r="V125" i="5"/>
  <c r="V181" i="5"/>
  <c r="V195" i="5"/>
  <c r="V205" i="5"/>
  <c r="V187" i="5"/>
  <c r="V218" i="5"/>
  <c r="V179" i="5"/>
  <c r="V252" i="5"/>
  <c r="V270" i="5"/>
  <c r="V272" i="5"/>
  <c r="P305" i="5"/>
  <c r="J310" i="5"/>
  <c r="Q310" i="5" s="1"/>
  <c r="J313" i="5"/>
  <c r="Q313" i="5" s="1"/>
  <c r="J176" i="5"/>
  <c r="Q176" i="5" s="1"/>
  <c r="R159" i="5"/>
  <c r="R205" i="5"/>
  <c r="R230" i="5"/>
  <c r="R245" i="5"/>
  <c r="P294" i="5"/>
  <c r="R123" i="5"/>
  <c r="P127" i="5"/>
  <c r="P245" i="5"/>
  <c r="P257" i="5"/>
  <c r="P272" i="5"/>
  <c r="R294" i="5"/>
  <c r="V126" i="5"/>
  <c r="V234" i="5"/>
  <c r="U70" i="5"/>
  <c r="R95" i="5"/>
  <c r="R126" i="5"/>
  <c r="R132" i="5"/>
  <c r="R177" i="5"/>
  <c r="R208" i="5"/>
  <c r="R231" i="5"/>
  <c r="P282" i="5"/>
  <c r="P89" i="5"/>
  <c r="V113" i="5"/>
  <c r="P104" i="5"/>
  <c r="R175" i="5"/>
  <c r="P208" i="5"/>
  <c r="P205" i="5"/>
  <c r="P240" i="5"/>
  <c r="R246" i="5"/>
  <c r="R282" i="5"/>
  <c r="R302" i="5"/>
  <c r="J257" i="5"/>
  <c r="Q257" i="5" s="1"/>
  <c r="R278" i="5"/>
  <c r="V282" i="5"/>
  <c r="R295" i="5"/>
  <c r="V104" i="5"/>
  <c r="V132" i="5"/>
  <c r="V190" i="5"/>
  <c r="V240" i="5"/>
  <c r="V288" i="5"/>
  <c r="V294" i="5"/>
  <c r="P300" i="5"/>
  <c r="V300" i="5"/>
  <c r="J306" i="5"/>
  <c r="Q306" i="5" s="1"/>
  <c r="V306" i="5"/>
  <c r="R113" i="5"/>
  <c r="R129" i="5"/>
  <c r="P223" i="5"/>
  <c r="R239" i="5"/>
  <c r="R257" i="5"/>
  <c r="R275" i="5"/>
  <c r="J288" i="5"/>
  <c r="Q288" i="5" s="1"/>
  <c r="P312" i="5"/>
  <c r="J115" i="5"/>
  <c r="Q115" i="5" s="1"/>
  <c r="V159" i="5"/>
  <c r="V168" i="5"/>
  <c r="V177" i="5"/>
  <c r="P237" i="5"/>
  <c r="P232" i="5"/>
  <c r="R303" i="5"/>
  <c r="R312" i="5"/>
  <c r="P256" i="5"/>
  <c r="V96" i="5"/>
  <c r="V312" i="5"/>
  <c r="J260" i="5"/>
  <c r="Q260" i="5" s="1"/>
  <c r="P260" i="5"/>
  <c r="P309" i="5"/>
  <c r="R309" i="5"/>
  <c r="P265" i="5"/>
  <c r="R265" i="5"/>
  <c r="J259" i="5"/>
  <c r="Q259" i="5" s="1"/>
  <c r="P259" i="5"/>
  <c r="R259" i="5"/>
  <c r="P244" i="5"/>
  <c r="R244" i="5"/>
  <c r="P267" i="5"/>
  <c r="V267" i="5"/>
  <c r="R267" i="5"/>
  <c r="J213" i="5"/>
  <c r="Q213" i="5" s="1"/>
  <c r="P213" i="5"/>
  <c r="J197" i="5"/>
  <c r="Q197" i="5" s="1"/>
  <c r="P197" i="5"/>
  <c r="J164" i="5"/>
  <c r="Q164" i="5" s="1"/>
  <c r="P164" i="5"/>
  <c r="R164" i="5"/>
  <c r="P235" i="5"/>
  <c r="R235" i="5"/>
  <c r="J225" i="5"/>
  <c r="Q225" i="5" s="1"/>
  <c r="P225" i="5"/>
  <c r="P216" i="5"/>
  <c r="R216" i="5"/>
  <c r="J207" i="5"/>
  <c r="Q207" i="5" s="1"/>
  <c r="R207" i="5"/>
  <c r="J180" i="5"/>
  <c r="Q180" i="5" s="1"/>
  <c r="P180" i="5"/>
  <c r="V180" i="5"/>
  <c r="J169" i="5"/>
  <c r="Q169" i="5" s="1"/>
  <c r="P169" i="5"/>
  <c r="J135" i="5"/>
  <c r="Q135" i="5" s="1"/>
  <c r="P135" i="5"/>
  <c r="J158" i="5"/>
  <c r="Q158" i="5" s="1"/>
  <c r="R158" i="5"/>
  <c r="J145" i="5"/>
  <c r="Q145" i="5" s="1"/>
  <c r="P145" i="5"/>
  <c r="J133" i="5"/>
  <c r="Q133" i="5" s="1"/>
  <c r="P133" i="5"/>
  <c r="J146" i="5"/>
  <c r="Q146" i="5" s="1"/>
  <c r="P146" i="5"/>
  <c r="R146" i="5"/>
  <c r="J138" i="5"/>
  <c r="Q138" i="5" s="1"/>
  <c r="P138" i="5"/>
  <c r="P118" i="5"/>
  <c r="R118" i="5"/>
  <c r="V118" i="5"/>
  <c r="J108" i="5"/>
  <c r="Q108" i="5" s="1"/>
  <c r="P108" i="5"/>
  <c r="P88" i="5"/>
  <c r="R88" i="5"/>
  <c r="R131" i="5"/>
  <c r="P131" i="5"/>
  <c r="P106" i="5"/>
  <c r="R106" i="5"/>
  <c r="J91" i="5"/>
  <c r="Q91" i="5" s="1"/>
  <c r="R91" i="5"/>
  <c r="J82" i="5"/>
  <c r="Q82" i="5" s="1"/>
  <c r="R82" i="5"/>
  <c r="J78" i="5"/>
  <c r="Q78" i="5" s="1"/>
  <c r="P78" i="5"/>
  <c r="P291" i="5"/>
  <c r="R291" i="5"/>
  <c r="V307" i="5"/>
  <c r="O64" i="5"/>
  <c r="O63" i="5"/>
  <c r="R80" i="5"/>
  <c r="R98" i="5"/>
  <c r="R200" i="5"/>
  <c r="R150" i="5"/>
  <c r="R168" i="5"/>
  <c r="J275" i="5"/>
  <c r="Q275" i="5" s="1"/>
  <c r="P302" i="5"/>
  <c r="R87" i="5"/>
  <c r="R90" i="5"/>
  <c r="V98" i="5"/>
  <c r="V134" i="5"/>
  <c r="V161" i="5"/>
  <c r="R151" i="5"/>
  <c r="R160" i="5"/>
  <c r="V237" i="5"/>
  <c r="J250" i="5"/>
  <c r="Q250" i="5" s="1"/>
  <c r="V256" i="5"/>
  <c r="V302" i="5"/>
  <c r="V80" i="5"/>
  <c r="V227" i="5"/>
  <c r="V209" i="5"/>
  <c r="V279" i="5"/>
  <c r="V303" i="5"/>
  <c r="V286" i="5"/>
  <c r="V275" i="5"/>
  <c r="V262" i="5"/>
  <c r="P274" i="5"/>
  <c r="R274" i="5"/>
  <c r="P296" i="5"/>
  <c r="R296" i="5"/>
  <c r="J289" i="5"/>
  <c r="Q289" i="5" s="1"/>
  <c r="P289" i="5"/>
  <c r="R289" i="5"/>
  <c r="P271" i="5"/>
  <c r="R271" i="5"/>
  <c r="V271" i="5"/>
  <c r="J247" i="5"/>
  <c r="Q247" i="5" s="1"/>
  <c r="R247" i="5"/>
  <c r="J241" i="5"/>
  <c r="Q241" i="5" s="1"/>
  <c r="R241" i="5"/>
  <c r="P314" i="5"/>
  <c r="R314" i="5"/>
  <c r="J264" i="5"/>
  <c r="Q264" i="5" s="1"/>
  <c r="P264" i="5"/>
  <c r="P258" i="5"/>
  <c r="R258" i="5"/>
  <c r="P196" i="5"/>
  <c r="R196" i="5"/>
  <c r="V196" i="5"/>
  <c r="J162" i="5"/>
  <c r="Q162" i="5" s="1"/>
  <c r="P162" i="5"/>
  <c r="V162" i="5"/>
  <c r="J195" i="5"/>
  <c r="Q195" i="5" s="1"/>
  <c r="P195" i="5"/>
  <c r="J187" i="5"/>
  <c r="Q187" i="5" s="1"/>
  <c r="P187" i="5"/>
  <c r="J173" i="5"/>
  <c r="Q173" i="5" s="1"/>
  <c r="R173" i="5"/>
  <c r="P173" i="5"/>
  <c r="P179" i="5"/>
  <c r="R179" i="5"/>
  <c r="J156" i="5"/>
  <c r="Q156" i="5" s="1"/>
  <c r="P156" i="5"/>
  <c r="P152" i="5"/>
  <c r="R152" i="5"/>
  <c r="J137" i="5"/>
  <c r="Q137" i="5" s="1"/>
  <c r="P137" i="5"/>
  <c r="R137" i="5"/>
  <c r="J123" i="5"/>
  <c r="Q123" i="5" s="1"/>
  <c r="P123" i="5"/>
  <c r="J109" i="5"/>
  <c r="Q109" i="5" s="1"/>
  <c r="R109" i="5"/>
  <c r="J92" i="5"/>
  <c r="Q92" i="5" s="1"/>
  <c r="P92" i="5"/>
  <c r="J83" i="5"/>
  <c r="Q83" i="5" s="1"/>
  <c r="P83" i="5"/>
  <c r="J117" i="5"/>
  <c r="Q117" i="5" s="1"/>
  <c r="P117" i="5"/>
  <c r="J105" i="5"/>
  <c r="Q105" i="5" s="1"/>
  <c r="P105" i="5"/>
  <c r="J95" i="5"/>
  <c r="Q95" i="5" s="1"/>
  <c r="P95" i="5"/>
  <c r="P130" i="5"/>
  <c r="R130" i="5"/>
  <c r="V130" i="5"/>
  <c r="J121" i="5"/>
  <c r="Q121" i="5" s="1"/>
  <c r="R121" i="5"/>
  <c r="J114" i="5"/>
  <c r="Q114" i="5" s="1"/>
  <c r="P114" i="5"/>
  <c r="J99" i="5"/>
  <c r="Q99" i="5" s="1"/>
  <c r="P99" i="5"/>
  <c r="J298" i="5"/>
  <c r="Q298" i="5" s="1"/>
  <c r="R298" i="5"/>
  <c r="V274" i="5"/>
  <c r="J315" i="5"/>
  <c r="Q315" i="5" s="1"/>
  <c r="J295" i="5"/>
  <c r="Q295" i="5" s="1"/>
  <c r="R153" i="5"/>
  <c r="J292" i="5"/>
  <c r="Q292" i="5" s="1"/>
  <c r="J256" i="5"/>
  <c r="Q256" i="5" s="1"/>
  <c r="J277" i="5"/>
  <c r="Q277" i="5" s="1"/>
  <c r="P76" i="5"/>
  <c r="R76" i="5" s="1"/>
  <c r="V76" i="5"/>
  <c r="P279" i="5"/>
  <c r="R279" i="5"/>
  <c r="J273" i="5"/>
  <c r="Q273" i="5" s="1"/>
  <c r="P273" i="5"/>
  <c r="R273" i="5"/>
  <c r="J252" i="5"/>
  <c r="Q252" i="5" s="1"/>
  <c r="P252" i="5"/>
  <c r="R301" i="5"/>
  <c r="P301" i="5"/>
  <c r="J270" i="5"/>
  <c r="Q270" i="5" s="1"/>
  <c r="P270" i="5"/>
  <c r="J246" i="5"/>
  <c r="Q246" i="5" s="1"/>
  <c r="P246" i="5"/>
  <c r="J224" i="5"/>
  <c r="Q224" i="5" s="1"/>
  <c r="R224" i="5"/>
  <c r="P224" i="5"/>
  <c r="J263" i="5"/>
  <c r="Q263" i="5" s="1"/>
  <c r="P263" i="5"/>
  <c r="P229" i="5"/>
  <c r="R229" i="5"/>
  <c r="J278" i="5"/>
  <c r="Q278" i="5" s="1"/>
  <c r="P278" i="5"/>
  <c r="J204" i="5"/>
  <c r="Q204" i="5" s="1"/>
  <c r="R204" i="5"/>
  <c r="J185" i="5"/>
  <c r="Q185" i="5" s="1"/>
  <c r="P185" i="5"/>
  <c r="J201" i="5"/>
  <c r="Q201" i="5" s="1"/>
  <c r="P201" i="5"/>
  <c r="P193" i="5"/>
  <c r="R193" i="5"/>
  <c r="J178" i="5"/>
  <c r="Q178" i="5" s="1"/>
  <c r="P178" i="5"/>
  <c r="J172" i="5"/>
  <c r="Q172" i="5" s="1"/>
  <c r="P172" i="5"/>
  <c r="J160" i="5"/>
  <c r="Q160" i="5" s="1"/>
  <c r="P160" i="5"/>
  <c r="J211" i="5"/>
  <c r="Q211" i="5" s="1"/>
  <c r="P211" i="5"/>
  <c r="R186" i="5"/>
  <c r="P186" i="5"/>
  <c r="J148" i="5"/>
  <c r="Q148" i="5" s="1"/>
  <c r="P148" i="5"/>
  <c r="J154" i="5"/>
  <c r="Q154" i="5" s="1"/>
  <c r="P154" i="5"/>
  <c r="J142" i="5"/>
  <c r="Q142" i="5" s="1"/>
  <c r="P142" i="5"/>
  <c r="P143" i="5"/>
  <c r="R143" i="5"/>
  <c r="P124" i="5"/>
  <c r="R124" i="5"/>
  <c r="P115" i="5"/>
  <c r="R115" i="5"/>
  <c r="P94" i="5"/>
  <c r="R94" i="5" s="1"/>
  <c r="V94" i="5"/>
  <c r="J86" i="5"/>
  <c r="Q86" i="5" s="1"/>
  <c r="P86" i="5"/>
  <c r="J129" i="5"/>
  <c r="Q129" i="5" s="1"/>
  <c r="P129" i="5"/>
  <c r="J96" i="5"/>
  <c r="Q96" i="5" s="1"/>
  <c r="P96" i="5"/>
  <c r="J77" i="5"/>
  <c r="Q77" i="5" s="1"/>
  <c r="P77" i="5"/>
  <c r="R77" i="5" s="1"/>
  <c r="V235" i="5"/>
  <c r="R237" i="5"/>
  <c r="P220" i="5"/>
  <c r="V141" i="5"/>
  <c r="V220" i="5"/>
  <c r="P307" i="5"/>
  <c r="R307" i="5"/>
  <c r="P238" i="5"/>
  <c r="R238" i="5"/>
  <c r="R287" i="5"/>
  <c r="P287" i="5"/>
  <c r="J249" i="5"/>
  <c r="Q249" i="5" s="1"/>
  <c r="P249" i="5"/>
  <c r="J223" i="5"/>
  <c r="Q223" i="5" s="1"/>
  <c r="R223" i="5"/>
  <c r="J251" i="5"/>
  <c r="Q251" i="5" s="1"/>
  <c r="P251" i="5"/>
  <c r="J215" i="5"/>
  <c r="Q215" i="5" s="1"/>
  <c r="P215" i="5"/>
  <c r="P210" i="5"/>
  <c r="R210" i="5"/>
  <c r="V210" i="5"/>
  <c r="P202" i="5"/>
  <c r="R202" i="5"/>
  <c r="J175" i="5"/>
  <c r="Q175" i="5" s="1"/>
  <c r="P175" i="5"/>
  <c r="P170" i="5"/>
  <c r="R170" i="5"/>
  <c r="J232" i="5"/>
  <c r="Q232" i="5" s="1"/>
  <c r="R232" i="5"/>
  <c r="J210" i="5"/>
  <c r="Q210" i="5" s="1"/>
  <c r="J199" i="5"/>
  <c r="Q199" i="5" s="1"/>
  <c r="R199" i="5"/>
  <c r="R192" i="5"/>
  <c r="V192" i="5"/>
  <c r="P192" i="5"/>
  <c r="J184" i="5"/>
  <c r="Q184" i="5" s="1"/>
  <c r="P184" i="5"/>
  <c r="J139" i="5"/>
  <c r="Q139" i="5" s="1"/>
  <c r="P139" i="5"/>
  <c r="J166" i="5"/>
  <c r="Q166" i="5" s="1"/>
  <c r="P166" i="5"/>
  <c r="P134" i="5"/>
  <c r="R134" i="5"/>
  <c r="P97" i="5"/>
  <c r="R97" i="5"/>
  <c r="J90" i="5"/>
  <c r="Q90" i="5" s="1"/>
  <c r="P90" i="5"/>
  <c r="J102" i="5"/>
  <c r="Q102" i="5" s="1"/>
  <c r="P102" i="5"/>
  <c r="P85" i="5"/>
  <c r="R85" i="5"/>
  <c r="V85" i="5"/>
  <c r="J127" i="5"/>
  <c r="Q127" i="5" s="1"/>
  <c r="R127" i="5"/>
  <c r="J112" i="5"/>
  <c r="Q112" i="5" s="1"/>
  <c r="R112" i="5"/>
  <c r="V301" i="5"/>
  <c r="V258" i="5"/>
  <c r="P277" i="5"/>
  <c r="R277" i="5"/>
  <c r="J234" i="5"/>
  <c r="Q234" i="5" s="1"/>
  <c r="P234" i="5"/>
  <c r="P311" i="5"/>
  <c r="R311" i="5"/>
  <c r="P299" i="5"/>
  <c r="V299" i="5"/>
  <c r="R299" i="5"/>
  <c r="R293" i="5"/>
  <c r="P293" i="5"/>
  <c r="P268" i="5"/>
  <c r="R268" i="5"/>
  <c r="P253" i="5"/>
  <c r="R253" i="5"/>
  <c r="V253" i="5"/>
  <c r="J261" i="5"/>
  <c r="Q261" i="5" s="1"/>
  <c r="P261" i="5"/>
  <c r="P222" i="5"/>
  <c r="R222" i="5"/>
  <c r="P262" i="5"/>
  <c r="R262" i="5"/>
  <c r="P250" i="5"/>
  <c r="R250" i="5"/>
  <c r="J200" i="5"/>
  <c r="Q200" i="5" s="1"/>
  <c r="P200" i="5"/>
  <c r="J191" i="5"/>
  <c r="Q191" i="5" s="1"/>
  <c r="P191" i="5"/>
  <c r="P183" i="5"/>
  <c r="R183" i="5"/>
  <c r="J157" i="5"/>
  <c r="Q157" i="5" s="1"/>
  <c r="P157" i="5"/>
  <c r="J198" i="5"/>
  <c r="Q198" i="5" s="1"/>
  <c r="P198" i="5"/>
  <c r="J155" i="5"/>
  <c r="Q155" i="5" s="1"/>
  <c r="P155" i="5"/>
  <c r="R155" i="5"/>
  <c r="J227" i="5"/>
  <c r="Q227" i="5" s="1"/>
  <c r="P227" i="5"/>
  <c r="J183" i="5"/>
  <c r="Q183" i="5" s="1"/>
  <c r="R176" i="5"/>
  <c r="P176" i="5"/>
  <c r="P161" i="5"/>
  <c r="R161" i="5"/>
  <c r="J153" i="5"/>
  <c r="Q153" i="5" s="1"/>
  <c r="P153" i="5"/>
  <c r="J163" i="5"/>
  <c r="Q163" i="5" s="1"/>
  <c r="P163" i="5"/>
  <c r="J151" i="5"/>
  <c r="Q151" i="5" s="1"/>
  <c r="P151" i="5"/>
  <c r="J136" i="5"/>
  <c r="Q136" i="5" s="1"/>
  <c r="P136" i="5"/>
  <c r="J149" i="5"/>
  <c r="Q149" i="5" s="1"/>
  <c r="P149" i="5"/>
  <c r="R149" i="5"/>
  <c r="J87" i="5"/>
  <c r="Q87" i="5" s="1"/>
  <c r="P87" i="5"/>
  <c r="J120" i="5"/>
  <c r="Q120" i="5" s="1"/>
  <c r="P120" i="5"/>
  <c r="J100" i="5"/>
  <c r="Q100" i="5" s="1"/>
  <c r="R100" i="5"/>
  <c r="P79" i="5"/>
  <c r="R79" i="5"/>
  <c r="V79" i="5"/>
  <c r="O71" i="5"/>
  <c r="U63" i="5"/>
  <c r="R220" i="5"/>
  <c r="R254" i="5"/>
  <c r="P286" i="5"/>
  <c r="P316" i="5"/>
  <c r="J97" i="5"/>
  <c r="Q97" i="5" s="1"/>
  <c r="P113" i="5"/>
  <c r="R120" i="5"/>
  <c r="P141" i="5"/>
  <c r="P150" i="5"/>
  <c r="P159" i="5"/>
  <c r="P168" i="5"/>
  <c r="P177" i="5"/>
  <c r="J143" i="5"/>
  <c r="Q143" i="5" s="1"/>
  <c r="J170" i="5"/>
  <c r="Q170" i="5" s="1"/>
  <c r="R191" i="5"/>
  <c r="P254" i="5"/>
  <c r="V202" i="5"/>
  <c r="P239" i="5"/>
  <c r="V292" i="5"/>
  <c r="J311" i="5"/>
  <c r="Q311" i="5" s="1"/>
  <c r="R286" i="5"/>
  <c r="V150" i="5"/>
  <c r="V155" i="5"/>
  <c r="V172" i="5"/>
  <c r="V136" i="5"/>
  <c r="V154" i="5"/>
  <c r="V163" i="5"/>
  <c r="V184" i="5"/>
  <c r="V193" i="5"/>
  <c r="V222" i="5"/>
  <c r="V239" i="5"/>
  <c r="V186" i="5"/>
  <c r="V263" i="5"/>
  <c r="V217" i="5"/>
  <c r="V254" i="5"/>
  <c r="V287" i="5"/>
  <c r="P297" i="5"/>
  <c r="R297" i="5"/>
  <c r="J276" i="5"/>
  <c r="Q276" i="5" s="1"/>
  <c r="P276" i="5"/>
  <c r="J269" i="5"/>
  <c r="Q269" i="5" s="1"/>
  <c r="P269" i="5"/>
  <c r="J255" i="5"/>
  <c r="Q255" i="5" s="1"/>
  <c r="P255" i="5"/>
  <c r="J285" i="5"/>
  <c r="Q285" i="5" s="1"/>
  <c r="P285" i="5"/>
  <c r="R285" i="5"/>
  <c r="P310" i="5"/>
  <c r="R310" i="5"/>
  <c r="P226" i="5"/>
  <c r="V226" i="5"/>
  <c r="R226" i="5"/>
  <c r="J214" i="5"/>
  <c r="Q214" i="5" s="1"/>
  <c r="R214" i="5"/>
  <c r="J181" i="5"/>
  <c r="Q181" i="5" s="1"/>
  <c r="P181" i="5"/>
  <c r="J167" i="5"/>
  <c r="Q167" i="5" s="1"/>
  <c r="R167" i="5"/>
  <c r="J182" i="5"/>
  <c r="Q182" i="5" s="1"/>
  <c r="P182" i="5"/>
  <c r="J236" i="5"/>
  <c r="Q236" i="5" s="1"/>
  <c r="P236" i="5"/>
  <c r="J226" i="5"/>
  <c r="Q226" i="5" s="1"/>
  <c r="J219" i="5"/>
  <c r="Q219" i="5" s="1"/>
  <c r="R219" i="5"/>
  <c r="J196" i="5"/>
  <c r="Q196" i="5" s="1"/>
  <c r="R189" i="5"/>
  <c r="V189" i="5"/>
  <c r="P189" i="5"/>
  <c r="J144" i="5"/>
  <c r="Q144" i="5" s="1"/>
  <c r="P144" i="5"/>
  <c r="J171" i="5"/>
  <c r="Q171" i="5" s="1"/>
  <c r="P171" i="5"/>
  <c r="V171" i="5"/>
  <c r="J147" i="5"/>
  <c r="Q147" i="5" s="1"/>
  <c r="P147" i="5"/>
  <c r="J140" i="5"/>
  <c r="Q140" i="5" s="1"/>
  <c r="P140" i="5"/>
  <c r="R140" i="5"/>
  <c r="J119" i="5"/>
  <c r="Q119" i="5" s="1"/>
  <c r="P119" i="5"/>
  <c r="J111" i="5"/>
  <c r="Q111" i="5" s="1"/>
  <c r="P111" i="5"/>
  <c r="P103" i="5"/>
  <c r="R103" i="5"/>
  <c r="V103" i="5"/>
  <c r="J94" i="5"/>
  <c r="Q94" i="5" s="1"/>
  <c r="J85" i="5"/>
  <c r="Q85" i="5" s="1"/>
  <c r="J81" i="5"/>
  <c r="Q81" i="5" s="1"/>
  <c r="P81" i="5"/>
  <c r="R81" i="5" s="1"/>
  <c r="J116" i="5"/>
  <c r="Q116" i="5" s="1"/>
  <c r="P116" i="5"/>
  <c r="J101" i="5"/>
  <c r="Q101" i="5" s="1"/>
  <c r="P101" i="5"/>
  <c r="J93" i="5"/>
  <c r="Q93" i="5" s="1"/>
  <c r="P93" i="5"/>
  <c r="J84" i="5"/>
  <c r="Q84" i="5" s="1"/>
  <c r="P84" i="5"/>
  <c r="R84" i="5" s="1"/>
  <c r="P308" i="5"/>
  <c r="R308" i="5"/>
  <c r="J299" i="5"/>
  <c r="Q299" i="5" s="1"/>
  <c r="V291" i="5"/>
  <c r="P75" i="5"/>
  <c r="R75" i="5"/>
  <c r="V75" i="5"/>
  <c r="P74" i="5"/>
  <c r="R74" i="5"/>
  <c r="V74" i="5"/>
  <c r="O9" i="5"/>
  <c r="G8" i="19"/>
  <c r="D8" i="19"/>
  <c r="C9" i="19"/>
  <c r="O15" i="1"/>
  <c r="I15" i="1"/>
  <c r="J15" i="1"/>
  <c r="K15" i="1"/>
  <c r="L15" i="1"/>
  <c r="M15" i="1"/>
  <c r="E15" i="1"/>
  <c r="F15" i="1"/>
  <c r="A16" i="1"/>
  <c r="O65" i="5"/>
  <c r="U69" i="5"/>
  <c r="U71" i="5"/>
  <c r="O66" i="5"/>
  <c r="O67" i="5"/>
  <c r="O69" i="5"/>
  <c r="O70" i="5"/>
  <c r="O72" i="5"/>
  <c r="O61" i="5"/>
  <c r="U66" i="5"/>
  <c r="U65" i="5"/>
  <c r="U72" i="5"/>
  <c r="U61" i="5"/>
  <c r="M53" i="6"/>
  <c r="M44" i="6"/>
  <c r="R8" i="6"/>
  <c r="J69" i="5"/>
  <c r="Q69" i="5" s="1"/>
  <c r="J72" i="5"/>
  <c r="Q72" i="5" s="1"/>
  <c r="P62" i="5"/>
  <c r="R62" i="5"/>
  <c r="V62" i="5"/>
  <c r="P61" i="5"/>
  <c r="R61" i="5" s="1"/>
  <c r="V61" i="5"/>
  <c r="V64" i="5"/>
  <c r="P64" i="5"/>
  <c r="R64" i="5" s="1"/>
  <c r="V67" i="5"/>
  <c r="P67" i="5"/>
  <c r="R67" i="5"/>
  <c r="V70" i="5"/>
  <c r="P70" i="5"/>
  <c r="R70" i="5"/>
  <c r="P73" i="5"/>
  <c r="R73" i="5"/>
  <c r="V73" i="5"/>
  <c r="V65" i="5"/>
  <c r="P65" i="5"/>
  <c r="R65" i="5" s="1"/>
  <c r="R68" i="5"/>
  <c r="V68" i="5"/>
  <c r="P68" i="5"/>
  <c r="R71" i="5"/>
  <c r="V71" i="5"/>
  <c r="P71" i="5"/>
  <c r="P63" i="5"/>
  <c r="R63" i="5" s="1"/>
  <c r="P66" i="5"/>
  <c r="R66" i="5"/>
  <c r="V66" i="5"/>
  <c r="P69" i="5"/>
  <c r="R69" i="5"/>
  <c r="P72" i="5"/>
  <c r="R72" i="5"/>
  <c r="V63" i="5"/>
  <c r="V10" i="5"/>
  <c r="V42" i="5"/>
  <c r="V14" i="5"/>
  <c r="V26" i="5"/>
  <c r="N52" i="6"/>
  <c r="V31" i="5"/>
  <c r="V22" i="5"/>
  <c r="V30" i="5"/>
  <c r="V58" i="5"/>
  <c r="R42" i="5"/>
  <c r="V4" i="5"/>
  <c r="V47" i="5"/>
  <c r="V18" i="5"/>
  <c r="V38" i="5"/>
  <c r="V55" i="5"/>
  <c r="R30" i="5"/>
  <c r="V5" i="5"/>
  <c r="V32" i="5"/>
  <c r="V16" i="5"/>
  <c r="V20" i="5"/>
  <c r="V28" i="5"/>
  <c r="V44" i="5"/>
  <c r="V19" i="5"/>
  <c r="V8" i="5"/>
  <c r="R55" i="5"/>
  <c r="V29" i="5"/>
  <c r="R31" i="5"/>
  <c r="V7" i="5"/>
  <c r="V23" i="5"/>
  <c r="V15" i="5"/>
  <c r="V12" i="5"/>
  <c r="V35" i="5"/>
  <c r="R35" i="5"/>
  <c r="R16" i="5"/>
  <c r="V11" i="5"/>
  <c r="V24" i="5"/>
  <c r="R8" i="5"/>
  <c r="V59" i="5"/>
  <c r="V33" i="5"/>
  <c r="V25" i="5"/>
  <c r="R51" i="5"/>
  <c r="V9" i="5"/>
  <c r="R21" i="5"/>
  <c r="V45" i="5"/>
  <c r="V41" i="5"/>
  <c r="V49" i="5"/>
  <c r="V17" i="5"/>
  <c r="V53" i="5"/>
  <c r="V52" i="5"/>
  <c r="R58" i="5"/>
  <c r="R6" i="6"/>
  <c r="R44" i="6"/>
  <c r="R44" i="5"/>
  <c r="V36" i="5"/>
  <c r="V40" i="5"/>
  <c r="V48" i="5"/>
  <c r="R32" i="5"/>
  <c r="V54" i="5"/>
  <c r="R40" i="5"/>
  <c r="R52" i="5"/>
  <c r="R56" i="5"/>
  <c r="V56" i="5"/>
  <c r="V13" i="5"/>
  <c r="R41" i="5"/>
  <c r="V37" i="5"/>
  <c r="V39" i="5"/>
  <c r="R53" i="5"/>
  <c r="V46" i="5"/>
  <c r="V34" i="5"/>
  <c r="V43" i="5"/>
  <c r="V50" i="5"/>
  <c r="R38" i="5"/>
  <c r="R34" i="5"/>
  <c r="R39" i="5"/>
  <c r="R26" i="5"/>
  <c r="R45" i="6"/>
  <c r="M14" i="6"/>
  <c r="R10" i="6"/>
  <c r="M13" i="6"/>
  <c r="R13" i="6"/>
  <c r="M10" i="6"/>
  <c r="V21" i="5"/>
  <c r="V60" i="5"/>
  <c r="R24" i="6"/>
  <c r="O64" i="6"/>
  <c r="O65" i="6" s="1"/>
  <c r="V6" i="5"/>
  <c r="M6" i="6"/>
  <c r="Q62" i="6"/>
  <c r="V27" i="5"/>
  <c r="V51" i="5"/>
  <c r="V57" i="5"/>
  <c r="R52" i="6"/>
  <c r="P9" i="5"/>
  <c r="R9" i="5" s="1"/>
  <c r="N24" i="6"/>
  <c r="R53" i="6"/>
  <c r="O59" i="6"/>
  <c r="O60" i="6" s="1"/>
  <c r="R2" i="6"/>
  <c r="J67" i="6"/>
  <c r="J68" i="6"/>
  <c r="J69" i="6" s="1"/>
  <c r="Q2" i="6"/>
  <c r="Q57" i="6"/>
  <c r="U38" i="5"/>
  <c r="U30" i="5"/>
  <c r="U49" i="5"/>
  <c r="U59" i="5"/>
  <c r="U10" i="5"/>
  <c r="U46" i="5"/>
  <c r="U7" i="5"/>
  <c r="U25" i="5"/>
  <c r="U42" i="5"/>
  <c r="U57" i="5"/>
  <c r="U23" i="5"/>
  <c r="U53" i="5"/>
  <c r="U6" i="5"/>
  <c r="U22" i="5"/>
  <c r="U26" i="5"/>
  <c r="U32" i="5"/>
  <c r="U52" i="5"/>
  <c r="U50" i="5"/>
  <c r="U60" i="5"/>
  <c r="U24" i="5"/>
  <c r="U45" i="5"/>
  <c r="U47" i="5"/>
  <c r="U21" i="5"/>
  <c r="U27" i="5"/>
  <c r="U55" i="5"/>
  <c r="U14" i="5"/>
  <c r="U11" i="5"/>
  <c r="U36" i="5"/>
  <c r="U58" i="5"/>
  <c r="U51" i="5"/>
  <c r="U37" i="5"/>
  <c r="U8" i="5"/>
  <c r="U39" i="5"/>
  <c r="U12" i="5"/>
  <c r="U35" i="5"/>
  <c r="U5" i="5"/>
  <c r="U44" i="5"/>
  <c r="U40" i="5"/>
  <c r="U48" i="5"/>
  <c r="U33" i="5"/>
  <c r="U29" i="5"/>
  <c r="U31" i="5"/>
  <c r="U56" i="5"/>
  <c r="U54" i="5"/>
  <c r="U13" i="5"/>
  <c r="U28" i="5"/>
  <c r="U43" i="5"/>
  <c r="U20" i="5"/>
  <c r="U19" i="5"/>
  <c r="U17" i="5"/>
  <c r="U34" i="5"/>
  <c r="U41" i="5"/>
  <c r="U16" i="5"/>
  <c r="U15" i="5"/>
  <c r="O38" i="5"/>
  <c r="O47" i="5"/>
  <c r="O32" i="5"/>
  <c r="O48" i="5"/>
  <c r="O33" i="5"/>
  <c r="O49" i="5"/>
  <c r="O34" i="5"/>
  <c r="O52" i="5"/>
  <c r="O23" i="5"/>
  <c r="O29" i="5"/>
  <c r="O59" i="5"/>
  <c r="O37" i="5"/>
  <c r="O44" i="5"/>
  <c r="O11" i="5"/>
  <c r="O21" i="5"/>
  <c r="O58" i="5"/>
  <c r="O20" i="5"/>
  <c r="O53" i="5"/>
  <c r="O7" i="5"/>
  <c r="O51" i="5"/>
  <c r="O4" i="5"/>
  <c r="O27" i="5"/>
  <c r="O54" i="5"/>
  <c r="O18" i="5"/>
  <c r="O28" i="5"/>
  <c r="O57" i="5"/>
  <c r="O10" i="5"/>
  <c r="O30" i="5"/>
  <c r="O55" i="5"/>
  <c r="O14" i="5"/>
  <c r="O43" i="5"/>
  <c r="O36" i="5"/>
  <c r="O50" i="5"/>
  <c r="O6" i="5"/>
  <c r="O45" i="5"/>
  <c r="O5" i="5"/>
  <c r="O15" i="5"/>
  <c r="O60" i="5"/>
  <c r="O19" i="5"/>
  <c r="O22" i="5"/>
  <c r="O25" i="5"/>
  <c r="O39" i="5"/>
  <c r="O12" i="5"/>
  <c r="O41" i="5"/>
  <c r="O13" i="5"/>
  <c r="O42" i="5"/>
  <c r="O35" i="5"/>
  <c r="O16" i="5"/>
  <c r="O24" i="5"/>
  <c r="O40" i="5"/>
  <c r="O56" i="5"/>
  <c r="O26" i="5"/>
  <c r="O8" i="5"/>
  <c r="O31" i="5"/>
  <c r="O46" i="5"/>
  <c r="O17" i="5"/>
  <c r="P60" i="5"/>
  <c r="R60" i="5" s="1"/>
  <c r="P48" i="5"/>
  <c r="R48" i="5" s="1"/>
  <c r="P41" i="5"/>
  <c r="P42" i="5"/>
  <c r="P29" i="5"/>
  <c r="R29" i="5" s="1"/>
  <c r="P44" i="5"/>
  <c r="P26" i="5"/>
  <c r="P53" i="5"/>
  <c r="P38" i="5"/>
  <c r="P54" i="5"/>
  <c r="R54" i="5" s="1"/>
  <c r="P49" i="5"/>
  <c r="R49" i="5" s="1"/>
  <c r="P52" i="5"/>
  <c r="P43" i="5"/>
  <c r="R43" i="5" s="1"/>
  <c r="P50" i="5"/>
  <c r="R50" i="5" s="1"/>
  <c r="P21" i="5"/>
  <c r="P31" i="5"/>
  <c r="P7" i="5"/>
  <c r="R7" i="5" s="1"/>
  <c r="P57" i="5"/>
  <c r="R57" i="5" s="1"/>
  <c r="P55" i="5"/>
  <c r="P16" i="5"/>
  <c r="P56" i="5"/>
  <c r="P45" i="5"/>
  <c r="R45" i="5" s="1"/>
  <c r="P19" i="5"/>
  <c r="R19" i="5" s="1"/>
  <c r="P20" i="5"/>
  <c r="R20" i="5" s="1"/>
  <c r="P22" i="5"/>
  <c r="R22" i="5" s="1"/>
  <c r="P59" i="5"/>
  <c r="R59" i="5" s="1"/>
  <c r="P8" i="5"/>
  <c r="P15" i="5"/>
  <c r="R15" i="5" s="1"/>
  <c r="P47" i="5"/>
  <c r="R47" i="5" s="1"/>
  <c r="P25" i="5"/>
  <c r="R25" i="5" s="1"/>
  <c r="P18" i="5"/>
  <c r="R18" i="5" s="1"/>
  <c r="P10" i="5"/>
  <c r="R10" i="5" s="1"/>
  <c r="P24" i="5"/>
  <c r="R24" i="5" s="1"/>
  <c r="P58" i="5"/>
  <c r="P46" i="5"/>
  <c r="R46" i="5" s="1"/>
  <c r="P51" i="5"/>
  <c r="P32" i="5"/>
  <c r="P12" i="5"/>
  <c r="R12" i="5" s="1"/>
  <c r="P13" i="5"/>
  <c r="R13" i="5" s="1"/>
  <c r="P23" i="5"/>
  <c r="R23" i="5" s="1"/>
  <c r="P37" i="5"/>
  <c r="R37" i="5" s="1"/>
  <c r="P27" i="5"/>
  <c r="R27" i="5" s="1"/>
  <c r="P33" i="5"/>
  <c r="R33" i="5" s="1"/>
  <c r="P34" i="5"/>
  <c r="P14" i="5"/>
  <c r="R14" i="5" s="1"/>
  <c r="P36" i="5"/>
  <c r="R36" i="5" s="1"/>
  <c r="P11" i="5"/>
  <c r="R11" i="5" s="1"/>
  <c r="P39" i="5"/>
  <c r="P28" i="5"/>
  <c r="R28" i="5" s="1"/>
  <c r="P30" i="5"/>
  <c r="P35" i="5"/>
  <c r="P40" i="5"/>
  <c r="P6" i="5"/>
  <c r="R6" i="5" s="1"/>
  <c r="P17" i="5"/>
  <c r="R17" i="5" s="1"/>
  <c r="C2" i="4"/>
  <c r="J2" i="4" s="1"/>
  <c r="C3" i="4"/>
  <c r="B2" i="4"/>
  <c r="F4" i="12" s="1"/>
  <c r="Q249" i="23"/>
  <c r="Y249" i="23"/>
  <c r="X249" i="23"/>
  <c r="R249" i="23"/>
  <c r="K249" i="23"/>
  <c r="Z249" i="23"/>
  <c r="L251" i="23"/>
  <c r="T249" i="23"/>
  <c r="Y251" i="23"/>
  <c r="T251" i="23"/>
  <c r="S251" i="23"/>
  <c r="F251" i="23"/>
  <c r="I251" i="23"/>
  <c r="Q251" i="23"/>
  <c r="X251" i="23"/>
  <c r="D251" i="23"/>
  <c r="O249" i="23"/>
  <c r="R251" i="23"/>
  <c r="W249" i="23"/>
  <c r="P249" i="23"/>
  <c r="N251" i="23"/>
  <c r="V251" i="23"/>
  <c r="H251" i="23"/>
  <c r="K251" i="23"/>
  <c r="E251" i="23"/>
  <c r="S249" i="23"/>
  <c r="M249" i="23"/>
  <c r="V249" i="23"/>
  <c r="AB250" i="23" a="1"/>
  <c r="L249" i="23"/>
  <c r="U249" i="23"/>
  <c r="N249" i="23"/>
  <c r="G251" i="23"/>
  <c r="J234" i="23" l="1"/>
  <c r="K139" i="23"/>
  <c r="E273" i="23"/>
  <c r="E279" i="23" s="1"/>
  <c r="AB250" i="23"/>
  <c r="AA249" i="23"/>
  <c r="K236" i="23"/>
  <c r="L236" i="23" s="1"/>
  <c r="M236" i="23" s="1"/>
  <c r="N230" i="23"/>
  <c r="J237" i="23"/>
  <c r="K235" i="23"/>
  <c r="K234" i="23"/>
  <c r="L234" i="23" s="1"/>
  <c r="M234" i="23" s="1"/>
  <c r="I227" i="23"/>
  <c r="H233" i="23"/>
  <c r="O230" i="23"/>
  <c r="J229" i="23"/>
  <c r="M230" i="23"/>
  <c r="P230" i="23" s="1"/>
  <c r="J231" i="23"/>
  <c r="K231" i="23" s="1"/>
  <c r="H143" i="23"/>
  <c r="J213" i="23"/>
  <c r="K213" i="23" s="1"/>
  <c r="B252" i="23"/>
  <c r="I238" i="23"/>
  <c r="J238" i="23" s="1"/>
  <c r="K228" i="23"/>
  <c r="J232" i="23"/>
  <c r="K202" i="23"/>
  <c r="L202" i="23" s="1"/>
  <c r="J199" i="23"/>
  <c r="K199" i="23" s="1"/>
  <c r="L199" i="23" s="1"/>
  <c r="I220" i="23"/>
  <c r="J220" i="23" s="1"/>
  <c r="J165" i="23"/>
  <c r="K165" i="23" s="1"/>
  <c r="L165" i="23" s="1"/>
  <c r="K191" i="23"/>
  <c r="K225" i="23"/>
  <c r="L225" i="23" s="1"/>
  <c r="J173" i="23"/>
  <c r="K173" i="23" s="1"/>
  <c r="L196" i="23"/>
  <c r="M196" i="23" s="1"/>
  <c r="N196" i="23" s="1"/>
  <c r="L186" i="23"/>
  <c r="M186" i="23" s="1"/>
  <c r="I181" i="23"/>
  <c r="J181" i="23" s="1"/>
  <c r="K181" i="23" s="1"/>
  <c r="J208" i="23"/>
  <c r="K208" i="23" s="1"/>
  <c r="J156" i="23"/>
  <c r="K156" i="23" s="1"/>
  <c r="J170" i="23"/>
  <c r="L224" i="23"/>
  <c r="M224" i="23" s="1"/>
  <c r="L222" i="23"/>
  <c r="M222" i="23" s="1"/>
  <c r="N222" i="23" s="1"/>
  <c r="J177" i="23"/>
  <c r="J150" i="23"/>
  <c r="I195" i="23"/>
  <c r="J195" i="23" s="1"/>
  <c r="I188" i="23"/>
  <c r="J188" i="23" s="1"/>
  <c r="K188" i="23" s="1"/>
  <c r="J212" i="23"/>
  <c r="K212" i="23" s="1"/>
  <c r="L212" i="23" s="1"/>
  <c r="M212" i="23" s="1"/>
  <c r="I189" i="23"/>
  <c r="J189" i="23" s="1"/>
  <c r="H172" i="23"/>
  <c r="I172" i="23" s="1"/>
  <c r="J172" i="23" s="1"/>
  <c r="I201" i="23"/>
  <c r="J192" i="23"/>
  <c r="K140" i="23"/>
  <c r="L140" i="23" s="1"/>
  <c r="J151" i="23"/>
  <c r="J217" i="23"/>
  <c r="K217" i="23" s="1"/>
  <c r="J226" i="23"/>
  <c r="K226" i="23" s="1"/>
  <c r="L226" i="23" s="1"/>
  <c r="M226" i="23" s="1"/>
  <c r="N226" i="23" s="1"/>
  <c r="K209" i="23"/>
  <c r="L209" i="23" s="1"/>
  <c r="M209" i="23" s="1"/>
  <c r="I169" i="23"/>
  <c r="J169" i="23" s="1"/>
  <c r="I179" i="23"/>
  <c r="J179" i="23" s="1"/>
  <c r="K179" i="23" s="1"/>
  <c r="J223" i="23"/>
  <c r="K223" i="23" s="1"/>
  <c r="L223" i="23" s="1"/>
  <c r="I141" i="23"/>
  <c r="J141" i="23" s="1"/>
  <c r="K141" i="23" s="1"/>
  <c r="L141" i="23" s="1"/>
  <c r="K178" i="23"/>
  <c r="L178" i="23" s="1"/>
  <c r="I214" i="23"/>
  <c r="J161" i="23"/>
  <c r="K161" i="23" s="1"/>
  <c r="J198" i="23"/>
  <c r="J184" i="23"/>
  <c r="K218" i="23"/>
  <c r="L218" i="23" s="1"/>
  <c r="J176" i="23"/>
  <c r="K176" i="23" s="1"/>
  <c r="K163" i="23"/>
  <c r="I190" i="23"/>
  <c r="J190" i="23" s="1"/>
  <c r="J219" i="23"/>
  <c r="L215" i="23"/>
  <c r="M215" i="23" s="1"/>
  <c r="I206" i="23"/>
  <c r="J206" i="23" s="1"/>
  <c r="K171" i="23"/>
  <c r="K204" i="23"/>
  <c r="L204" i="23" s="1"/>
  <c r="J197" i="23"/>
  <c r="I153" i="23"/>
  <c r="K160" i="23"/>
  <c r="L160" i="23" s="1"/>
  <c r="K155" i="23"/>
  <c r="L155" i="23" s="1"/>
  <c r="I183" i="23"/>
  <c r="J183" i="23" s="1"/>
  <c r="K183" i="23" s="1"/>
  <c r="I207" i="23"/>
  <c r="K157" i="23"/>
  <c r="I187" i="23"/>
  <c r="J159" i="23"/>
  <c r="J200" i="23"/>
  <c r="J175" i="23"/>
  <c r="I166" i="23"/>
  <c r="L164" i="23"/>
  <c r="M164" i="23" s="1"/>
  <c r="N164" i="23" s="1"/>
  <c r="K203" i="23"/>
  <c r="I158" i="23"/>
  <c r="J158" i="23" s="1"/>
  <c r="J194" i="23"/>
  <c r="J162" i="23"/>
  <c r="K182" i="23"/>
  <c r="L182" i="23" s="1"/>
  <c r="J193" i="23"/>
  <c r="I221" i="23"/>
  <c r="I205" i="23"/>
  <c r="J154" i="23"/>
  <c r="K152" i="23"/>
  <c r="I211" i="23"/>
  <c r="J211" i="23" s="1"/>
  <c r="J167" i="23"/>
  <c r="J180" i="23"/>
  <c r="J210" i="23"/>
  <c r="I216" i="23"/>
  <c r="J216" i="23" s="1"/>
  <c r="J185" i="23"/>
  <c r="I168" i="23"/>
  <c r="I174" i="23"/>
  <c r="J149" i="23"/>
  <c r="J148" i="23"/>
  <c r="K148" i="23" s="1"/>
  <c r="J147" i="23"/>
  <c r="J146" i="23"/>
  <c r="I145" i="23"/>
  <c r="J144" i="23"/>
  <c r="J142" i="23"/>
  <c r="L139" i="23"/>
  <c r="Q60" i="21"/>
  <c r="Q209" i="21"/>
  <c r="Q44" i="21"/>
  <c r="Q212" i="21"/>
  <c r="Q18" i="21"/>
  <c r="Q45" i="21"/>
  <c r="Q5" i="21"/>
  <c r="Q63" i="21"/>
  <c r="Q76" i="21"/>
  <c r="Q110" i="21"/>
  <c r="Q192" i="21"/>
  <c r="Q40" i="21"/>
  <c r="Q113" i="21"/>
  <c r="Q126" i="21"/>
  <c r="Q174" i="21"/>
  <c r="Q26" i="21"/>
  <c r="Q17" i="21"/>
  <c r="Q28" i="21"/>
  <c r="Q59" i="21"/>
  <c r="Q22" i="21"/>
  <c r="Q27" i="21"/>
  <c r="Q124" i="21"/>
  <c r="Q152" i="21"/>
  <c r="Q179" i="21"/>
  <c r="Q205" i="21"/>
  <c r="Q56" i="21"/>
  <c r="Q16" i="21"/>
  <c r="Q75" i="21"/>
  <c r="Q23" i="21"/>
  <c r="Q57" i="21"/>
  <c r="Q62" i="21"/>
  <c r="Q49" i="21"/>
  <c r="Q66" i="21"/>
  <c r="Q20" i="21"/>
  <c r="Q130" i="21"/>
  <c r="Q208" i="21"/>
  <c r="Q168" i="21"/>
  <c r="Q73" i="21"/>
  <c r="Q58" i="21"/>
  <c r="Q37" i="21"/>
  <c r="Q24" i="21"/>
  <c r="Q35" i="21"/>
  <c r="Q80" i="21"/>
  <c r="Q141" i="21"/>
  <c r="Q159" i="21"/>
  <c r="Q21" i="21"/>
  <c r="Q71" i="21"/>
  <c r="Q48" i="21"/>
  <c r="Q55" i="21"/>
  <c r="Q107" i="21"/>
  <c r="Q122" i="21"/>
  <c r="Q118" i="21"/>
  <c r="Q132" i="21"/>
  <c r="Q194" i="21"/>
  <c r="Q46" i="21"/>
  <c r="Q7" i="21"/>
  <c r="Q12" i="21"/>
  <c r="Q68" i="21"/>
  <c r="Q39" i="21"/>
  <c r="Q25" i="21"/>
  <c r="Q89" i="21"/>
  <c r="Q103" i="21"/>
  <c r="Q134" i="21"/>
  <c r="Q186" i="21"/>
  <c r="Q165" i="21"/>
  <c r="Q36" i="21"/>
  <c r="Q34" i="21"/>
  <c r="Q177" i="21"/>
  <c r="Q202" i="21"/>
  <c r="Q78" i="21"/>
  <c r="Q91" i="21"/>
  <c r="Q101" i="21"/>
  <c r="Q95" i="21"/>
  <c r="Q108" i="21"/>
  <c r="Q83" i="21"/>
  <c r="Q97" i="21"/>
  <c r="Q149" i="21"/>
  <c r="Q133" i="21"/>
  <c r="Q151" i="21"/>
  <c r="Q166" i="21"/>
  <c r="Q139" i="21"/>
  <c r="Q156" i="21"/>
  <c r="Q188" i="21"/>
  <c r="Q199" i="21"/>
  <c r="Q170" i="21"/>
  <c r="Q190" i="21"/>
  <c r="Q201" i="21"/>
  <c r="Q162" i="21"/>
  <c r="Q181" i="21"/>
  <c r="Q197" i="21"/>
  <c r="Q214" i="21"/>
  <c r="Q77" i="21"/>
  <c r="Q81" i="21"/>
  <c r="Q84" i="21"/>
  <c r="Q196" i="21"/>
  <c r="Q32" i="21"/>
  <c r="Q64" i="21"/>
  <c r="Q43" i="21"/>
  <c r="Q13" i="21"/>
  <c r="Q33" i="21"/>
  <c r="Q6" i="21"/>
  <c r="Q50" i="21"/>
  <c r="Q30" i="21"/>
  <c r="Q10" i="21"/>
  <c r="Q79" i="21"/>
  <c r="Q93" i="21"/>
  <c r="Q104" i="21"/>
  <c r="Q114" i="21"/>
  <c r="Q127" i="21"/>
  <c r="Q86" i="21"/>
  <c r="Q100" i="21"/>
  <c r="Q115" i="21"/>
  <c r="Q87" i="21"/>
  <c r="Q98" i="21"/>
  <c r="Q111" i="21"/>
  <c r="Q123" i="21"/>
  <c r="Q137" i="21"/>
  <c r="Q143" i="21"/>
  <c r="Q150" i="21"/>
  <c r="Q136" i="21"/>
  <c r="Q154" i="21"/>
  <c r="Q171" i="21"/>
  <c r="Q144" i="21"/>
  <c r="Q161" i="21"/>
  <c r="Q180" i="21"/>
  <c r="Q189" i="21"/>
  <c r="Q207" i="21"/>
  <c r="Q160" i="21"/>
  <c r="Q172" i="21"/>
  <c r="Q178" i="21"/>
  <c r="Q193" i="21"/>
  <c r="Q203" i="21"/>
  <c r="Q164" i="21"/>
  <c r="Q183" i="21"/>
  <c r="Q200" i="21"/>
  <c r="Q206" i="21"/>
  <c r="Q61" i="21"/>
  <c r="Q31" i="21"/>
  <c r="Q11" i="21"/>
  <c r="Q74" i="21"/>
  <c r="Q155" i="21"/>
  <c r="Q69" i="21"/>
  <c r="Q96" i="21"/>
  <c r="Q116" i="21"/>
  <c r="Q129" i="21"/>
  <c r="Q88" i="21"/>
  <c r="Q102" i="21"/>
  <c r="Q117" i="21"/>
  <c r="Q90" i="21"/>
  <c r="Q138" i="21"/>
  <c r="Q146" i="21"/>
  <c r="Q142" i="21"/>
  <c r="Q158" i="21"/>
  <c r="Q148" i="21"/>
  <c r="Q169" i="21"/>
  <c r="Q184" i="21"/>
  <c r="Q173" i="21"/>
  <c r="Q182" i="21"/>
  <c r="Q195" i="21"/>
  <c r="Q167" i="21"/>
  <c r="Q185" i="21"/>
  <c r="Q94" i="21"/>
  <c r="Q85" i="21"/>
  <c r="Q72" i="21"/>
  <c r="Q82" i="21"/>
  <c r="Q99" i="21"/>
  <c r="Q112" i="21"/>
  <c r="Q121" i="21"/>
  <c r="Q105" i="21"/>
  <c r="Q120" i="21"/>
  <c r="Q92" i="21"/>
  <c r="Q109" i="21"/>
  <c r="Q119" i="21"/>
  <c r="Q140" i="21"/>
  <c r="Q147" i="21"/>
  <c r="Q125" i="21"/>
  <c r="Q145" i="21"/>
  <c r="Q163" i="21"/>
  <c r="Q135" i="21"/>
  <c r="Q153" i="21"/>
  <c r="Q176" i="21"/>
  <c r="Q211" i="21"/>
  <c r="Q187" i="21"/>
  <c r="Q198" i="21"/>
  <c r="Q157" i="21"/>
  <c r="Q175" i="21"/>
  <c r="Q191" i="21"/>
  <c r="Q204" i="21"/>
  <c r="Q213" i="21"/>
  <c r="Q210" i="21"/>
  <c r="Q106" i="21"/>
  <c r="D25" i="19"/>
  <c r="E25" i="19" s="1"/>
  <c r="D24" i="19"/>
  <c r="E24" i="19" s="1"/>
  <c r="D22" i="19"/>
  <c r="E22" i="19" s="1"/>
  <c r="D23" i="19"/>
  <c r="G23" i="19" s="1"/>
  <c r="G15" i="1"/>
  <c r="H15" i="1" s="1"/>
  <c r="J3" i="4"/>
  <c r="H22" i="19" s="1"/>
  <c r="G14" i="1"/>
  <c r="H14" i="1" s="1"/>
  <c r="F11" i="19"/>
  <c r="R5" i="5"/>
  <c r="F7" i="19"/>
  <c r="G9" i="19"/>
  <c r="D9" i="19"/>
  <c r="C10" i="19"/>
  <c r="O16" i="1"/>
  <c r="I16" i="1"/>
  <c r="J16" i="1"/>
  <c r="K16" i="1"/>
  <c r="L16" i="1"/>
  <c r="M16" i="1"/>
  <c r="E16" i="1"/>
  <c r="F16" i="1"/>
  <c r="G16" i="1"/>
  <c r="A17" i="1"/>
  <c r="Q64" i="6"/>
  <c r="R4" i="5"/>
  <c r="G4" i="12"/>
  <c r="M4" i="12" s="1"/>
  <c r="G13" i="1"/>
  <c r="H13" i="1" s="1"/>
  <c r="G10" i="1"/>
  <c r="H10" i="1" s="1"/>
  <c r="G11" i="1"/>
  <c r="H11" i="1" s="1"/>
  <c r="G12" i="1"/>
  <c r="H12" i="1" s="1"/>
  <c r="Q59" i="6"/>
  <c r="P58" i="6"/>
  <c r="O58" i="6"/>
  <c r="G9" i="1"/>
  <c r="H9" i="1" s="1"/>
  <c r="E5" i="1"/>
  <c r="L252" i="23"/>
  <c r="M252" i="23"/>
  <c r="W251" i="23"/>
  <c r="U252" i="23"/>
  <c r="Z251" i="23"/>
  <c r="O251" i="23"/>
  <c r="Z252" i="23"/>
  <c r="Q252" i="23"/>
  <c r="X252" i="23"/>
  <c r="J252" i="23"/>
  <c r="I252" i="23"/>
  <c r="D252" i="23"/>
  <c r="M251" i="23"/>
  <c r="G252" i="23"/>
  <c r="J251" i="23"/>
  <c r="P251" i="23"/>
  <c r="F252" i="23"/>
  <c r="W252" i="23"/>
  <c r="T252" i="23"/>
  <c r="E252" i="23"/>
  <c r="Y252" i="23"/>
  <c r="U251" i="23"/>
  <c r="O252" i="23"/>
  <c r="Q230" i="23" l="1"/>
  <c r="J227" i="23"/>
  <c r="K227" i="23" s="1"/>
  <c r="L227" i="23" s="1"/>
  <c r="M227" i="23" s="1"/>
  <c r="H273" i="23"/>
  <c r="H279" i="23" s="1"/>
  <c r="G273" i="23"/>
  <c r="G279" i="23" s="1"/>
  <c r="F273" i="23"/>
  <c r="F279" i="23" s="1"/>
  <c r="AA251" i="23"/>
  <c r="J233" i="23"/>
  <c r="N236" i="23"/>
  <c r="O236" i="23" s="1"/>
  <c r="I233" i="23"/>
  <c r="L231" i="23"/>
  <c r="M231" i="23" s="1"/>
  <c r="N231" i="23" s="1"/>
  <c r="L235" i="23"/>
  <c r="M235" i="23" s="1"/>
  <c r="K237" i="23"/>
  <c r="I143" i="23"/>
  <c r="N234" i="23"/>
  <c r="K229" i="23"/>
  <c r="L213" i="23"/>
  <c r="M213" i="23" s="1"/>
  <c r="B253" i="23"/>
  <c r="K232" i="23"/>
  <c r="L228" i="23"/>
  <c r="K238" i="23"/>
  <c r="R230" i="23"/>
  <c r="O234" i="23"/>
  <c r="P234" i="23" s="1"/>
  <c r="Q234" i="23" s="1"/>
  <c r="K220" i="23"/>
  <c r="L220" i="23" s="1"/>
  <c r="L156" i="23"/>
  <c r="M156" i="23" s="1"/>
  <c r="L191" i="23"/>
  <c r="M191" i="23" s="1"/>
  <c r="L208" i="23"/>
  <c r="M208" i="23" s="1"/>
  <c r="K170" i="23"/>
  <c r="L170" i="23" s="1"/>
  <c r="L173" i="23"/>
  <c r="M173" i="23" s="1"/>
  <c r="K195" i="23"/>
  <c r="L195" i="23" s="1"/>
  <c r="L161" i="23"/>
  <c r="N209" i="23"/>
  <c r="O209" i="23" s="1"/>
  <c r="K190" i="23"/>
  <c r="K172" i="23"/>
  <c r="K169" i="23"/>
  <c r="L169" i="23" s="1"/>
  <c r="K150" i="23"/>
  <c r="L150" i="23" s="1"/>
  <c r="M141" i="23"/>
  <c r="N141" i="23" s="1"/>
  <c r="K146" i="23"/>
  <c r="L146" i="23" s="1"/>
  <c r="K151" i="23"/>
  <c r="L151" i="23" s="1"/>
  <c r="O196" i="23"/>
  <c r="P196" i="23" s="1"/>
  <c r="K192" i="23"/>
  <c r="N224" i="23"/>
  <c r="K189" i="23"/>
  <c r="L189" i="23" s="1"/>
  <c r="K177" i="23"/>
  <c r="L177" i="23" s="1"/>
  <c r="M177" i="23" s="1"/>
  <c r="L179" i="23"/>
  <c r="M179" i="23" s="1"/>
  <c r="N179" i="23" s="1"/>
  <c r="L181" i="23"/>
  <c r="M181" i="23" s="1"/>
  <c r="J201" i="23"/>
  <c r="M165" i="23"/>
  <c r="N165" i="23" s="1"/>
  <c r="J207" i="23"/>
  <c r="K207" i="23" s="1"/>
  <c r="L207" i="23" s="1"/>
  <c r="N215" i="23"/>
  <c r="O215" i="23" s="1"/>
  <c r="L217" i="23"/>
  <c r="M217" i="23" s="1"/>
  <c r="J214" i="23"/>
  <c r="K214" i="23" s="1"/>
  <c r="K185" i="23"/>
  <c r="J168" i="23"/>
  <c r="L152" i="23"/>
  <c r="J221" i="23"/>
  <c r="K221" i="23" s="1"/>
  <c r="K194" i="23"/>
  <c r="L194" i="23" s="1"/>
  <c r="L188" i="23"/>
  <c r="M188" i="23" s="1"/>
  <c r="M223" i="23"/>
  <c r="J205" i="23"/>
  <c r="K205" i="23" s="1"/>
  <c r="L205" i="23" s="1"/>
  <c r="M205" i="23" s="1"/>
  <c r="N213" i="23"/>
  <c r="L157" i="23"/>
  <c r="K167" i="23"/>
  <c r="M182" i="23"/>
  <c r="K158" i="23"/>
  <c r="K159" i="23"/>
  <c r="L159" i="23" s="1"/>
  <c r="J166" i="23"/>
  <c r="K166" i="23"/>
  <c r="M178" i="23"/>
  <c r="L203" i="23"/>
  <c r="J153" i="23"/>
  <c r="K153" i="23" s="1"/>
  <c r="K162" i="23"/>
  <c r="J187" i="23"/>
  <c r="K175" i="23"/>
  <c r="M199" i="23"/>
  <c r="N199" i="23" s="1"/>
  <c r="K180" i="23"/>
  <c r="N186" i="23"/>
  <c r="K184" i="23"/>
  <c r="K206" i="23"/>
  <c r="L206" i="23" s="1"/>
  <c r="L176" i="23"/>
  <c r="M176" i="23" s="1"/>
  <c r="N176" i="23" s="1"/>
  <c r="O176" i="23" s="1"/>
  <c r="N212" i="23"/>
  <c r="O212" i="23" s="1"/>
  <c r="L163" i="23"/>
  <c r="M163" i="23" s="1"/>
  <c r="P212" i="23"/>
  <c r="Q212" i="23" s="1"/>
  <c r="K193" i="23"/>
  <c r="L193" i="23" s="1"/>
  <c r="K216" i="23"/>
  <c r="L216" i="23" s="1"/>
  <c r="K154" i="23"/>
  <c r="M202" i="23"/>
  <c r="L183" i="23"/>
  <c r="M225" i="23"/>
  <c r="O222" i="23"/>
  <c r="M160" i="23"/>
  <c r="K219" i="23"/>
  <c r="K198" i="23"/>
  <c r="L198" i="23" s="1"/>
  <c r="M198" i="23" s="1"/>
  <c r="K210" i="23"/>
  <c r="L171" i="23"/>
  <c r="M171" i="23" s="1"/>
  <c r="O164" i="23"/>
  <c r="P164" i="23" s="1"/>
  <c r="Q164" i="23" s="1"/>
  <c r="O226" i="23"/>
  <c r="P226" i="23" s="1"/>
  <c r="M204" i="23"/>
  <c r="N204" i="23" s="1"/>
  <c r="O204" i="23" s="1"/>
  <c r="M218" i="23"/>
  <c r="N218" i="23" s="1"/>
  <c r="K211" i="23"/>
  <c r="K200" i="23"/>
  <c r="N202" i="23"/>
  <c r="J174" i="23"/>
  <c r="K197" i="23"/>
  <c r="M155" i="23"/>
  <c r="N155" i="23" s="1"/>
  <c r="K149" i="23"/>
  <c r="L148" i="23"/>
  <c r="K147" i="23"/>
  <c r="J145" i="23"/>
  <c r="K145" i="23" s="1"/>
  <c r="K144" i="23"/>
  <c r="K142" i="23"/>
  <c r="M140" i="23"/>
  <c r="N140" i="23" s="1"/>
  <c r="M139" i="23"/>
  <c r="G25" i="19"/>
  <c r="G22" i="19"/>
  <c r="E23" i="19"/>
  <c r="G24" i="19"/>
  <c r="H25" i="19"/>
  <c r="H24" i="19"/>
  <c r="H23" i="19"/>
  <c r="G10" i="19"/>
  <c r="D10" i="19"/>
  <c r="C11" i="19"/>
  <c r="H11" i="19" s="1"/>
  <c r="H16" i="1"/>
  <c r="O17" i="1"/>
  <c r="I17" i="1"/>
  <c r="J17" i="1"/>
  <c r="K17" i="1"/>
  <c r="L17" i="1"/>
  <c r="M17" i="1"/>
  <c r="E17" i="1"/>
  <c r="F17" i="1"/>
  <c r="H10" i="19" s="1"/>
  <c r="G17" i="1"/>
  <c r="A18" i="1"/>
  <c r="G5" i="1"/>
  <c r="F5" i="1"/>
  <c r="R252" i="23"/>
  <c r="K252" i="23"/>
  <c r="W253" i="23"/>
  <c r="P253" i="23"/>
  <c r="V252" i="23"/>
  <c r="S252" i="23"/>
  <c r="R253" i="23"/>
  <c r="L253" i="23"/>
  <c r="Y253" i="23"/>
  <c r="D253" i="23"/>
  <c r="J253" i="23"/>
  <c r="N252" i="23"/>
  <c r="O253" i="23"/>
  <c r="U253" i="23"/>
  <c r="X253" i="23"/>
  <c r="AB249" i="23" a="1"/>
  <c r="H252" i="23"/>
  <c r="E253" i="23"/>
  <c r="P252" i="23"/>
  <c r="AB251" i="23" a="1"/>
  <c r="AB251" i="23" l="1"/>
  <c r="AB249" i="23"/>
  <c r="AA252" i="23"/>
  <c r="P236" i="23"/>
  <c r="Q236" i="23" s="1"/>
  <c r="L229" i="23"/>
  <c r="N227" i="23"/>
  <c r="O227" i="23" s="1"/>
  <c r="P227" i="23" s="1"/>
  <c r="N235" i="23"/>
  <c r="L237" i="23"/>
  <c r="M237" i="23" s="1"/>
  <c r="N237" i="23" s="1"/>
  <c r="J143" i="23"/>
  <c r="K143" i="23" s="1"/>
  <c r="L143" i="23" s="1"/>
  <c r="K233" i="23"/>
  <c r="B254" i="23"/>
  <c r="R234" i="23"/>
  <c r="O231" i="23"/>
  <c r="L232" i="23"/>
  <c r="M220" i="23"/>
  <c r="S230" i="23"/>
  <c r="T230" i="23" s="1"/>
  <c r="P231" i="23"/>
  <c r="M232" i="23"/>
  <c r="L238" i="23"/>
  <c r="M228" i="23"/>
  <c r="O235" i="23"/>
  <c r="N208" i="23"/>
  <c r="N191" i="23"/>
  <c r="O191" i="23" s="1"/>
  <c r="M161" i="23"/>
  <c r="N161" i="23" s="1"/>
  <c r="O161" i="23" s="1"/>
  <c r="M150" i="23"/>
  <c r="N150" i="23" s="1"/>
  <c r="P209" i="23"/>
  <c r="N173" i="23"/>
  <c r="O173" i="23" s="1"/>
  <c r="M170" i="23"/>
  <c r="N170" i="23" s="1"/>
  <c r="O170" i="23" s="1"/>
  <c r="M159" i="23"/>
  <c r="N159" i="23" s="1"/>
  <c r="O141" i="23"/>
  <c r="P141" i="23" s="1"/>
  <c r="Q141" i="23" s="1"/>
  <c r="L210" i="23"/>
  <c r="M210" i="23" s="1"/>
  <c r="N210" i="23" s="1"/>
  <c r="N163" i="23"/>
  <c r="O163" i="23" s="1"/>
  <c r="M169" i="23"/>
  <c r="N169" i="23" s="1"/>
  <c r="Q196" i="23"/>
  <c r="R196" i="23" s="1"/>
  <c r="K187" i="23"/>
  <c r="L187" i="23" s="1"/>
  <c r="L214" i="23"/>
  <c r="M214" i="23" s="1"/>
  <c r="N214" i="23" s="1"/>
  <c r="L154" i="23"/>
  <c r="N225" i="23"/>
  <c r="O225" i="23" s="1"/>
  <c r="P225" i="23" s="1"/>
  <c r="Q225" i="23" s="1"/>
  <c r="K201" i="23"/>
  <c r="L172" i="23"/>
  <c r="O218" i="23"/>
  <c r="P218" i="23" s="1"/>
  <c r="M207" i="23"/>
  <c r="N207" i="23" s="1"/>
  <c r="L190" i="23"/>
  <c r="P215" i="23"/>
  <c r="Q215" i="23" s="1"/>
  <c r="L153" i="23"/>
  <c r="M153" i="23" s="1"/>
  <c r="O224" i="23"/>
  <c r="P224" i="23" s="1"/>
  <c r="N181" i="23"/>
  <c r="O181" i="23" s="1"/>
  <c r="P181" i="23" s="1"/>
  <c r="N220" i="23"/>
  <c r="O220" i="23" s="1"/>
  <c r="L211" i="23"/>
  <c r="M211" i="23" s="1"/>
  <c r="N211" i="23" s="1"/>
  <c r="O211" i="23" s="1"/>
  <c r="M216" i="23"/>
  <c r="N217" i="23"/>
  <c r="O217" i="23" s="1"/>
  <c r="N177" i="23"/>
  <c r="L192" i="23"/>
  <c r="O165" i="23"/>
  <c r="M194" i="23"/>
  <c r="P176" i="23"/>
  <c r="M206" i="23"/>
  <c r="O155" i="23"/>
  <c r="P155" i="23" s="1"/>
  <c r="Q226" i="23"/>
  <c r="O213" i="23"/>
  <c r="P213" i="23" s="1"/>
  <c r="Q213" i="23" s="1"/>
  <c r="N188" i="23"/>
  <c r="O188" i="23" s="1"/>
  <c r="L158" i="23"/>
  <c r="R212" i="23"/>
  <c r="N160" i="23"/>
  <c r="P204" i="23"/>
  <c r="Q204" i="23" s="1"/>
  <c r="N156" i="23"/>
  <c r="N205" i="23"/>
  <c r="O205" i="23" s="1"/>
  <c r="L167" i="23"/>
  <c r="M167" i="23" s="1"/>
  <c r="O199" i="23"/>
  <c r="P199" i="23" s="1"/>
  <c r="L185" i="23"/>
  <c r="O208" i="23"/>
  <c r="P208" i="23" s="1"/>
  <c r="Q208" i="23" s="1"/>
  <c r="P222" i="23"/>
  <c r="M183" i="23"/>
  <c r="N171" i="23"/>
  <c r="O171" i="23" s="1"/>
  <c r="N198" i="23"/>
  <c r="O198" i="23" s="1"/>
  <c r="L197" i="23"/>
  <c r="L180" i="23"/>
  <c r="M180" i="23" s="1"/>
  <c r="M157" i="23"/>
  <c r="O202" i="23"/>
  <c r="M189" i="23"/>
  <c r="L219" i="23"/>
  <c r="M219" i="23" s="1"/>
  <c r="M203" i="23"/>
  <c r="M152" i="23"/>
  <c r="N223" i="23"/>
  <c r="O179" i="23"/>
  <c r="K168" i="23"/>
  <c r="L200" i="23"/>
  <c r="M200" i="23" s="1"/>
  <c r="N200" i="23" s="1"/>
  <c r="O200" i="23" s="1"/>
  <c r="M195" i="23"/>
  <c r="N195" i="23" s="1"/>
  <c r="R164" i="23"/>
  <c r="S164" i="23" s="1"/>
  <c r="K174" i="23"/>
  <c r="M193" i="23"/>
  <c r="L184" i="23"/>
  <c r="O186" i="23"/>
  <c r="L175" i="23"/>
  <c r="L162" i="23"/>
  <c r="N178" i="23"/>
  <c r="L166" i="23"/>
  <c r="N182" i="23"/>
  <c r="O182" i="23" s="1"/>
  <c r="L221" i="23"/>
  <c r="M221" i="23" s="1"/>
  <c r="M151" i="23"/>
  <c r="L149" i="23"/>
  <c r="M148" i="23"/>
  <c r="N148" i="23" s="1"/>
  <c r="L147" i="23"/>
  <c r="M147" i="23" s="1"/>
  <c r="M146" i="23"/>
  <c r="L145" i="23"/>
  <c r="M145" i="23" s="1"/>
  <c r="L144" i="23"/>
  <c r="L142" i="23"/>
  <c r="M142" i="23" s="1"/>
  <c r="O140" i="23"/>
  <c r="P140" i="23" s="1"/>
  <c r="Q140" i="23" s="1"/>
  <c r="R140" i="23" s="1"/>
  <c r="S140" i="23" s="1"/>
  <c r="T140" i="23" s="1"/>
  <c r="U140" i="23" s="1"/>
  <c r="V140" i="23" s="1"/>
  <c r="W140" i="23" s="1"/>
  <c r="X140" i="23" s="1"/>
  <c r="Y140" i="23" s="1"/>
  <c r="Z140" i="23" s="1"/>
  <c r="AA140" i="23" s="1"/>
  <c r="N139" i="23"/>
  <c r="G11" i="19"/>
  <c r="D11" i="19"/>
  <c r="C12" i="19"/>
  <c r="H12" i="19" s="1"/>
  <c r="H17" i="1"/>
  <c r="O18" i="1"/>
  <c r="I18" i="1"/>
  <c r="J18" i="1"/>
  <c r="K18" i="1"/>
  <c r="L18" i="1"/>
  <c r="M18" i="1"/>
  <c r="E18" i="1"/>
  <c r="F18" i="1"/>
  <c r="H9" i="19" s="1"/>
  <c r="G18" i="1"/>
  <c r="A19" i="1"/>
  <c r="O6" i="1"/>
  <c r="I6" i="1"/>
  <c r="J6" i="1"/>
  <c r="K6" i="1"/>
  <c r="L6" i="1"/>
  <c r="M6" i="1"/>
  <c r="E6" i="1"/>
  <c r="G6" i="1"/>
  <c r="H5" i="1"/>
  <c r="F6" i="1"/>
  <c r="W254" i="23"/>
  <c r="Q254" i="23"/>
  <c r="R254" i="23"/>
  <c r="U254" i="23"/>
  <c r="V254" i="23"/>
  <c r="S253" i="23"/>
  <c r="G253" i="23"/>
  <c r="K254" i="23"/>
  <c r="H253" i="23"/>
  <c r="J254" i="23"/>
  <c r="N253" i="23"/>
  <c r="H254" i="23"/>
  <c r="V253" i="23"/>
  <c r="Y254" i="23"/>
  <c r="G254" i="23"/>
  <c r="Q253" i="23"/>
  <c r="M254" i="23"/>
  <c r="I254" i="23"/>
  <c r="D254" i="23"/>
  <c r="K253" i="23"/>
  <c r="AB252" i="23" a="1"/>
  <c r="T254" i="23"/>
  <c r="X254" i="23"/>
  <c r="P254" i="23"/>
  <c r="F253" i="23"/>
  <c r="F254" i="23"/>
  <c r="L254" i="23"/>
  <c r="T253" i="23"/>
  <c r="S254" i="23"/>
  <c r="M253" i="23"/>
  <c r="Z254" i="23"/>
  <c r="O254" i="23"/>
  <c r="Z253" i="23"/>
  <c r="E254" i="23"/>
  <c r="I253" i="23"/>
  <c r="N254" i="23"/>
  <c r="P235" i="23" l="1"/>
  <c r="P170" i="23"/>
  <c r="Q170" i="23" s="1"/>
  <c r="R170" i="23" s="1"/>
  <c r="L233" i="23"/>
  <c r="M233" i="23" s="1"/>
  <c r="AB252" i="23"/>
  <c r="AA253" i="23"/>
  <c r="AA254" i="23"/>
  <c r="M229" i="23"/>
  <c r="Q227" i="23"/>
  <c r="O237" i="23"/>
  <c r="R236" i="23"/>
  <c r="M143" i="23"/>
  <c r="B255" i="23"/>
  <c r="R227" i="23"/>
  <c r="N228" i="23"/>
  <c r="O228" i="23" s="1"/>
  <c r="S234" i="23"/>
  <c r="N232" i="23"/>
  <c r="U230" i="23"/>
  <c r="V230" i="23" s="1"/>
  <c r="W230" i="23" s="1"/>
  <c r="M238" i="23"/>
  <c r="Q231" i="23"/>
  <c r="R231" i="23" s="1"/>
  <c r="S231" i="23" s="1"/>
  <c r="Q235" i="23"/>
  <c r="Q199" i="23"/>
  <c r="R199" i="23" s="1"/>
  <c r="S199" i="23" s="1"/>
  <c r="T199" i="23" s="1"/>
  <c r="O150" i="23"/>
  <c r="P150" i="23" s="1"/>
  <c r="Q150" i="23" s="1"/>
  <c r="P191" i="23"/>
  <c r="Q209" i="23"/>
  <c r="R209" i="23" s="1"/>
  <c r="P173" i="23"/>
  <c r="Q173" i="23" s="1"/>
  <c r="R173" i="23" s="1"/>
  <c r="P161" i="23"/>
  <c r="Q161" i="23" s="1"/>
  <c r="R161" i="23" s="1"/>
  <c r="S161" i="23" s="1"/>
  <c r="T161" i="23" s="1"/>
  <c r="U161" i="23" s="1"/>
  <c r="V161" i="23" s="1"/>
  <c r="W161" i="23" s="1"/>
  <c r="X161" i="23" s="1"/>
  <c r="Y161" i="23" s="1"/>
  <c r="Z161" i="23" s="1"/>
  <c r="AA161" i="23" s="1"/>
  <c r="O148" i="23"/>
  <c r="P148" i="23" s="1"/>
  <c r="Q148" i="23" s="1"/>
  <c r="R148" i="23" s="1"/>
  <c r="S148" i="23" s="1"/>
  <c r="T148" i="23" s="1"/>
  <c r="Q181" i="23"/>
  <c r="R181" i="23" s="1"/>
  <c r="S181" i="23" s="1"/>
  <c r="M172" i="23"/>
  <c r="N172" i="23" s="1"/>
  <c r="M187" i="23"/>
  <c r="N187" i="23" s="1"/>
  <c r="Q176" i="23"/>
  <c r="R176" i="23" s="1"/>
  <c r="P217" i="23"/>
  <c r="Q217" i="23" s="1"/>
  <c r="R215" i="23"/>
  <c r="S215" i="23" s="1"/>
  <c r="T215" i="23" s="1"/>
  <c r="U215" i="23" s="1"/>
  <c r="V215" i="23" s="1"/>
  <c r="W215" i="23" s="1"/>
  <c r="X215" i="23" s="1"/>
  <c r="Y215" i="23" s="1"/>
  <c r="Z215" i="23" s="1"/>
  <c r="AA215" i="23" s="1"/>
  <c r="P171" i="23"/>
  <c r="Q171" i="23" s="1"/>
  <c r="L201" i="23"/>
  <c r="M192" i="23"/>
  <c r="S196" i="23"/>
  <c r="R204" i="23"/>
  <c r="S204" i="23" s="1"/>
  <c r="T204" i="23" s="1"/>
  <c r="O207" i="23"/>
  <c r="N157" i="23"/>
  <c r="O157" i="23" s="1"/>
  <c r="P157" i="23" s="1"/>
  <c r="P220" i="23"/>
  <c r="Q220" i="23" s="1"/>
  <c r="M190" i="23"/>
  <c r="N190" i="23" s="1"/>
  <c r="Q218" i="23"/>
  <c r="O214" i="23"/>
  <c r="P214" i="23" s="1"/>
  <c r="N216" i="23"/>
  <c r="O216" i="23" s="1"/>
  <c r="P216" i="23" s="1"/>
  <c r="N206" i="23"/>
  <c r="O206" i="23" s="1"/>
  <c r="P206" i="23" s="1"/>
  <c r="P165" i="23"/>
  <c r="N147" i="23"/>
  <c r="O147" i="23" s="1"/>
  <c r="R213" i="23"/>
  <c r="S213" i="23" s="1"/>
  <c r="O177" i="23"/>
  <c r="Q224" i="23"/>
  <c r="R224" i="23" s="1"/>
  <c r="S224" i="23" s="1"/>
  <c r="T224" i="23" s="1"/>
  <c r="M154" i="23"/>
  <c r="P205" i="23"/>
  <c r="N180" i="23"/>
  <c r="O180" i="23" s="1"/>
  <c r="T164" i="23"/>
  <c r="U164" i="23" s="1"/>
  <c r="V164" i="23" s="1"/>
  <c r="W164" i="23" s="1"/>
  <c r="X164" i="23" s="1"/>
  <c r="Y164" i="23" s="1"/>
  <c r="Z164" i="23" s="1"/>
  <c r="AA164" i="23" s="1"/>
  <c r="P211" i="23"/>
  <c r="Q211" i="23" s="1"/>
  <c r="R211" i="23" s="1"/>
  <c r="S211" i="23" s="1"/>
  <c r="T211" i="23" s="1"/>
  <c r="U211" i="23" s="1"/>
  <c r="V211" i="23" s="1"/>
  <c r="W211" i="23" s="1"/>
  <c r="X211" i="23" s="1"/>
  <c r="Y211" i="23" s="1"/>
  <c r="Z211" i="23" s="1"/>
  <c r="AA211" i="23" s="1"/>
  <c r="P202" i="23"/>
  <c r="Q202" i="23" s="1"/>
  <c r="R225" i="23"/>
  <c r="S225" i="23" s="1"/>
  <c r="T225" i="23" s="1"/>
  <c r="U225" i="23" s="1"/>
  <c r="V225" i="23" s="1"/>
  <c r="O160" i="23"/>
  <c r="P160" i="23" s="1"/>
  <c r="Q160" i="23" s="1"/>
  <c r="R160" i="23" s="1"/>
  <c r="S160" i="23" s="1"/>
  <c r="T160" i="23" s="1"/>
  <c r="U160" i="23" s="1"/>
  <c r="V160" i="23" s="1"/>
  <c r="W160" i="23" s="1"/>
  <c r="X160" i="23" s="1"/>
  <c r="Y160" i="23" s="1"/>
  <c r="Z160" i="23" s="1"/>
  <c r="AA160" i="23" s="1"/>
  <c r="M184" i="23"/>
  <c r="P188" i="23"/>
  <c r="N203" i="23"/>
  <c r="R226" i="23"/>
  <c r="N189" i="23"/>
  <c r="N152" i="23"/>
  <c r="Q155" i="23"/>
  <c r="R155" i="23" s="1"/>
  <c r="S155" i="23" s="1"/>
  <c r="N194" i="23"/>
  <c r="O156" i="23"/>
  <c r="O223" i="23"/>
  <c r="P223" i="23" s="1"/>
  <c r="N167" i="23"/>
  <c r="M175" i="23"/>
  <c r="N153" i="23"/>
  <c r="O153" i="23" s="1"/>
  <c r="R208" i="23"/>
  <c r="S208" i="23" s="1"/>
  <c r="T208" i="23" s="1"/>
  <c r="P200" i="23"/>
  <c r="Q200" i="23" s="1"/>
  <c r="O178" i="23"/>
  <c r="P178" i="23" s="1"/>
  <c r="Q178" i="23" s="1"/>
  <c r="R178" i="23" s="1"/>
  <c r="S178" i="23" s="1"/>
  <c r="T178" i="23" s="1"/>
  <c r="U178" i="23" s="1"/>
  <c r="V178" i="23" s="1"/>
  <c r="W178" i="23" s="1"/>
  <c r="X178" i="23" s="1"/>
  <c r="O169" i="23"/>
  <c r="P169" i="23" s="1"/>
  <c r="Q169" i="23" s="1"/>
  <c r="R169" i="23" s="1"/>
  <c r="S169" i="23" s="1"/>
  <c r="T169" i="23" s="1"/>
  <c r="U169" i="23" s="1"/>
  <c r="V169" i="23" s="1"/>
  <c r="W169" i="23" s="1"/>
  <c r="X169" i="23" s="1"/>
  <c r="Y169" i="23" s="1"/>
  <c r="Z169" i="23" s="1"/>
  <c r="AA169" i="23" s="1"/>
  <c r="N193" i="23"/>
  <c r="O193" i="23" s="1"/>
  <c r="P193" i="23" s="1"/>
  <c r="Q193" i="23" s="1"/>
  <c r="R193" i="23" s="1"/>
  <c r="S193" i="23" s="1"/>
  <c r="T193" i="23" s="1"/>
  <c r="U193" i="23" s="1"/>
  <c r="V193" i="23" s="1"/>
  <c r="O210" i="23"/>
  <c r="P163" i="23"/>
  <c r="Q163" i="23" s="1"/>
  <c r="R163" i="23" s="1"/>
  <c r="S163" i="23" s="1"/>
  <c r="L174" i="23"/>
  <c r="M197" i="23"/>
  <c r="S212" i="23"/>
  <c r="T212" i="23" s="1"/>
  <c r="P198" i="23"/>
  <c r="N183" i="23"/>
  <c r="M162" i="23"/>
  <c r="N162" i="23" s="1"/>
  <c r="M158" i="23"/>
  <c r="O159" i="23"/>
  <c r="P179" i="23"/>
  <c r="Q179" i="23" s="1"/>
  <c r="N219" i="23"/>
  <c r="P186" i="23"/>
  <c r="L168" i="23"/>
  <c r="O195" i="23"/>
  <c r="N221" i="23"/>
  <c r="Q222" i="23"/>
  <c r="M185" i="23"/>
  <c r="M166" i="23"/>
  <c r="N166" i="23" s="1"/>
  <c r="P182" i="23"/>
  <c r="Q182" i="23" s="1"/>
  <c r="N151" i="23"/>
  <c r="O151" i="23" s="1"/>
  <c r="M149" i="23"/>
  <c r="N146" i="23"/>
  <c r="N145" i="23"/>
  <c r="O145" i="23" s="1"/>
  <c r="M144" i="23"/>
  <c r="N142" i="23"/>
  <c r="O142" i="23" s="1"/>
  <c r="R141" i="23"/>
  <c r="S141" i="23" s="1"/>
  <c r="T141" i="23" s="1"/>
  <c r="O139" i="23"/>
  <c r="P139" i="23" s="1"/>
  <c r="G12" i="19"/>
  <c r="D12" i="19"/>
  <c r="C13" i="19"/>
  <c r="H13" i="19" s="1"/>
  <c r="H18" i="1"/>
  <c r="O19" i="1"/>
  <c r="I19" i="1"/>
  <c r="J19" i="1"/>
  <c r="K19" i="1"/>
  <c r="L19" i="1"/>
  <c r="M19" i="1"/>
  <c r="E19" i="1"/>
  <c r="F19" i="1"/>
  <c r="H8" i="19" s="1"/>
  <c r="G19" i="1"/>
  <c r="A20" i="1"/>
  <c r="O7" i="1"/>
  <c r="I7" i="1"/>
  <c r="J7" i="1"/>
  <c r="K7" i="1"/>
  <c r="L7" i="1"/>
  <c r="M7" i="1"/>
  <c r="H6" i="1"/>
  <c r="E7" i="1"/>
  <c r="G7" i="1"/>
  <c r="F7" i="1"/>
  <c r="Y255" i="23"/>
  <c r="V255" i="23"/>
  <c r="M255" i="23"/>
  <c r="R255" i="23"/>
  <c r="J255" i="23"/>
  <c r="S255" i="23"/>
  <c r="P255" i="23"/>
  <c r="U255" i="23"/>
  <c r="F255" i="23"/>
  <c r="H255" i="23"/>
  <c r="I255" i="23"/>
  <c r="D255" i="23"/>
  <c r="E255" i="23"/>
  <c r="T255" i="23"/>
  <c r="L255" i="23"/>
  <c r="N255" i="23"/>
  <c r="W255" i="23"/>
  <c r="K255" i="23"/>
  <c r="G255" i="23"/>
  <c r="Z255" i="23"/>
  <c r="O255" i="23"/>
  <c r="Q255" i="23"/>
  <c r="X255" i="23"/>
  <c r="AB254" i="23" a="1"/>
  <c r="AB253" i="23" a="1"/>
  <c r="S170" i="23" l="1"/>
  <c r="T170" i="23" s="1"/>
  <c r="U170" i="23" s="1"/>
  <c r="V170" i="23" s="1"/>
  <c r="W170" i="23" s="1"/>
  <c r="X170" i="23" s="1"/>
  <c r="Y170" i="23" s="1"/>
  <c r="Z170" i="23" s="1"/>
  <c r="AA170" i="23" s="1"/>
  <c r="N229" i="23"/>
  <c r="N233" i="23"/>
  <c r="P233" i="23" s="1"/>
  <c r="S227" i="23"/>
  <c r="AB254" i="23"/>
  <c r="AB253" i="23"/>
  <c r="AA255" i="23"/>
  <c r="S236" i="23"/>
  <c r="T236" i="23"/>
  <c r="U236" i="23" s="1"/>
  <c r="R150" i="23"/>
  <c r="S150" i="23" s="1"/>
  <c r="T150" i="23" s="1"/>
  <c r="U150" i="23" s="1"/>
  <c r="V150" i="23" s="1"/>
  <c r="W150" i="23" s="1"/>
  <c r="X150" i="23" s="1"/>
  <c r="Y150" i="23" s="1"/>
  <c r="Z150" i="23" s="1"/>
  <c r="AA150" i="23" s="1"/>
  <c r="O233" i="23"/>
  <c r="N143" i="23"/>
  <c r="O143" i="23" s="1"/>
  <c r="P237" i="23"/>
  <c r="Q237" i="23" s="1"/>
  <c r="B256" i="23"/>
  <c r="T231" i="23"/>
  <c r="R235" i="23"/>
  <c r="S235" i="23" s="1"/>
  <c r="T234" i="23"/>
  <c r="U234" i="23" s="1"/>
  <c r="V234" i="23" s="1"/>
  <c r="W234" i="23" s="1"/>
  <c r="T227" i="23"/>
  <c r="U227" i="23" s="1"/>
  <c r="V227" i="23" s="1"/>
  <c r="W227" i="23" s="1"/>
  <c r="N238" i="23"/>
  <c r="P228" i="23"/>
  <c r="R171" i="23"/>
  <c r="S171" i="23" s="1"/>
  <c r="T171" i="23" s="1"/>
  <c r="O232" i="23"/>
  <c r="P232" i="23" s="1"/>
  <c r="Q228" i="23"/>
  <c r="X230" i="23"/>
  <c r="Y230" i="23" s="1"/>
  <c r="Z230" i="23" s="1"/>
  <c r="AA230" i="23" s="1"/>
  <c r="Q191" i="23"/>
  <c r="S176" i="23"/>
  <c r="T176" i="23" s="1"/>
  <c r="R202" i="23"/>
  <c r="S202" i="23" s="1"/>
  <c r="T202" i="23" s="1"/>
  <c r="U202" i="23" s="1"/>
  <c r="V202" i="23" s="1"/>
  <c r="W202" i="23" s="1"/>
  <c r="X202" i="23" s="1"/>
  <c r="Y202" i="23" s="1"/>
  <c r="Q216" i="23"/>
  <c r="R216" i="23" s="1"/>
  <c r="S173" i="23"/>
  <c r="T173" i="23" s="1"/>
  <c r="U173" i="23" s="1"/>
  <c r="V173" i="23" s="1"/>
  <c r="W173" i="23" s="1"/>
  <c r="X173" i="23" s="1"/>
  <c r="Y173" i="23" s="1"/>
  <c r="Z173" i="23" s="1"/>
  <c r="AA173" i="23" s="1"/>
  <c r="T155" i="23"/>
  <c r="U155" i="23" s="1"/>
  <c r="V155" i="23" s="1"/>
  <c r="W155" i="23" s="1"/>
  <c r="X155" i="23" s="1"/>
  <c r="Y155" i="23" s="1"/>
  <c r="Z155" i="23" s="1"/>
  <c r="AA155" i="23" s="1"/>
  <c r="S209" i="23"/>
  <c r="T209" i="23" s="1"/>
  <c r="U209" i="23" s="1"/>
  <c r="V209" i="23" s="1"/>
  <c r="W209" i="23" s="1"/>
  <c r="X209" i="23" s="1"/>
  <c r="Y209" i="23" s="1"/>
  <c r="Z209" i="23" s="1"/>
  <c r="AA209" i="23" s="1"/>
  <c r="U224" i="23"/>
  <c r="V224" i="23" s="1"/>
  <c r="W224" i="23" s="1"/>
  <c r="P177" i="23"/>
  <c r="Q177" i="23" s="1"/>
  <c r="R177" i="23" s="1"/>
  <c r="S177" i="23" s="1"/>
  <c r="T177" i="23" s="1"/>
  <c r="U177" i="23" s="1"/>
  <c r="V177" i="23" s="1"/>
  <c r="W177" i="23" s="1"/>
  <c r="X177" i="23" s="1"/>
  <c r="Y177" i="23" s="1"/>
  <c r="Z177" i="23" s="1"/>
  <c r="AA177" i="23" s="1"/>
  <c r="R218" i="23"/>
  <c r="S218" i="23" s="1"/>
  <c r="R220" i="23"/>
  <c r="S220" i="23" s="1"/>
  <c r="T220" i="23" s="1"/>
  <c r="U220" i="23" s="1"/>
  <c r="V220" i="23" s="1"/>
  <c r="W220" i="23" s="1"/>
  <c r="X220" i="23" s="1"/>
  <c r="Y220" i="23" s="1"/>
  <c r="Z220" i="23" s="1"/>
  <c r="AA220" i="23" s="1"/>
  <c r="R217" i="23"/>
  <c r="S217" i="23" s="1"/>
  <c r="T217" i="23" s="1"/>
  <c r="P145" i="23"/>
  <c r="Q145" i="23" s="1"/>
  <c r="R145" i="23" s="1"/>
  <c r="S145" i="23" s="1"/>
  <c r="O172" i="23"/>
  <c r="P172" i="23" s="1"/>
  <c r="Q172" i="23" s="1"/>
  <c r="Q139" i="23"/>
  <c r="R139" i="23" s="1"/>
  <c r="R179" i="23"/>
  <c r="S179" i="23" s="1"/>
  <c r="T179" i="23" s="1"/>
  <c r="U179" i="23" s="1"/>
  <c r="V179" i="23" s="1"/>
  <c r="U199" i="23"/>
  <c r="V199" i="23" s="1"/>
  <c r="W199" i="23" s="1"/>
  <c r="X199" i="23" s="1"/>
  <c r="Y199" i="23" s="1"/>
  <c r="Z199" i="23" s="1"/>
  <c r="AA199" i="23" s="1"/>
  <c r="N154" i="23"/>
  <c r="O154" i="23" s="1"/>
  <c r="P153" i="23"/>
  <c r="Q153" i="23" s="1"/>
  <c r="R153" i="23" s="1"/>
  <c r="S153" i="23" s="1"/>
  <c r="T153" i="23" s="1"/>
  <c r="U153" i="23" s="1"/>
  <c r="Q206" i="23"/>
  <c r="R206" i="23" s="1"/>
  <c r="S206" i="23" s="1"/>
  <c r="T206" i="23" s="1"/>
  <c r="N184" i="23"/>
  <c r="O184" i="23" s="1"/>
  <c r="P184" i="23" s="1"/>
  <c r="Q184" i="23" s="1"/>
  <c r="R184" i="23" s="1"/>
  <c r="S184" i="23" s="1"/>
  <c r="O190" i="23"/>
  <c r="P190" i="23" s="1"/>
  <c r="Q190" i="23" s="1"/>
  <c r="Q165" i="23"/>
  <c r="T163" i="23"/>
  <c r="U163" i="23" s="1"/>
  <c r="V163" i="23" s="1"/>
  <c r="W163" i="23" s="1"/>
  <c r="X163" i="23" s="1"/>
  <c r="Y163" i="23" s="1"/>
  <c r="Z163" i="23" s="1"/>
  <c r="AA163" i="23" s="1"/>
  <c r="R182" i="23"/>
  <c r="S182" i="23" s="1"/>
  <c r="T182" i="23" s="1"/>
  <c r="U182" i="23" s="1"/>
  <c r="V182" i="23" s="1"/>
  <c r="W182" i="23" s="1"/>
  <c r="U204" i="23"/>
  <c r="T213" i="23"/>
  <c r="U213" i="23" s="1"/>
  <c r="T196" i="23"/>
  <c r="U196" i="23" s="1"/>
  <c r="M201" i="23"/>
  <c r="N201" i="23" s="1"/>
  <c r="O201" i="23" s="1"/>
  <c r="P207" i="23"/>
  <c r="N192" i="23"/>
  <c r="O192" i="23"/>
  <c r="P192" i="23" s="1"/>
  <c r="O203" i="23"/>
  <c r="P203" i="23" s="1"/>
  <c r="Q203" i="23" s="1"/>
  <c r="R203" i="23" s="1"/>
  <c r="Q223" i="23"/>
  <c r="R223" i="23" s="1"/>
  <c r="S223" i="23" s="1"/>
  <c r="T223" i="23" s="1"/>
  <c r="U223" i="23" s="1"/>
  <c r="V223" i="23" s="1"/>
  <c r="W223" i="23" s="1"/>
  <c r="X223" i="23" s="1"/>
  <c r="Y223" i="23" s="1"/>
  <c r="Z223" i="23" s="1"/>
  <c r="AA223" i="23" s="1"/>
  <c r="R200" i="23"/>
  <c r="S200" i="23" s="1"/>
  <c r="T200" i="23" s="1"/>
  <c r="U200" i="23" s="1"/>
  <c r="V200" i="23" s="1"/>
  <c r="W200" i="23" s="1"/>
  <c r="X200" i="23" s="1"/>
  <c r="Y200" i="23" s="1"/>
  <c r="O166" i="23"/>
  <c r="P166" i="23" s="1"/>
  <c r="Q166" i="23" s="1"/>
  <c r="R166" i="23" s="1"/>
  <c r="S166" i="23" s="1"/>
  <c r="T166" i="23" s="1"/>
  <c r="U166" i="23" s="1"/>
  <c r="V166" i="23" s="1"/>
  <c r="W166" i="23" s="1"/>
  <c r="X166" i="23" s="1"/>
  <c r="Y166" i="23" s="1"/>
  <c r="Z166" i="23" s="1"/>
  <c r="AA166" i="23" s="1"/>
  <c r="U208" i="23"/>
  <c r="V208" i="23" s="1"/>
  <c r="W208" i="23" s="1"/>
  <c r="X208" i="23" s="1"/>
  <c r="Y208" i="23" s="1"/>
  <c r="Z208" i="23" s="1"/>
  <c r="AA208" i="23" s="1"/>
  <c r="U212" i="23"/>
  <c r="V212" i="23" s="1"/>
  <c r="W212" i="23" s="1"/>
  <c r="X212" i="23" s="1"/>
  <c r="Y212" i="23" s="1"/>
  <c r="R222" i="23"/>
  <c r="S222" i="23" s="1"/>
  <c r="T222" i="23" s="1"/>
  <c r="O221" i="23"/>
  <c r="P221" i="23" s="1"/>
  <c r="Q221" i="23" s="1"/>
  <c r="R221" i="23" s="1"/>
  <c r="N158" i="23"/>
  <c r="Q198" i="23"/>
  <c r="R198" i="23" s="1"/>
  <c r="S198" i="23" s="1"/>
  <c r="T198" i="23" s="1"/>
  <c r="U198" i="23" s="1"/>
  <c r="V198" i="23" s="1"/>
  <c r="W198" i="23" s="1"/>
  <c r="X198" i="23" s="1"/>
  <c r="Y198" i="23" s="1"/>
  <c r="Z198" i="23" s="1"/>
  <c r="AA198" i="23" s="1"/>
  <c r="P156" i="23"/>
  <c r="Q156" i="23" s="1"/>
  <c r="R156" i="23" s="1"/>
  <c r="S156" i="23" s="1"/>
  <c r="T156" i="23" s="1"/>
  <c r="U156" i="23" s="1"/>
  <c r="V156" i="23" s="1"/>
  <c r="W156" i="23" s="1"/>
  <c r="P195" i="23"/>
  <c r="T181" i="23"/>
  <c r="U181" i="23" s="1"/>
  <c r="V181" i="23" s="1"/>
  <c r="W181" i="23" s="1"/>
  <c r="X181" i="23" s="1"/>
  <c r="Y181" i="23" s="1"/>
  <c r="Z181" i="23" s="1"/>
  <c r="AA181" i="23" s="1"/>
  <c r="Q188" i="23"/>
  <c r="R188" i="23" s="1"/>
  <c r="S188" i="23" s="1"/>
  <c r="T188" i="23" s="1"/>
  <c r="U188" i="23" s="1"/>
  <c r="V188" i="23" s="1"/>
  <c r="W188" i="23" s="1"/>
  <c r="X188" i="23" s="1"/>
  <c r="Y188" i="23" s="1"/>
  <c r="Z188" i="23" s="1"/>
  <c r="AA188" i="23" s="1"/>
  <c r="Q157" i="23"/>
  <c r="O189" i="23"/>
  <c r="S226" i="23"/>
  <c r="T226" i="23" s="1"/>
  <c r="U226" i="23" s="1"/>
  <c r="V226" i="23" s="1"/>
  <c r="W226" i="23" s="1"/>
  <c r="X226" i="23" s="1"/>
  <c r="Y226" i="23" s="1"/>
  <c r="Z226" i="23" s="1"/>
  <c r="AA226" i="23" s="1"/>
  <c r="P159" i="23"/>
  <c r="Q159" i="23" s="1"/>
  <c r="R159" i="23" s="1"/>
  <c r="S159" i="23" s="1"/>
  <c r="T159" i="23" s="1"/>
  <c r="U159" i="23" s="1"/>
  <c r="V159" i="23" s="1"/>
  <c r="W159" i="23" s="1"/>
  <c r="X159" i="23" s="1"/>
  <c r="Y159" i="23" s="1"/>
  <c r="Z159" i="23" s="1"/>
  <c r="AA159" i="23" s="1"/>
  <c r="W193" i="23"/>
  <c r="X193" i="23" s="1"/>
  <c r="Y193" i="23" s="1"/>
  <c r="N197" i="23"/>
  <c r="O162" i="23"/>
  <c r="P162" i="23" s="1"/>
  <c r="O183" i="23"/>
  <c r="P183" i="23" s="1"/>
  <c r="M174" i="23"/>
  <c r="Q186" i="23"/>
  <c r="R186" i="23" s="1"/>
  <c r="S186" i="23" s="1"/>
  <c r="T186" i="23" s="1"/>
  <c r="U186" i="23" s="1"/>
  <c r="V186" i="23" s="1"/>
  <c r="W186" i="23" s="1"/>
  <c r="X186" i="23" s="1"/>
  <c r="Y186" i="23" s="1"/>
  <c r="Z186" i="23" s="1"/>
  <c r="AA186" i="23" s="1"/>
  <c r="O167" i="23"/>
  <c r="P167" i="23" s="1"/>
  <c r="Q167" i="23" s="1"/>
  <c r="R167" i="23" s="1"/>
  <c r="S167" i="23" s="1"/>
  <c r="T167" i="23" s="1"/>
  <c r="U167" i="23" s="1"/>
  <c r="V167" i="23" s="1"/>
  <c r="W167" i="23" s="1"/>
  <c r="X167" i="23" s="1"/>
  <c r="Y167" i="23" s="1"/>
  <c r="Z167" i="23" s="1"/>
  <c r="AA167" i="23" s="1"/>
  <c r="O152" i="23"/>
  <c r="P152" i="23" s="1"/>
  <c r="W225" i="23"/>
  <c r="X225" i="23" s="1"/>
  <c r="Y225" i="23" s="1"/>
  <c r="Z225" i="23" s="1"/>
  <c r="AA225" i="23" s="1"/>
  <c r="Y178" i="23"/>
  <c r="Z178" i="23" s="1"/>
  <c r="AA178" i="23" s="1"/>
  <c r="O194" i="23"/>
  <c r="P194" i="23" s="1"/>
  <c r="Q194" i="23" s="1"/>
  <c r="R194" i="23" s="1"/>
  <c r="S194" i="23" s="1"/>
  <c r="T194" i="23" s="1"/>
  <c r="U194" i="23" s="1"/>
  <c r="V194" i="23" s="1"/>
  <c r="W194" i="23" s="1"/>
  <c r="X194" i="23" s="1"/>
  <c r="Y194" i="23" s="1"/>
  <c r="Z194" i="23" s="1"/>
  <c r="AA194" i="23" s="1"/>
  <c r="Q205" i="23"/>
  <c r="R205" i="23" s="1"/>
  <c r="S205" i="23" s="1"/>
  <c r="T205" i="23" s="1"/>
  <c r="U205" i="23" s="1"/>
  <c r="V205" i="23" s="1"/>
  <c r="W205" i="23" s="1"/>
  <c r="X205" i="23" s="1"/>
  <c r="Y205" i="23" s="1"/>
  <c r="Z205" i="23" s="1"/>
  <c r="AA205" i="23" s="1"/>
  <c r="N185" i="23"/>
  <c r="P180" i="23"/>
  <c r="Q180" i="23" s="1"/>
  <c r="R180" i="23" s="1"/>
  <c r="S180" i="23" s="1"/>
  <c r="T180" i="23" s="1"/>
  <c r="U180" i="23" s="1"/>
  <c r="V180" i="23" s="1"/>
  <c r="W180" i="23" s="1"/>
  <c r="X180" i="23" s="1"/>
  <c r="Y180" i="23" s="1"/>
  <c r="M168" i="23"/>
  <c r="O219" i="23"/>
  <c r="O187" i="23"/>
  <c r="P210" i="23"/>
  <c r="Q214" i="23"/>
  <c r="R214" i="23" s="1"/>
  <c r="N175" i="23"/>
  <c r="P151" i="23"/>
  <c r="Q151" i="23" s="1"/>
  <c r="R151" i="23" s="1"/>
  <c r="S151" i="23" s="1"/>
  <c r="N149" i="23"/>
  <c r="U148" i="23"/>
  <c r="V148" i="23" s="1"/>
  <c r="W148" i="23" s="1"/>
  <c r="X148" i="23" s="1"/>
  <c r="Y148" i="23" s="1"/>
  <c r="Z148" i="23" s="1"/>
  <c r="AA148" i="23" s="1"/>
  <c r="P147" i="23"/>
  <c r="O146" i="23"/>
  <c r="N144" i="23"/>
  <c r="O144" i="23" s="1"/>
  <c r="P144" i="23" s="1"/>
  <c r="Q144" i="23"/>
  <c r="R144" i="23" s="1"/>
  <c r="S144" i="23" s="1"/>
  <c r="T144" i="23" s="1"/>
  <c r="U144" i="23" s="1"/>
  <c r="V144" i="23" s="1"/>
  <c r="W144" i="23" s="1"/>
  <c r="X144" i="23" s="1"/>
  <c r="Y144" i="23" s="1"/>
  <c r="Z144" i="23" s="1"/>
  <c r="AA144" i="23" s="1"/>
  <c r="P142" i="23"/>
  <c r="U141" i="23"/>
  <c r="V141" i="23" s="1"/>
  <c r="W141" i="23" s="1"/>
  <c r="X141" i="23" s="1"/>
  <c r="Y141" i="23" s="1"/>
  <c r="Z141" i="23" s="1"/>
  <c r="AA141" i="23" s="1"/>
  <c r="G13" i="19"/>
  <c r="D13" i="19"/>
  <c r="C14" i="19"/>
  <c r="H19" i="1"/>
  <c r="O20" i="1"/>
  <c r="I20" i="1"/>
  <c r="J20" i="1"/>
  <c r="K20" i="1"/>
  <c r="L20" i="1"/>
  <c r="M20" i="1"/>
  <c r="E20" i="1"/>
  <c r="F20" i="1"/>
  <c r="H7" i="19" s="1"/>
  <c r="G20" i="1"/>
  <c r="A21" i="1"/>
  <c r="O8" i="1"/>
  <c r="I8" i="1"/>
  <c r="J8" i="1"/>
  <c r="K8" i="1"/>
  <c r="L8" i="1"/>
  <c r="M8" i="1"/>
  <c r="H7" i="1"/>
  <c r="E8" i="1"/>
  <c r="G8" i="1"/>
  <c r="F8" i="1"/>
  <c r="N256" i="23"/>
  <c r="E256" i="23"/>
  <c r="H256" i="23"/>
  <c r="G256" i="23"/>
  <c r="Y256" i="23"/>
  <c r="S256" i="23"/>
  <c r="P256" i="23"/>
  <c r="Z256" i="23"/>
  <c r="F256" i="23"/>
  <c r="X256" i="23"/>
  <c r="D256" i="23"/>
  <c r="K256" i="23"/>
  <c r="AB255" i="23" a="1"/>
  <c r="O229" i="23" l="1"/>
  <c r="AB255" i="23"/>
  <c r="P143" i="23"/>
  <c r="Q143" i="23" s="1"/>
  <c r="V236" i="23"/>
  <c r="W236" i="23" s="1"/>
  <c r="Q233" i="23"/>
  <c r="R237" i="23"/>
  <c r="B257" i="23"/>
  <c r="T235" i="23"/>
  <c r="U235" i="23" s="1"/>
  <c r="V235" i="23" s="1"/>
  <c r="W235" i="23" s="1"/>
  <c r="U231" i="23"/>
  <c r="O238" i="23"/>
  <c r="P238" i="23" s="1"/>
  <c r="Q238" i="23" s="1"/>
  <c r="R238" i="23" s="1"/>
  <c r="Q232" i="23"/>
  <c r="R232" i="23" s="1"/>
  <c r="X227" i="23"/>
  <c r="Y227" i="23" s="1"/>
  <c r="Z227" i="23" s="1"/>
  <c r="AA227" i="23" s="1"/>
  <c r="R228" i="23"/>
  <c r="S228" i="23" s="1"/>
  <c r="U171" i="23"/>
  <c r="V171" i="23" s="1"/>
  <c r="W171" i="23" s="1"/>
  <c r="X171" i="23" s="1"/>
  <c r="Y171" i="23" s="1"/>
  <c r="Z171" i="23" s="1"/>
  <c r="AA171" i="23" s="1"/>
  <c r="X234" i="23"/>
  <c r="Y234" i="23" s="1"/>
  <c r="Z234" i="23" s="1"/>
  <c r="Z202" i="23"/>
  <c r="AA202" i="23" s="1"/>
  <c r="X156" i="23"/>
  <c r="Y156" i="23" s="1"/>
  <c r="Z156" i="23" s="1"/>
  <c r="AA156" i="23" s="1"/>
  <c r="R191" i="23"/>
  <c r="Z193" i="23"/>
  <c r="AA193" i="23" s="1"/>
  <c r="W179" i="23"/>
  <c r="X179" i="23" s="1"/>
  <c r="Y179" i="23" s="1"/>
  <c r="Z179" i="23" s="1"/>
  <c r="AA179" i="23" s="1"/>
  <c r="Z200" i="23"/>
  <c r="AA200" i="23" s="1"/>
  <c r="R172" i="23"/>
  <c r="S172" i="23" s="1"/>
  <c r="T172" i="23" s="1"/>
  <c r="U172" i="23" s="1"/>
  <c r="V172" i="23" s="1"/>
  <c r="W172" i="23" s="1"/>
  <c r="X172" i="23" s="1"/>
  <c r="Y172" i="23" s="1"/>
  <c r="Z172" i="23" s="1"/>
  <c r="AA172" i="23" s="1"/>
  <c r="U217" i="23"/>
  <c r="V217" i="23" s="1"/>
  <c r="W217" i="23" s="1"/>
  <c r="X217" i="23" s="1"/>
  <c r="Y217" i="23" s="1"/>
  <c r="Z217" i="23" s="1"/>
  <c r="AA217" i="23" s="1"/>
  <c r="S216" i="23"/>
  <c r="T216" i="23" s="1"/>
  <c r="U176" i="23"/>
  <c r="V176" i="23" s="1"/>
  <c r="W176" i="23" s="1"/>
  <c r="X176" i="23" s="1"/>
  <c r="Y176" i="23" s="1"/>
  <c r="Z176" i="23" s="1"/>
  <c r="AA176" i="23" s="1"/>
  <c r="Q152" i="23"/>
  <c r="R152" i="23" s="1"/>
  <c r="S152" i="23" s="1"/>
  <c r="U206" i="23"/>
  <c r="V206" i="23" s="1"/>
  <c r="W206" i="23" s="1"/>
  <c r="X206" i="23" s="1"/>
  <c r="Y206" i="23" s="1"/>
  <c r="Z206" i="23" s="1"/>
  <c r="AA206" i="23" s="1"/>
  <c r="V196" i="23"/>
  <c r="W196" i="23" s="1"/>
  <c r="X196" i="23" s="1"/>
  <c r="Y196" i="23" s="1"/>
  <c r="Z196" i="23" s="1"/>
  <c r="AA196" i="23" s="1"/>
  <c r="T218" i="23"/>
  <c r="U218" i="23" s="1"/>
  <c r="V218" i="23" s="1"/>
  <c r="W218" i="23" s="1"/>
  <c r="X218" i="23" s="1"/>
  <c r="Y218" i="23" s="1"/>
  <c r="Z218" i="23" s="1"/>
  <c r="AA218" i="23" s="1"/>
  <c r="T145" i="23"/>
  <c r="U145" i="23" s="1"/>
  <c r="V145" i="23" s="1"/>
  <c r="W145" i="23" s="1"/>
  <c r="X145" i="23" s="1"/>
  <c r="Y145" i="23" s="1"/>
  <c r="Z145" i="23" s="1"/>
  <c r="AA145" i="23" s="1"/>
  <c r="Q192" i="23"/>
  <c r="R192" i="23" s="1"/>
  <c r="S192" i="23" s="1"/>
  <c r="T192" i="23" s="1"/>
  <c r="U192" i="23" s="1"/>
  <c r="V192" i="23" s="1"/>
  <c r="W192" i="23" s="1"/>
  <c r="X192" i="23" s="1"/>
  <c r="Y192" i="23" s="1"/>
  <c r="Z192" i="23" s="1"/>
  <c r="AA192" i="23" s="1"/>
  <c r="S203" i="23"/>
  <c r="S214" i="23"/>
  <c r="T214" i="23" s="1"/>
  <c r="U214" i="23" s="1"/>
  <c r="T151" i="23"/>
  <c r="U151" i="23" s="1"/>
  <c r="V151" i="23" s="1"/>
  <c r="W151" i="23" s="1"/>
  <c r="X151" i="23" s="1"/>
  <c r="Y151" i="23" s="1"/>
  <c r="Z151" i="23" s="1"/>
  <c r="AA151" i="23" s="1"/>
  <c r="P154" i="23"/>
  <c r="S139" i="23"/>
  <c r="T139" i="23" s="1"/>
  <c r="U139" i="23" s="1"/>
  <c r="R165" i="23"/>
  <c r="Q207" i="23"/>
  <c r="X182" i="23"/>
  <c r="Y182" i="23" s="1"/>
  <c r="Z182" i="23" s="1"/>
  <c r="AA182" i="23" s="1"/>
  <c r="V153" i="23"/>
  <c r="W153" i="23" s="1"/>
  <c r="X153" i="23" s="1"/>
  <c r="Y153" i="23" s="1"/>
  <c r="Z153" i="23" s="1"/>
  <c r="AA153" i="23" s="1"/>
  <c r="Z212" i="23"/>
  <c r="AA212" i="23" s="1"/>
  <c r="P201" i="23"/>
  <c r="X224" i="23"/>
  <c r="Y224" i="23" s="1"/>
  <c r="Z224" i="23" s="1"/>
  <c r="AA224" i="23" s="1"/>
  <c r="V213" i="23"/>
  <c r="W213" i="23" s="1"/>
  <c r="X213" i="23" s="1"/>
  <c r="Y213" i="23" s="1"/>
  <c r="Z213" i="23" s="1"/>
  <c r="AA213" i="23" s="1"/>
  <c r="R190" i="23"/>
  <c r="S190" i="23" s="1"/>
  <c r="V204" i="23"/>
  <c r="W204" i="23" s="1"/>
  <c r="T184" i="23"/>
  <c r="U184" i="23" s="1"/>
  <c r="V184" i="23" s="1"/>
  <c r="W184" i="23" s="1"/>
  <c r="X184" i="23" s="1"/>
  <c r="Y184" i="23" s="1"/>
  <c r="Z184" i="23" s="1"/>
  <c r="AA184" i="23" s="1"/>
  <c r="N174" i="23"/>
  <c r="O174" i="23" s="1"/>
  <c r="P174" i="23" s="1"/>
  <c r="Q174" i="23" s="1"/>
  <c r="R174" i="23" s="1"/>
  <c r="S174" i="23" s="1"/>
  <c r="T174" i="23" s="1"/>
  <c r="U174" i="23" s="1"/>
  <c r="V174" i="23" s="1"/>
  <c r="W174" i="23" s="1"/>
  <c r="X174" i="23" s="1"/>
  <c r="Y174" i="23" s="1"/>
  <c r="Z174" i="23" s="1"/>
  <c r="AA174" i="23" s="1"/>
  <c r="P189" i="23"/>
  <c r="P219" i="23"/>
  <c r="Q219" i="23" s="1"/>
  <c r="R219" i="23" s="1"/>
  <c r="S219" i="23" s="1"/>
  <c r="U222" i="23"/>
  <c r="O158" i="23"/>
  <c r="Q210" i="23"/>
  <c r="R157" i="23"/>
  <c r="S157" i="23" s="1"/>
  <c r="O175" i="23"/>
  <c r="P175" i="23" s="1"/>
  <c r="Q175" i="23" s="1"/>
  <c r="R175" i="23" s="1"/>
  <c r="Z180" i="23"/>
  <c r="AA180" i="23" s="1"/>
  <c r="O197" i="23"/>
  <c r="N168" i="23"/>
  <c r="O168" i="23" s="1"/>
  <c r="P168" i="23" s="1"/>
  <c r="Q168" i="23" s="1"/>
  <c r="R168" i="23" s="1"/>
  <c r="S168" i="23" s="1"/>
  <c r="T168" i="23" s="1"/>
  <c r="U168" i="23" s="1"/>
  <c r="V168" i="23" s="1"/>
  <c r="W168" i="23" s="1"/>
  <c r="X168" i="23" s="1"/>
  <c r="Y168" i="23" s="1"/>
  <c r="Z168" i="23" s="1"/>
  <c r="AA168" i="23" s="1"/>
  <c r="S221" i="23"/>
  <c r="T221" i="23" s="1"/>
  <c r="U221" i="23" s="1"/>
  <c r="V221" i="23" s="1"/>
  <c r="W221" i="23" s="1"/>
  <c r="X221" i="23" s="1"/>
  <c r="Q183" i="23"/>
  <c r="Q162" i="23"/>
  <c r="R162" i="23" s="1"/>
  <c r="S162" i="23" s="1"/>
  <c r="T162" i="23" s="1"/>
  <c r="U162" i="23" s="1"/>
  <c r="V162" i="23" s="1"/>
  <c r="W162" i="23" s="1"/>
  <c r="X162" i="23" s="1"/>
  <c r="Y162" i="23" s="1"/>
  <c r="Z162" i="23" s="1"/>
  <c r="AA162" i="23" s="1"/>
  <c r="Q195" i="23"/>
  <c r="R195" i="23" s="1"/>
  <c r="S195" i="23" s="1"/>
  <c r="T195" i="23" s="1"/>
  <c r="U195" i="23" s="1"/>
  <c r="V195" i="23" s="1"/>
  <c r="W195" i="23" s="1"/>
  <c r="X195" i="23" s="1"/>
  <c r="Y195" i="23" s="1"/>
  <c r="Z195" i="23" s="1"/>
  <c r="AA195" i="23" s="1"/>
  <c r="P187" i="23"/>
  <c r="Q187" i="23" s="1"/>
  <c r="R187" i="23" s="1"/>
  <c r="S187" i="23" s="1"/>
  <c r="T187" i="23" s="1"/>
  <c r="U187" i="23" s="1"/>
  <c r="V187" i="23" s="1"/>
  <c r="W187" i="23" s="1"/>
  <c r="X187" i="23" s="1"/>
  <c r="Y187" i="23" s="1"/>
  <c r="Z187" i="23" s="1"/>
  <c r="AA187" i="23" s="1"/>
  <c r="O185" i="23"/>
  <c r="P185" i="23" s="1"/>
  <c r="Q185" i="23" s="1"/>
  <c r="R185" i="23" s="1"/>
  <c r="S185" i="23" s="1"/>
  <c r="O149" i="23"/>
  <c r="Q147" i="23"/>
  <c r="R147" i="23" s="1"/>
  <c r="S147" i="23" s="1"/>
  <c r="T147" i="23" s="1"/>
  <c r="U147" i="23" s="1"/>
  <c r="V147" i="23" s="1"/>
  <c r="W147" i="23" s="1"/>
  <c r="X147" i="23" s="1"/>
  <c r="Y147" i="23" s="1"/>
  <c r="Z147" i="23" s="1"/>
  <c r="AA147" i="23" s="1"/>
  <c r="P146" i="23"/>
  <c r="Q146" i="23" s="1"/>
  <c r="R146" i="23" s="1"/>
  <c r="Q142" i="23"/>
  <c r="R142" i="23" s="1"/>
  <c r="S142" i="23" s="1"/>
  <c r="T142" i="23" s="1"/>
  <c r="H14" i="19"/>
  <c r="G14" i="19"/>
  <c r="D14" i="19"/>
  <c r="C15" i="19"/>
  <c r="H15" i="19" s="1"/>
  <c r="H20" i="1"/>
  <c r="O21" i="1"/>
  <c r="I21" i="1"/>
  <c r="J21" i="1"/>
  <c r="K21" i="1"/>
  <c r="L21" i="1"/>
  <c r="M21" i="1"/>
  <c r="E21" i="1"/>
  <c r="F21" i="1"/>
  <c r="G21" i="1"/>
  <c r="A22" i="1"/>
  <c r="H8" i="1"/>
  <c r="X257" i="23"/>
  <c r="Y257" i="23"/>
  <c r="E257" i="23"/>
  <c r="V256" i="23"/>
  <c r="W256" i="23"/>
  <c r="P257" i="23"/>
  <c r="H257" i="23"/>
  <c r="I257" i="23"/>
  <c r="G257" i="23"/>
  <c r="N257" i="23"/>
  <c r="U256" i="23"/>
  <c r="J256" i="23"/>
  <c r="D257" i="23"/>
  <c r="Q257" i="23"/>
  <c r="F257" i="23"/>
  <c r="R257" i="23"/>
  <c r="M257" i="23"/>
  <c r="K257" i="23"/>
  <c r="S257" i="23"/>
  <c r="Z257" i="23"/>
  <c r="L256" i="23"/>
  <c r="J257" i="23"/>
  <c r="W257" i="23"/>
  <c r="M256" i="23"/>
  <c r="T256" i="23"/>
  <c r="R256" i="23"/>
  <c r="I256" i="23"/>
  <c r="V257" i="23"/>
  <c r="T257" i="23"/>
  <c r="Q256" i="23"/>
  <c r="O256" i="23"/>
  <c r="U257" i="23"/>
  <c r="O257" i="23"/>
  <c r="L257" i="23"/>
  <c r="P229" i="23" l="1"/>
  <c r="Q229" i="23" s="1"/>
  <c r="AA256" i="23"/>
  <c r="AA257" i="23"/>
  <c r="T233" i="23"/>
  <c r="R143" i="23"/>
  <c r="S143" i="23" s="1"/>
  <c r="T143" i="23" s="1"/>
  <c r="S237" i="23"/>
  <c r="T237" i="23" s="1"/>
  <c r="R233" i="23"/>
  <c r="S233" i="23" s="1"/>
  <c r="U142" i="23"/>
  <c r="V142" i="23" s="1"/>
  <c r="W142" i="23" s="1"/>
  <c r="X142" i="23" s="1"/>
  <c r="Y142" i="23" s="1"/>
  <c r="Z142" i="23" s="1"/>
  <c r="AA142" i="23" s="1"/>
  <c r="X204" i="23"/>
  <c r="Y204" i="23" s="1"/>
  <c r="Z204" i="23" s="1"/>
  <c r="AA204" i="23" s="1"/>
  <c r="X236" i="23"/>
  <c r="Y236" i="23" s="1"/>
  <c r="Z236" i="23" s="1"/>
  <c r="AA236" i="23" s="1"/>
  <c r="U233" i="23"/>
  <c r="B258" i="23"/>
  <c r="U216" i="23"/>
  <c r="V216" i="23" s="1"/>
  <c r="W216" i="23" s="1"/>
  <c r="X216" i="23" s="1"/>
  <c r="Y216" i="23" s="1"/>
  <c r="Z216" i="23" s="1"/>
  <c r="AA216" i="23" s="1"/>
  <c r="S238" i="23"/>
  <c r="T238" i="23" s="1"/>
  <c r="U238" i="23" s="1"/>
  <c r="V238" i="23" s="1"/>
  <c r="W238" i="23" s="1"/>
  <c r="X238" i="23" s="1"/>
  <c r="Y238" i="23" s="1"/>
  <c r="Z238" i="23" s="1"/>
  <c r="AA238" i="23" s="1"/>
  <c r="X235" i="23"/>
  <c r="Y235" i="23" s="1"/>
  <c r="Z235" i="23" s="1"/>
  <c r="AA235" i="23" s="1"/>
  <c r="T228" i="23"/>
  <c r="U228" i="23" s="1"/>
  <c r="V228" i="23" s="1"/>
  <c r="W228" i="23" s="1"/>
  <c r="X228" i="23" s="1"/>
  <c r="Y228" i="23" s="1"/>
  <c r="Z228" i="23" s="1"/>
  <c r="AA228" i="23" s="1"/>
  <c r="V231" i="23"/>
  <c r="W231" i="23" s="1"/>
  <c r="X231" i="23" s="1"/>
  <c r="T185" i="23"/>
  <c r="U185" i="23" s="1"/>
  <c r="V185" i="23" s="1"/>
  <c r="W185" i="23" s="1"/>
  <c r="X185" i="23" s="1"/>
  <c r="Y185" i="23" s="1"/>
  <c r="Z185" i="23" s="1"/>
  <c r="AA185" i="23" s="1"/>
  <c r="S232" i="23"/>
  <c r="V214" i="23"/>
  <c r="W214" i="23" s="1"/>
  <c r="X214" i="23" s="1"/>
  <c r="Y214" i="23" s="1"/>
  <c r="Z214" i="23" s="1"/>
  <c r="AA214" i="23" s="1"/>
  <c r="AA234" i="23"/>
  <c r="S191" i="23"/>
  <c r="T191" i="23" s="1"/>
  <c r="T152" i="23"/>
  <c r="U152" i="23" s="1"/>
  <c r="V152" i="23" s="1"/>
  <c r="W152" i="23" s="1"/>
  <c r="X152" i="23" s="1"/>
  <c r="Y152" i="23" s="1"/>
  <c r="Z152" i="23" s="1"/>
  <c r="AA152" i="23" s="1"/>
  <c r="Q201" i="23"/>
  <c r="R201" i="23" s="1"/>
  <c r="S201" i="23" s="1"/>
  <c r="T157" i="23"/>
  <c r="U157" i="23" s="1"/>
  <c r="V157" i="23" s="1"/>
  <c r="W157" i="23" s="1"/>
  <c r="X157" i="23" s="1"/>
  <c r="Y157" i="23" s="1"/>
  <c r="Z157" i="23" s="1"/>
  <c r="AA157" i="23" s="1"/>
  <c r="S165" i="23"/>
  <c r="T165" i="23" s="1"/>
  <c r="V139" i="23"/>
  <c r="W139" i="23" s="1"/>
  <c r="X139" i="23" s="1"/>
  <c r="Y139" i="23" s="1"/>
  <c r="Z139" i="23" s="1"/>
  <c r="AA139" i="23" s="1"/>
  <c r="Y221" i="23"/>
  <c r="Z221" i="23" s="1"/>
  <c r="AA221" i="23" s="1"/>
  <c r="T219" i="23"/>
  <c r="U219" i="23" s="1"/>
  <c r="V219" i="23" s="1"/>
  <c r="W219" i="23" s="1"/>
  <c r="X219" i="23" s="1"/>
  <c r="Y219" i="23" s="1"/>
  <c r="Z219" i="23" s="1"/>
  <c r="AA219" i="23" s="1"/>
  <c r="T203" i="23"/>
  <c r="U203" i="23" s="1"/>
  <c r="V203" i="23" s="1"/>
  <c r="W203" i="23" s="1"/>
  <c r="T190" i="23"/>
  <c r="U190" i="23" s="1"/>
  <c r="V190" i="23" s="1"/>
  <c r="W190" i="23" s="1"/>
  <c r="X190" i="23" s="1"/>
  <c r="Y190" i="23" s="1"/>
  <c r="Z190" i="23" s="1"/>
  <c r="AA190" i="23" s="1"/>
  <c r="S146" i="23"/>
  <c r="T146" i="23" s="1"/>
  <c r="U146" i="23" s="1"/>
  <c r="V146" i="23" s="1"/>
  <c r="W146" i="23" s="1"/>
  <c r="X146" i="23" s="1"/>
  <c r="Y146" i="23" s="1"/>
  <c r="Z146" i="23" s="1"/>
  <c r="AA146" i="23" s="1"/>
  <c r="R207" i="23"/>
  <c r="S207" i="23" s="1"/>
  <c r="Q154" i="23"/>
  <c r="P158" i="23"/>
  <c r="Q158" i="23" s="1"/>
  <c r="R158" i="23" s="1"/>
  <c r="S158" i="23" s="1"/>
  <c r="R210" i="23"/>
  <c r="S210" i="23" s="1"/>
  <c r="T210" i="23" s="1"/>
  <c r="U210" i="23" s="1"/>
  <c r="V210" i="23" s="1"/>
  <c r="W210" i="23" s="1"/>
  <c r="X210" i="23" s="1"/>
  <c r="Y210" i="23" s="1"/>
  <c r="Z210" i="23" s="1"/>
  <c r="AA210" i="23" s="1"/>
  <c r="S175" i="23"/>
  <c r="T175" i="23" s="1"/>
  <c r="U175" i="23" s="1"/>
  <c r="V175" i="23" s="1"/>
  <c r="W175" i="23" s="1"/>
  <c r="X175" i="23" s="1"/>
  <c r="Y175" i="23" s="1"/>
  <c r="Z175" i="23" s="1"/>
  <c r="AA175" i="23" s="1"/>
  <c r="Q189" i="23"/>
  <c r="R189" i="23" s="1"/>
  <c r="S189" i="23" s="1"/>
  <c r="T189" i="23" s="1"/>
  <c r="U189" i="23" s="1"/>
  <c r="V189" i="23" s="1"/>
  <c r="W189" i="23" s="1"/>
  <c r="X189" i="23" s="1"/>
  <c r="Y189" i="23" s="1"/>
  <c r="Z189" i="23" s="1"/>
  <c r="AA189" i="23" s="1"/>
  <c r="P197" i="23"/>
  <c r="Q197" i="23" s="1"/>
  <c r="R197" i="23" s="1"/>
  <c r="S197" i="23" s="1"/>
  <c r="T197" i="23" s="1"/>
  <c r="U197" i="23" s="1"/>
  <c r="V197" i="23" s="1"/>
  <c r="W197" i="23" s="1"/>
  <c r="X197" i="23" s="1"/>
  <c r="Y197" i="23" s="1"/>
  <c r="Z197" i="23" s="1"/>
  <c r="AA197" i="23" s="1"/>
  <c r="R183" i="23"/>
  <c r="S183" i="23" s="1"/>
  <c r="T183" i="23" s="1"/>
  <c r="U183" i="23" s="1"/>
  <c r="V183" i="23" s="1"/>
  <c r="W183" i="23" s="1"/>
  <c r="X183" i="23" s="1"/>
  <c r="Y183" i="23" s="1"/>
  <c r="Z183" i="23" s="1"/>
  <c r="AA183" i="23" s="1"/>
  <c r="V222" i="23"/>
  <c r="W222" i="23" s="1"/>
  <c r="P149" i="23"/>
  <c r="Q149" i="23" s="1"/>
  <c r="R149" i="23" s="1"/>
  <c r="G15" i="19"/>
  <c r="D15" i="19"/>
  <c r="C16" i="19"/>
  <c r="H16" i="19" s="1"/>
  <c r="H21" i="1"/>
  <c r="O22" i="1"/>
  <c r="I22" i="1"/>
  <c r="J22" i="1"/>
  <c r="K22" i="1"/>
  <c r="L22" i="1"/>
  <c r="M22" i="1"/>
  <c r="E22" i="1"/>
  <c r="F22" i="1"/>
  <c r="G22" i="1"/>
  <c r="A23" i="1"/>
  <c r="M258" i="23"/>
  <c r="U258" i="23"/>
  <c r="H258" i="23"/>
  <c r="S258" i="23"/>
  <c r="Q258" i="23"/>
  <c r="F258" i="23"/>
  <c r="D258" i="23"/>
  <c r="AB256" i="23" a="1"/>
  <c r="G258" i="23"/>
  <c r="Y258" i="23"/>
  <c r="X258" i="23"/>
  <c r="AB257" i="23" a="1"/>
  <c r="R229" i="23" l="1"/>
  <c r="U143" i="23"/>
  <c r="V143" i="23" s="1"/>
  <c r="W143" i="23" s="1"/>
  <c r="X143" i="23" s="1"/>
  <c r="Y143" i="23" s="1"/>
  <c r="Z143" i="23" s="1"/>
  <c r="AA143" i="23" s="1"/>
  <c r="AB257" i="23"/>
  <c r="AB256" i="23"/>
  <c r="U237" i="23"/>
  <c r="V237" i="23" s="1"/>
  <c r="X203" i="23"/>
  <c r="Y203" i="23" s="1"/>
  <c r="Z203" i="23" s="1"/>
  <c r="AA203" i="23" s="1"/>
  <c r="Y231" i="23"/>
  <c r="Z231" i="23" s="1"/>
  <c r="AA231" i="23" s="1"/>
  <c r="V233" i="23"/>
  <c r="B259" i="23"/>
  <c r="T232" i="23"/>
  <c r="U232" i="23" s="1"/>
  <c r="V232" i="23"/>
  <c r="W232" i="23" s="1"/>
  <c r="X232" i="23"/>
  <c r="Y232" i="23" s="1"/>
  <c r="Z232" i="23" s="1"/>
  <c r="AA232" i="23" s="1"/>
  <c r="U191" i="23"/>
  <c r="V191" i="23" s="1"/>
  <c r="W191" i="23" s="1"/>
  <c r="X191" i="23" s="1"/>
  <c r="Y191" i="23" s="1"/>
  <c r="Z191" i="23" s="1"/>
  <c r="AA191" i="23" s="1"/>
  <c r="U165" i="23"/>
  <c r="V165" i="23" s="1"/>
  <c r="W165" i="23" s="1"/>
  <c r="X165" i="23" s="1"/>
  <c r="Y165" i="23" s="1"/>
  <c r="Z165" i="23" s="1"/>
  <c r="AA165" i="23" s="1"/>
  <c r="T201" i="23"/>
  <c r="U201" i="23" s="1"/>
  <c r="V201" i="23" s="1"/>
  <c r="T207" i="23"/>
  <c r="U207" i="23" s="1"/>
  <c r="R154" i="23"/>
  <c r="S154" i="23" s="1"/>
  <c r="T154" i="23" s="1"/>
  <c r="U154" i="23" s="1"/>
  <c r="V154" i="23" s="1"/>
  <c r="S149" i="23"/>
  <c r="T149" i="23" s="1"/>
  <c r="U149" i="23" s="1"/>
  <c r="V149" i="23" s="1"/>
  <c r="W149" i="23" s="1"/>
  <c r="X149" i="23" s="1"/>
  <c r="Y149" i="23" s="1"/>
  <c r="Z149" i="23" s="1"/>
  <c r="AA149" i="23" s="1"/>
  <c r="X222" i="23"/>
  <c r="Y222" i="23" s="1"/>
  <c r="Z222" i="23" s="1"/>
  <c r="AA222" i="23" s="1"/>
  <c r="T158" i="23"/>
  <c r="U158" i="23" s="1"/>
  <c r="V158" i="23" s="1"/>
  <c r="W158" i="23" s="1"/>
  <c r="X158" i="23" s="1"/>
  <c r="Y158" i="23" s="1"/>
  <c r="Z158" i="23" s="1"/>
  <c r="AA158" i="23" s="1"/>
  <c r="G16" i="19"/>
  <c r="D16" i="19"/>
  <c r="C17" i="19"/>
  <c r="H17" i="19" s="1"/>
  <c r="O23" i="1"/>
  <c r="I23" i="1"/>
  <c r="J23" i="1"/>
  <c r="K23" i="1"/>
  <c r="L23" i="1"/>
  <c r="M23" i="1"/>
  <c r="E23" i="1"/>
  <c r="F23" i="1"/>
  <c r="G23" i="1"/>
  <c r="A24" i="1"/>
  <c r="H22" i="1"/>
  <c r="R259" i="23"/>
  <c r="K258" i="23"/>
  <c r="L258" i="23"/>
  <c r="O258" i="23"/>
  <c r="R258" i="23"/>
  <c r="V258" i="23"/>
  <c r="J258" i="23"/>
  <c r="I258" i="23"/>
  <c r="Z258" i="23"/>
  <c r="E258" i="23"/>
  <c r="W258" i="23"/>
  <c r="N258" i="23"/>
  <c r="P258" i="23"/>
  <c r="F259" i="23"/>
  <c r="P259" i="23"/>
  <c r="D259" i="23"/>
  <c r="S259" i="23"/>
  <c r="T258" i="23"/>
  <c r="W259" i="23"/>
  <c r="S229" i="23" l="1"/>
  <c r="T229" i="23" s="1"/>
  <c r="AA258" i="23"/>
  <c r="W233" i="23"/>
  <c r="X233" i="23"/>
  <c r="W237" i="23"/>
  <c r="B260" i="23"/>
  <c r="V207" i="23"/>
  <c r="W207" i="23" s="1"/>
  <c r="X207" i="23" s="1"/>
  <c r="Y207" i="23" s="1"/>
  <c r="Z207" i="23" s="1"/>
  <c r="AA207" i="23" s="1"/>
  <c r="W154" i="23"/>
  <c r="X154" i="23" s="1"/>
  <c r="Y154" i="23" s="1"/>
  <c r="Z154" i="23" s="1"/>
  <c r="AA154" i="23" s="1"/>
  <c r="W201" i="23"/>
  <c r="X201" i="23" s="1"/>
  <c r="Y201" i="23" s="1"/>
  <c r="Z201" i="23" s="1"/>
  <c r="AA201" i="23" s="1"/>
  <c r="G17" i="19"/>
  <c r="D17" i="19"/>
  <c r="C18" i="19"/>
  <c r="H18" i="19" s="1"/>
  <c r="H23" i="1"/>
  <c r="O24" i="1"/>
  <c r="I24" i="1"/>
  <c r="J24" i="1"/>
  <c r="K24" i="1"/>
  <c r="L24" i="1"/>
  <c r="M24" i="1"/>
  <c r="E24" i="1"/>
  <c r="F24" i="1"/>
  <c r="G24" i="1"/>
  <c r="A25" i="1"/>
  <c r="Z259" i="23"/>
  <c r="Y259" i="23"/>
  <c r="D260" i="23"/>
  <c r="L259" i="23"/>
  <c r="I259" i="23"/>
  <c r="N259" i="23"/>
  <c r="K260" i="23"/>
  <c r="Q259" i="23"/>
  <c r="G259" i="23"/>
  <c r="M259" i="23"/>
  <c r="U259" i="23"/>
  <c r="E259" i="23"/>
  <c r="T260" i="23"/>
  <c r="O259" i="23"/>
  <c r="J259" i="23"/>
  <c r="I260" i="23"/>
  <c r="T259" i="23"/>
  <c r="AB258" i="23" a="1"/>
  <c r="X259" i="23"/>
  <c r="V259" i="23"/>
  <c r="H259" i="23"/>
  <c r="K259" i="23"/>
  <c r="U229" i="23" l="1"/>
  <c r="V229" i="23"/>
  <c r="W229" i="23"/>
  <c r="H274" i="23"/>
  <c r="G274" i="23"/>
  <c r="F274" i="23"/>
  <c r="F280" i="23" s="1"/>
  <c r="AB258" i="23"/>
  <c r="AA259" i="23"/>
  <c r="X237" i="23"/>
  <c r="Y237" i="23" s="1"/>
  <c r="Z237" i="23" s="1"/>
  <c r="AA237" i="23" s="1"/>
  <c r="Y233" i="23"/>
  <c r="Z233" i="23" s="1"/>
  <c r="AA233" i="23" s="1"/>
  <c r="X229" i="23"/>
  <c r="Y229" i="23" s="1"/>
  <c r="Z229" i="23" s="1"/>
  <c r="AA229" i="23" s="1"/>
  <c r="B261" i="23"/>
  <c r="H24" i="1"/>
  <c r="O25" i="1"/>
  <c r="I25" i="1"/>
  <c r="J25" i="1"/>
  <c r="K25" i="1"/>
  <c r="L25" i="1"/>
  <c r="M25" i="1"/>
  <c r="E25" i="1"/>
  <c r="F25" i="1"/>
  <c r="G25" i="1"/>
  <c r="A26" i="1"/>
  <c r="G18" i="19" s="1"/>
  <c r="U261" i="23"/>
  <c r="F261" i="23"/>
  <c r="Q261" i="23"/>
  <c r="T261" i="23"/>
  <c r="F260" i="23"/>
  <c r="X261" i="23"/>
  <c r="G260" i="23"/>
  <c r="P261" i="23"/>
  <c r="H260" i="23"/>
  <c r="R261" i="23"/>
  <c r="L261" i="23"/>
  <c r="J260" i="23"/>
  <c r="M261" i="23"/>
  <c r="E260" i="23"/>
  <c r="Y261" i="23"/>
  <c r="Z261" i="23"/>
  <c r="R260" i="23"/>
  <c r="J261" i="23"/>
  <c r="W260" i="23"/>
  <c r="Q260" i="23"/>
  <c r="N261" i="23"/>
  <c r="G261" i="23"/>
  <c r="E261" i="23"/>
  <c r="Y260" i="23"/>
  <c r="V261" i="23"/>
  <c r="K261" i="23"/>
  <c r="W261" i="23"/>
  <c r="I261" i="23"/>
  <c r="Z260" i="23"/>
  <c r="U260" i="23"/>
  <c r="S260" i="23"/>
  <c r="L260" i="23"/>
  <c r="M260" i="23"/>
  <c r="D261" i="23"/>
  <c r="P260" i="23"/>
  <c r="X260" i="23"/>
  <c r="H261" i="23"/>
  <c r="O260" i="23"/>
  <c r="O261" i="23"/>
  <c r="N260" i="23"/>
  <c r="S261" i="23"/>
  <c r="V260" i="23"/>
  <c r="AB259" i="23" a="1"/>
  <c r="H280" i="23" l="1"/>
  <c r="G280" i="23"/>
  <c r="AB259" i="23"/>
  <c r="AA260" i="23"/>
  <c r="AA261" i="23"/>
  <c r="B262" i="23"/>
  <c r="D18" i="19"/>
  <c r="H25" i="1"/>
  <c r="O26" i="1"/>
  <c r="I26" i="1"/>
  <c r="J26" i="1"/>
  <c r="K26" i="1"/>
  <c r="L26" i="1"/>
  <c r="M26" i="1"/>
  <c r="E26" i="1"/>
  <c r="F26" i="1"/>
  <c r="G26" i="1"/>
  <c r="O262" i="23"/>
  <c r="H262" i="23"/>
  <c r="R262" i="23"/>
  <c r="N262" i="23"/>
  <c r="L262" i="23"/>
  <c r="Q262" i="23"/>
  <c r="J262" i="23"/>
  <c r="P262" i="23"/>
  <c r="G262" i="23"/>
  <c r="T262" i="23"/>
  <c r="X262" i="23"/>
  <c r="I262" i="23"/>
  <c r="D262" i="23"/>
  <c r="S262" i="23"/>
  <c r="W262" i="23"/>
  <c r="E262" i="23"/>
  <c r="K262" i="23"/>
  <c r="AB260" i="23" a="1"/>
  <c r="AB261" i="23" a="1"/>
  <c r="AB261" i="23" l="1"/>
  <c r="AB260" i="23"/>
  <c r="B263" i="23"/>
  <c r="H26" i="1"/>
  <c r="F262" i="23"/>
  <c r="Q263" i="23"/>
  <c r="V262" i="23"/>
  <c r="Z262" i="23"/>
  <c r="U262" i="23"/>
  <c r="Y262" i="23"/>
  <c r="M262" i="23"/>
  <c r="D263" i="23"/>
  <c r="AA262" i="23" l="1"/>
  <c r="B264" i="23"/>
  <c r="W263" i="23"/>
  <c r="P263" i="23"/>
  <c r="N263" i="23"/>
  <c r="T263" i="23"/>
  <c r="J263" i="23"/>
  <c r="Y263" i="23"/>
  <c r="S263" i="23"/>
  <c r="U263" i="23"/>
  <c r="M264" i="23"/>
  <c r="G263" i="23"/>
  <c r="P264" i="23"/>
  <c r="O263" i="23"/>
  <c r="V263" i="23"/>
  <c r="AB262" i="23" a="1"/>
  <c r="L263" i="23"/>
  <c r="K263" i="23"/>
  <c r="E263" i="23"/>
  <c r="X263" i="23"/>
  <c r="H263" i="23"/>
  <c r="M263" i="23"/>
  <c r="I263" i="23"/>
  <c r="F263" i="23"/>
  <c r="Z264" i="23"/>
  <c r="N264" i="23"/>
  <c r="R263" i="23"/>
  <c r="K264" i="23"/>
  <c r="Z263" i="23"/>
  <c r="L264" i="23"/>
  <c r="E264" i="23"/>
  <c r="O264" i="23"/>
  <c r="G264" i="23"/>
  <c r="AB262" i="23" l="1"/>
  <c r="AA263" i="23"/>
  <c r="B265" i="23"/>
  <c r="R264" i="23"/>
  <c r="Y264" i="23"/>
  <c r="W264" i="23"/>
  <c r="V265" i="23"/>
  <c r="T264" i="23"/>
  <c r="M265" i="23"/>
  <c r="V264" i="23"/>
  <c r="Q264" i="23"/>
  <c r="D264" i="23"/>
  <c r="S264" i="23"/>
  <c r="U264" i="23"/>
  <c r="O265" i="23"/>
  <c r="R265" i="23"/>
  <c r="T265" i="23"/>
  <c r="N265" i="23"/>
  <c r="K265" i="23"/>
  <c r="Z265" i="23"/>
  <c r="W265" i="23"/>
  <c r="G265" i="23"/>
  <c r="AB263" i="23" a="1"/>
  <c r="J264" i="23"/>
  <c r="L265" i="23"/>
  <c r="X265" i="23"/>
  <c r="I265" i="23"/>
  <c r="H264" i="23"/>
  <c r="Q265" i="23"/>
  <c r="I264" i="23"/>
  <c r="F265" i="23"/>
  <c r="F264" i="23"/>
  <c r="Y265" i="23"/>
  <c r="H265" i="23"/>
  <c r="J265" i="23"/>
  <c r="P265" i="23"/>
  <c r="X264" i="23"/>
  <c r="E265" i="23"/>
  <c r="S265" i="23"/>
  <c r="AB263" i="23" l="1"/>
  <c r="AA264" i="23"/>
  <c r="B266" i="23"/>
  <c r="U265" i="23"/>
  <c r="Z266" i="23"/>
  <c r="W266" i="23"/>
  <c r="Y266" i="23"/>
  <c r="J266" i="23"/>
  <c r="V266" i="23"/>
  <c r="N266" i="23"/>
  <c r="H266" i="23"/>
  <c r="L266" i="23"/>
  <c r="D265" i="23"/>
  <c r="T266" i="23"/>
  <c r="G266" i="23"/>
  <c r="O266" i="23"/>
  <c r="R266" i="23"/>
  <c r="AB264" i="23" a="1"/>
  <c r="AB264" i="23" l="1"/>
  <c r="AA265" i="23"/>
  <c r="B267" i="23"/>
  <c r="S267" i="23"/>
  <c r="M266" i="23"/>
  <c r="X266" i="23"/>
  <c r="Q266" i="23"/>
  <c r="D266" i="23"/>
  <c r="U266" i="23"/>
  <c r="T267" i="23"/>
  <c r="R267" i="23"/>
  <c r="P267" i="23"/>
  <c r="K266" i="23"/>
  <c r="I266" i="23"/>
  <c r="F266" i="23"/>
  <c r="S266" i="23"/>
  <c r="P266" i="23"/>
  <c r="F267" i="23"/>
  <c r="E266" i="23"/>
  <c r="AB265" i="23" a="1"/>
  <c r="AB265" i="23" l="1"/>
  <c r="AA266" i="23"/>
  <c r="B268" i="23"/>
  <c r="K267" i="23"/>
  <c r="J267" i="23"/>
  <c r="N267" i="23"/>
  <c r="I267" i="23"/>
  <c r="T268" i="23"/>
  <c r="D267" i="23"/>
  <c r="P268" i="23"/>
  <c r="U267" i="23"/>
  <c r="M267" i="23"/>
  <c r="K268" i="23"/>
  <c r="H268" i="23"/>
  <c r="Q267" i="23"/>
  <c r="Y267" i="23"/>
  <c r="G267" i="23"/>
  <c r="Z267" i="23"/>
  <c r="O267" i="23"/>
  <c r="W267" i="23"/>
  <c r="X267" i="23"/>
  <c r="H267" i="23"/>
  <c r="F268" i="23"/>
  <c r="V267" i="23"/>
  <c r="L267" i="23"/>
  <c r="U268" i="23"/>
  <c r="E267" i="23"/>
  <c r="S268" i="23"/>
  <c r="Z268" i="23"/>
  <c r="N268" i="23"/>
  <c r="AB266" i="23" a="1"/>
  <c r="H275" i="23" l="1"/>
  <c r="G275" i="23"/>
  <c r="G281" i="23" s="1"/>
  <c r="AB266" i="23"/>
  <c r="AA267" i="23"/>
  <c r="B269" i="23"/>
  <c r="F269" i="23"/>
  <c r="M269" i="23"/>
  <c r="P269" i="23"/>
  <c r="Y268" i="23"/>
  <c r="E268" i="23"/>
  <c r="L269" i="23"/>
  <c r="I269" i="23"/>
  <c r="G268" i="23"/>
  <c r="Q269" i="23"/>
  <c r="U269" i="23"/>
  <c r="Z269" i="23"/>
  <c r="M268" i="23"/>
  <c r="O268" i="23"/>
  <c r="Q268" i="23"/>
  <c r="W269" i="23"/>
  <c r="Y269" i="23"/>
  <c r="L268" i="23"/>
  <c r="V268" i="23"/>
  <c r="J268" i="23"/>
  <c r="H269" i="23"/>
  <c r="T269" i="23"/>
  <c r="X268" i="23"/>
  <c r="N269" i="23"/>
  <c r="S269" i="23"/>
  <c r="W268" i="23"/>
  <c r="G269" i="23"/>
  <c r="R269" i="23"/>
  <c r="O269" i="23"/>
  <c r="D268" i="23"/>
  <c r="X269" i="23"/>
  <c r="AB267" i="23" a="1"/>
  <c r="I268" i="23"/>
  <c r="J269" i="23"/>
  <c r="R268" i="23"/>
  <c r="K269" i="23"/>
  <c r="E269" i="23"/>
  <c r="V269" i="23"/>
  <c r="H281" i="23" l="1"/>
  <c r="AB267" i="23"/>
  <c r="AA268" i="23"/>
  <c r="AA269" i="23"/>
  <c r="B270" i="23"/>
  <c r="H270" i="23"/>
  <c r="U270" i="23"/>
  <c r="T270" i="23"/>
  <c r="Y270" i="23"/>
  <c r="Q270" i="23"/>
  <c r="AB268" i="23" a="1"/>
  <c r="L270" i="23"/>
  <c r="P270" i="23"/>
  <c r="M270" i="23"/>
  <c r="O270" i="23"/>
  <c r="W270" i="23"/>
  <c r="Z270" i="23"/>
  <c r="F270" i="23"/>
  <c r="E270" i="23"/>
  <c r="I270" i="23"/>
  <c r="X270" i="23"/>
  <c r="V270" i="23"/>
  <c r="J270" i="23"/>
  <c r="AB269" i="23" a="1"/>
  <c r="K270" i="23"/>
  <c r="N270" i="23"/>
  <c r="S270" i="23"/>
  <c r="G270" i="23"/>
  <c r="R270" i="23"/>
  <c r="H276" i="23" l="1"/>
  <c r="H282" i="23" s="1"/>
  <c r="AB269" i="23"/>
  <c r="AB268" i="23"/>
  <c r="AA270" i="23"/>
  <c r="AB270" i="23" a="1"/>
  <c r="AB270" i="2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tc={B6B26739-B63C-4726-9D23-8D9B2DDE42E0}</author>
  </authors>
  <commentList>
    <comment ref="J3" authorId="0" shapeId="0" xr:uid="{B6B26739-B63C-4726-9D23-8D9B2DDE42E0}">
      <text>
        <t>[Threaded comment]
Your version of Excel allows you to read this threaded comment; however, any edits to it will get removed if the file is opened in a newer version of Excel. Learn more: https://go.microsoft.com/fwlink/?linkid=870924
Comment:
    I assume the number of visits x Avg. attendees per visit / Avg. number of events per member in the last 3 months (assumed to be 2).
This is a cheat way to ballpark # of unique friends.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tc={8F9E805A-FC0D-404A-88DA-E0AE69FBBEAA}</author>
    <author>tc={3E577160-7176-F148-A1C5-55506C4B80D0}</author>
  </authors>
  <commentList>
    <comment ref="C264" authorId="0" shapeId="0" xr:uid="{8F9E805A-FC0D-404A-88DA-E0AE69FBBEAA}">
      <text>
        <t>[Threaded comment]
Your version of Excel allows you to read this threaded comment; however, any edits to it will get removed if the file is opened in a newer version of Excel. Learn more: https://go.microsoft.com/fwlink/?linkid=870924
Comment:
    Members only event</t>
      </text>
    </comment>
    <comment ref="C270" authorId="1" shapeId="0" xr:uid="{3E577160-7176-F148-A1C5-55506C4B80D0}">
      <text>
        <t>[Threaded comment]
Your version of Excel allows you to read this threaded comment; however, any edits to it will get removed if the file is opened in a newer version of Excel. Learn more: https://go.microsoft.com/fwlink/?linkid=870924
Comment:
    Members only event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tc={1F6A1DB6-9061-CB46-8DEE-B7780F24F55E}</author>
    <author>tc={26DD4CFD-BDA1-1145-A1BB-283C2A114483}</author>
    <author>tc={2EB6B8E1-4886-854E-BC01-8B847A127464}</author>
    <author>tc={E79DE493-36EC-9B43-9DCF-330A935160BF}</author>
    <author>tc={BD945E9B-90F8-8F4F-8A51-8100526F6B25}</author>
    <author>tc={CFD51840-00FD-D44E-8154-1E47DF7093B7}</author>
  </authors>
  <commentList>
    <comment ref="C18" authorId="0" shapeId="0" xr:uid="{1F6A1DB6-9061-CB46-8DEE-B7780F24F5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Ticket booked by Rohini</t>
      </text>
    </comment>
    <comment ref="C35" authorId="1" shapeId="0" xr:uid="{26DD4CFD-BDA1-1145-A1BB-283C2A114483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one duplicate booking</t>
      </text>
    </comment>
    <comment ref="C51" authorId="2" shapeId="0" xr:uid="{2EB6B8E1-4886-854E-BC01-8B847A127464}">
      <text>
        <t>[Threaded comment]
Your version of Excel allows you to read this threaded comment; however, any edits to it will get removed if the file is opened in a newer version of Excel. Learn more: https://go.microsoft.com/fwlink/?linkid=870924
Comment:
    Ticket booked by Samed</t>
      </text>
    </comment>
    <comment ref="B64" authorId="3" shapeId="0" xr:uid="{E79DE493-36EC-9B43-9DCF-330A935160B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@Anh Nguyen apparently we didn’t sign anyone in on eventbrite on this last event. Can you confirm if everyone attended the event so I can update the list?</t>
      </text>
    </comment>
    <comment ref="C193" authorId="4" shapeId="0" xr:uid="{BD945E9B-90F8-8F4F-8A51-8100526F6B2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duplicate of 2x Ana name</t>
      </text>
    </comment>
    <comment ref="C197" authorId="5" shapeId="0" xr:uid="{CFD51840-00FD-D44E-8154-1E47DF7093B7}">
      <text>
        <t>[Threaded comment]
Your version of Excel allows you to read this threaded comment; however, any edits to it will get removed if the file is opened in a newer version of Excel. Learn more: https://go.microsoft.com/fwlink/?linkid=870924
Comment:
    Booked by Bev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<sst xmlns="http://schemas.openxmlformats.org/spreadsheetml/2006/main" count="4312" uniqueCount="971">
  <si>
    <t>Data Input</t>
  </si>
  <si>
    <t>Auto Populated</t>
  </si>
  <si>
    <t>Output</t>
  </si>
  <si>
    <t>credits</t>
  </si>
  <si>
    <t>Status</t>
  </si>
  <si>
    <t>Order Date</t>
  </si>
  <si>
    <t>User Name</t>
  </si>
  <si>
    <t>Event ID</t>
  </si>
  <si>
    <t>Notes</t>
  </si>
  <si>
    <t>Event Name</t>
  </si>
  <si>
    <t>Event Date</t>
  </si>
  <si>
    <t>Event Time</t>
  </si>
  <si>
    <t>Price (Credits)</t>
  </si>
  <si>
    <t>Price
(£)</t>
  </si>
  <si>
    <t>Price Paid</t>
  </si>
  <si>
    <t>Method</t>
  </si>
  <si>
    <t>Message for all</t>
  </si>
  <si>
    <t>pounds</t>
  </si>
  <si>
    <t>Ioana Brezeanu</t>
  </si>
  <si>
    <t>Rohini Tendulkar</t>
  </si>
  <si>
    <t>Sara Khan</t>
  </si>
  <si>
    <t>Serena Or</t>
  </si>
  <si>
    <t>Tanvi Sethi</t>
  </si>
  <si>
    <t>Win Man</t>
  </si>
  <si>
    <t>Aidana Kassymova</t>
  </si>
  <si>
    <t>Daniela Jones</t>
  </si>
  <si>
    <t>Dildeep Singh</t>
  </si>
  <si>
    <t>Elena Dementeva</t>
  </si>
  <si>
    <t>Matthew Watts</t>
  </si>
  <si>
    <t>Shay Steele</t>
  </si>
  <si>
    <t>Angela Kiva</t>
  </si>
  <si>
    <t>Daniel Lugg</t>
  </si>
  <si>
    <t>Davide Veronese</t>
  </si>
  <si>
    <t>M Manolova</t>
  </si>
  <si>
    <t>Monique Blemur</t>
  </si>
  <si>
    <t>Rowan El Atrache</t>
  </si>
  <si>
    <t>Canceled</t>
  </si>
  <si>
    <t>Claire Couchman</t>
  </si>
  <si>
    <t>Andrew Ikonnikov</t>
  </si>
  <si>
    <t>Anisha Sood</t>
  </si>
  <si>
    <t>Celia Sattamino</t>
  </si>
  <si>
    <t>Corneliu Civig</t>
  </si>
  <si>
    <t>Tanvi Referral</t>
  </si>
  <si>
    <t>Daniel Dmello</t>
  </si>
  <si>
    <t>Emily White</t>
  </si>
  <si>
    <t>Juan Pablo De La Torre</t>
  </si>
  <si>
    <t>Maggie Manolova</t>
  </si>
  <si>
    <t>Matt Hoza</t>
  </si>
  <si>
    <t>Robert Chapman</t>
  </si>
  <si>
    <t>Simon Bourke</t>
  </si>
  <si>
    <t>Wil Akanno</t>
  </si>
  <si>
    <t>Claire referral</t>
  </si>
  <si>
    <t>Eoghan Naughton</t>
  </si>
  <si>
    <t>Lucy Zhou</t>
  </si>
  <si>
    <t>CANCELLED</t>
  </si>
  <si>
    <t xml:space="preserve">Rescheduled </t>
  </si>
  <si>
    <t>Jinish Gohil</t>
  </si>
  <si>
    <t>Laura Brown</t>
  </si>
  <si>
    <t>Samedzade Samed</t>
  </si>
  <si>
    <t>Yusuke Inoue</t>
  </si>
  <si>
    <t>Alina Flatscher</t>
  </si>
  <si>
    <t>Ana Vasques</t>
  </si>
  <si>
    <t>canceled</t>
  </si>
  <si>
    <t>Camilla Carrapatoso</t>
  </si>
  <si>
    <t>David  Flatscher</t>
  </si>
  <si>
    <t>Donna Achara</t>
  </si>
  <si>
    <t>Ejike Onuchukwu</t>
  </si>
  <si>
    <t>Gil K</t>
  </si>
  <si>
    <t>Ken Nyar</t>
  </si>
  <si>
    <t>Laure Kroely</t>
  </si>
  <si>
    <t xml:space="preserve">Natali Okolie </t>
  </si>
  <si>
    <t>Richard  Segal</t>
  </si>
  <si>
    <t>Sabina Khaytbaeva</t>
  </si>
  <si>
    <t>Scott Gilbert</t>
  </si>
  <si>
    <t>Rohini referral</t>
  </si>
  <si>
    <t>Shulli Clinton-Davis</t>
  </si>
  <si>
    <t>Aidana Referral</t>
  </si>
  <si>
    <t>Konstantin Angelov</t>
  </si>
  <si>
    <t xml:space="preserve">Aidana Referral </t>
  </si>
  <si>
    <t>Gaukhar Uskenbayeva</t>
  </si>
  <si>
    <t>cancelled</t>
  </si>
  <si>
    <t xml:space="preserve">Guest - not confirmed yet </t>
  </si>
  <si>
    <t>Cancelled</t>
  </si>
  <si>
    <t>Mouna Iraqi</t>
  </si>
  <si>
    <t>Cecilia Lee</t>
  </si>
  <si>
    <t>Zauresh Kezheneva</t>
  </si>
  <si>
    <t>Input</t>
  </si>
  <si>
    <t>Date</t>
  </si>
  <si>
    <t>Credits
Added/Used</t>
  </si>
  <si>
    <t>Price Paid 
(£)</t>
  </si>
  <si>
    <t>Credit 
Balance</t>
  </si>
  <si>
    <t>Message for balance update</t>
  </si>
  <si>
    <t>Message for new members</t>
  </si>
  <si>
    <t>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t>
  </si>
  <si>
    <t>Buyer Email</t>
  </si>
  <si>
    <t>First Name</t>
  </si>
  <si>
    <t>Last Name</t>
  </si>
  <si>
    <t>Second email</t>
  </si>
  <si>
    <t>Note</t>
  </si>
  <si>
    <t>Profile</t>
  </si>
  <si>
    <t>Last Attended Event</t>
  </si>
  <si>
    <t># Attended Events</t>
  </si>
  <si>
    <t># Attended Event Last 7 Days</t>
  </si>
  <si>
    <t># Attended Event Last 30 Days</t>
  </si>
  <si>
    <t># attended Events previous period</t>
  </si>
  <si>
    <t>New User?</t>
  </si>
  <si>
    <t>Active User?</t>
  </si>
  <si>
    <t>Heavy User</t>
  </si>
  <si>
    <t>Total Spend (Overall)</t>
  </si>
  <si>
    <t>Total Spend (Last 30 days)</t>
  </si>
  <si>
    <t>Average Spend per Event (Overall)</t>
  </si>
  <si>
    <t>Average Spend per Event (Last 30 Days)</t>
  </si>
  <si>
    <t>1 event</t>
  </si>
  <si>
    <t>2 events</t>
  </si>
  <si>
    <t>3 or more</t>
  </si>
  <si>
    <t>lucyzhou2@hotmail.com</t>
  </si>
  <si>
    <t>64ktytw4v7@privaterelay.appleid.com</t>
  </si>
  <si>
    <t>Interview</t>
  </si>
  <si>
    <t>New OG</t>
  </si>
  <si>
    <t>daniel.lugg@yahoo.com</t>
  </si>
  <si>
    <t>tendulkar.rohini@gmail.com</t>
  </si>
  <si>
    <t>khan.saretta@gmail.com</t>
  </si>
  <si>
    <t>aidanakassymova@gmail.com</t>
  </si>
  <si>
    <t>OG</t>
  </si>
  <si>
    <t>alekseypleshkov17@gmail.com</t>
  </si>
  <si>
    <t>roberthchapman@hotmail.com</t>
  </si>
  <si>
    <t>One of the ticket was for a friend visiting from out of town</t>
  </si>
  <si>
    <t>Clairelouisecouchman@hotmail.com</t>
  </si>
  <si>
    <t>katherineyr.kim@gmail.com</t>
  </si>
  <si>
    <t>rtranaita@gmail.com</t>
  </si>
  <si>
    <t>Check-in</t>
  </si>
  <si>
    <t>sam.samedzade@gmail.com</t>
  </si>
  <si>
    <t>shaysteele2017@gmail.com</t>
  </si>
  <si>
    <t>laurabrown148@gmail.com</t>
  </si>
  <si>
    <t>Pre-OG</t>
  </si>
  <si>
    <t>srivaths.s@gmail.com</t>
  </si>
  <si>
    <t>walokunrin@yahoo.com</t>
  </si>
  <si>
    <t>natashapavlovskaya23@gmail.com</t>
  </si>
  <si>
    <t>claudiapaicu@yahoo.com</t>
  </si>
  <si>
    <t>louise.ly.chow@gmail.com</t>
  </si>
  <si>
    <t>louisechow@alumni.stern.nyu.edu</t>
  </si>
  <si>
    <t>thefengshuistory@gmail.com</t>
  </si>
  <si>
    <t>susandjackson01@gmail.com</t>
  </si>
  <si>
    <t>ngg971@gmail.com</t>
  </si>
  <si>
    <t>jones_daniela@yahoo.co.uk</t>
  </si>
  <si>
    <t>eoghannaughton@hotmail.com</t>
  </si>
  <si>
    <t>Only attended 2 instead of 3 (had to cancel the first one)</t>
  </si>
  <si>
    <t>sophia.shemlugu@gmail.com</t>
  </si>
  <si>
    <t>sweetkowi@gmail.com</t>
  </si>
  <si>
    <t>roberthchapman@gmail.com</t>
  </si>
  <si>
    <t>hrational@gmail.com</t>
  </si>
  <si>
    <t>scribu@gmail.com</t>
  </si>
  <si>
    <t>ezgicaakmak@gmail.com</t>
  </si>
  <si>
    <t>simon88e@yahoo.com</t>
  </si>
  <si>
    <t>dmbarden@hotmail.co.uk</t>
  </si>
  <si>
    <t>audreyrebeccahutabarat@gmail.com</t>
  </si>
  <si>
    <t>audreyrh123@gmail.com</t>
  </si>
  <si>
    <t>monique.blemur@gmail.com</t>
  </si>
  <si>
    <t>hanna.niczyporuk@gmail.com</t>
  </si>
  <si>
    <t>anamariaperu@hotmail.co.uk</t>
  </si>
  <si>
    <t>jon.chikly@gmail.com</t>
  </si>
  <si>
    <t>rowan.bashar@gmail.com</t>
  </si>
  <si>
    <t>anayosefi@gmail.com</t>
  </si>
  <si>
    <t>d.v.davideveronese@gmail.com</t>
  </si>
  <si>
    <t>taam.isadora@gmail.com</t>
  </si>
  <si>
    <t>sethi.tanvi@gmail.com</t>
  </si>
  <si>
    <t>zinab.rama@gmail.com</t>
  </si>
  <si>
    <t>win.man@icloud.com</t>
  </si>
  <si>
    <t>elena27kuv@gmail.com</t>
  </si>
  <si>
    <t>yyasemin.mermer@gmail.com</t>
  </si>
  <si>
    <t>galimova.al.al@gmail.com</t>
  </si>
  <si>
    <t>egemensiphone@gmail.com</t>
  </si>
  <si>
    <t>apbhetherington@gmail.com</t>
  </si>
  <si>
    <t>tomhsaville@hotmail.co.uk</t>
  </si>
  <si>
    <t>pragyaptib@gmail.com</t>
  </si>
  <si>
    <t>maestromattheww@yahoo.co.uk</t>
  </si>
  <si>
    <t>jinishgohil@yahoo.co.in</t>
  </si>
  <si>
    <t>jz548282@gmail.com</t>
  </si>
  <si>
    <t>kittyor.or@gmail.com</t>
  </si>
  <si>
    <t>(5 people)</t>
  </si>
  <si>
    <t>(7 people)</t>
  </si>
  <si>
    <t>WA Follow-up</t>
  </si>
  <si>
    <t>Owner</t>
  </si>
  <si>
    <t>Result</t>
  </si>
  <si>
    <t>Action</t>
  </si>
  <si>
    <t>look up</t>
  </si>
  <si>
    <t>Nathanael</t>
  </si>
  <si>
    <t>Geman</t>
  </si>
  <si>
    <t>Akhil</t>
  </si>
  <si>
    <t>member</t>
  </si>
  <si>
    <t>Shay</t>
  </si>
  <si>
    <t>Steele</t>
  </si>
  <si>
    <t>Anh</t>
  </si>
  <si>
    <t>Done</t>
  </si>
  <si>
    <t>Signed up.</t>
  </si>
  <si>
    <t>Monique</t>
  </si>
  <si>
    <t>Blemur</t>
  </si>
  <si>
    <t>Save contact</t>
  </si>
  <si>
    <t>Aidana</t>
  </si>
  <si>
    <t>Kassymova</t>
  </si>
  <si>
    <t>Daniel</t>
  </si>
  <si>
    <t>Lugg</t>
  </si>
  <si>
    <t>Refund on EB.</t>
  </si>
  <si>
    <t>Rohini</t>
  </si>
  <si>
    <t>Tendulkar</t>
  </si>
  <si>
    <t>Lucy</t>
  </si>
  <si>
    <t>Zhou</t>
  </si>
  <si>
    <t>Mouna</t>
  </si>
  <si>
    <t>Iraqi</t>
  </si>
  <si>
    <t>Laura</t>
  </si>
  <si>
    <t>Brown</t>
  </si>
  <si>
    <t>Daniela</t>
  </si>
  <si>
    <t>Jones</t>
  </si>
  <si>
    <t>Sara</t>
  </si>
  <si>
    <t>Khan</t>
  </si>
  <si>
    <t>Signed up. Interested in hosting.</t>
  </si>
  <si>
    <t>Claire</t>
  </si>
  <si>
    <t>Couchman</t>
  </si>
  <si>
    <t>Eoghan</t>
  </si>
  <si>
    <t>Naughton</t>
  </si>
  <si>
    <t>Credit</t>
  </si>
  <si>
    <t>Maggie</t>
  </si>
  <si>
    <t>Manolova</t>
  </si>
  <si>
    <t>not in 1st batch</t>
  </si>
  <si>
    <t>Angie</t>
  </si>
  <si>
    <t>Kiva</t>
  </si>
  <si>
    <t>Tanvi</t>
  </si>
  <si>
    <t>Sethi</t>
  </si>
  <si>
    <t>ok</t>
  </si>
  <si>
    <t>Claudia</t>
  </si>
  <si>
    <t>Not interested now</t>
  </si>
  <si>
    <t>Alina</t>
  </si>
  <si>
    <t>Galimova</t>
  </si>
  <si>
    <t>Anahita</t>
  </si>
  <si>
    <t>Yousefi</t>
  </si>
  <si>
    <t>Andrew</t>
  </si>
  <si>
    <t>Hetherington</t>
  </si>
  <si>
    <t>Audrey</t>
  </si>
  <si>
    <t>Hutabarat</t>
  </si>
  <si>
    <t>Cecilia</t>
  </si>
  <si>
    <t>Lee</t>
  </si>
  <si>
    <t>Elena</t>
  </si>
  <si>
    <t>Kuvshinnikova</t>
  </si>
  <si>
    <t>Jing</t>
  </si>
  <si>
    <t>Zhang</t>
  </si>
  <si>
    <t>Jinish</t>
  </si>
  <si>
    <t>Gohil</t>
  </si>
  <si>
    <t>Jonathan</t>
  </si>
  <si>
    <t>Chikly</t>
  </si>
  <si>
    <t>Olawale</t>
  </si>
  <si>
    <t>Okunrinboye</t>
  </si>
  <si>
    <t>Pragyapti</t>
  </si>
  <si>
    <t>Bhandari</t>
  </si>
  <si>
    <t>Simona</t>
  </si>
  <si>
    <t>Vicol</t>
  </si>
  <si>
    <t>Zinab</t>
  </si>
  <si>
    <t>Al Ramathany</t>
  </si>
  <si>
    <t>Egemen</t>
  </si>
  <si>
    <t>U</t>
  </si>
  <si>
    <t>Rowan</t>
  </si>
  <si>
    <t>El Atrache</t>
  </si>
  <si>
    <t>Anaita</t>
  </si>
  <si>
    <t>Agatic</t>
  </si>
  <si>
    <t>OG - Credit</t>
  </si>
  <si>
    <t>Katherine</t>
  </si>
  <si>
    <t>Kim</t>
  </si>
  <si>
    <t>Samedzade</t>
  </si>
  <si>
    <t>Samed</t>
  </si>
  <si>
    <t>Silviu (Cristi)</t>
  </si>
  <si>
    <t>Burca</t>
  </si>
  <si>
    <t>Save contact (goes by Cristi)</t>
  </si>
  <si>
    <t>Davide</t>
  </si>
  <si>
    <t>Veronese</t>
  </si>
  <si>
    <t>Isadora</t>
  </si>
  <si>
    <t>de Miranda Mello Taam</t>
  </si>
  <si>
    <t>Louise</t>
  </si>
  <si>
    <t>Chow</t>
  </si>
  <si>
    <t>Matthew</t>
  </si>
  <si>
    <t>Watts</t>
  </si>
  <si>
    <t>Serena</t>
  </si>
  <si>
    <t>Or</t>
  </si>
  <si>
    <t>Susan</t>
  </si>
  <si>
    <t>Durkan Jackson</t>
  </si>
  <si>
    <t>T H (Tom)</t>
  </si>
  <si>
    <t>Saville</t>
  </si>
  <si>
    <t>Goes by Tom</t>
  </si>
  <si>
    <t>New batch</t>
  </si>
  <si>
    <t>Tamara</t>
  </si>
  <si>
    <t>Anamaria</t>
  </si>
  <si>
    <t>Parsons</t>
  </si>
  <si>
    <t>Hanna</t>
  </si>
  <si>
    <t>Niczyporuk</t>
  </si>
  <si>
    <t>Contact on June 5th</t>
  </si>
  <si>
    <t>Sophia</t>
  </si>
  <si>
    <t>Shemlugu</t>
  </si>
  <si>
    <t>Win</t>
  </si>
  <si>
    <t>Man</t>
  </si>
  <si>
    <t>Yasemin</t>
  </si>
  <si>
    <t>Mermer</t>
  </si>
  <si>
    <t>Aleksejs</t>
  </si>
  <si>
    <t>Pleskovs</t>
  </si>
  <si>
    <t>Natasha</t>
  </si>
  <si>
    <t>Pavlovskaya</t>
  </si>
  <si>
    <t>Robert</t>
  </si>
  <si>
    <t>Chapman</t>
  </si>
  <si>
    <t>Srivaths</t>
  </si>
  <si>
    <t>Swaminathan</t>
  </si>
  <si>
    <t>Ioana</t>
  </si>
  <si>
    <t>David</t>
  </si>
  <si>
    <t>Barden</t>
  </si>
  <si>
    <t>Ezgi</t>
  </si>
  <si>
    <t>Çakmak</t>
  </si>
  <si>
    <t>Kostas</t>
  </si>
  <si>
    <t>Palierakis</t>
  </si>
  <si>
    <t>NO</t>
  </si>
  <si>
    <t>We kicked him out :)</t>
  </si>
  <si>
    <t>Duygu</t>
  </si>
  <si>
    <t>Nathalie</t>
  </si>
  <si>
    <t>Jenny</t>
  </si>
  <si>
    <t>Blanchard</t>
  </si>
  <si>
    <t>Qi</t>
  </si>
  <si>
    <t>Jesica</t>
  </si>
  <si>
    <t>To-do:</t>
  </si>
  <si>
    <t>1. Follow-up with membership candidates before June 1st</t>
  </si>
  <si>
    <t>2. Follow-up with those who came to 1 event and were offered a membership</t>
  </si>
  <si>
    <t>Reference Date:</t>
  </si>
  <si>
    <t>Guilds</t>
  </si>
  <si>
    <t>Connector Guild</t>
  </si>
  <si>
    <t>Eclecticist Guild</t>
  </si>
  <si>
    <t>Maker</t>
  </si>
  <si>
    <t>Users Active in the past 2 months</t>
  </si>
  <si>
    <t>Guests</t>
  </si>
  <si>
    <t>Posts (M)</t>
  </si>
  <si>
    <t>Neighborhoods</t>
  </si>
  <si>
    <t>Exhibitions</t>
  </si>
  <si>
    <t>Creative Workshop</t>
  </si>
  <si>
    <t>Friends</t>
  </si>
  <si>
    <t>Visit before challenge</t>
  </si>
  <si>
    <t>Visits</t>
  </si>
  <si>
    <t>Hours</t>
  </si>
  <si>
    <t>Guilds unlocked</t>
  </si>
  <si>
    <t xml:space="preserve">Is Member? </t>
  </si>
  <si>
    <t>?</t>
  </si>
  <si>
    <t>X</t>
  </si>
  <si>
    <t>YES</t>
  </si>
  <si>
    <t>Marketing Audience</t>
  </si>
  <si>
    <t>Spending</t>
  </si>
  <si>
    <t># Attended Events Total</t>
  </si>
  <si>
    <t># Attended  month 1</t>
  </si>
  <si>
    <t># Attended  month 2</t>
  </si>
  <si>
    <t># Attended  month 3</t>
  </si>
  <si>
    <t># Attended  month 4</t>
  </si>
  <si>
    <t>Past Active User</t>
  </si>
  <si>
    <t>Used a different email below</t>
  </si>
  <si>
    <t>Nimi Analytics Dashboard</t>
  </si>
  <si>
    <t>Today:</t>
  </si>
  <si>
    <t>Weekly Tracking</t>
  </si>
  <si>
    <t>Week</t>
  </si>
  <si>
    <t>Begin_Date</t>
  </si>
  <si>
    <t>End_Date</t>
  </si>
  <si>
    <t># Followers</t>
  </si>
  <si>
    <t># Users</t>
  </si>
  <si>
    <t># Active Users</t>
  </si>
  <si>
    <t># Customers</t>
  </si>
  <si>
    <t>#Visits</t>
  </si>
  <si>
    <t>Monthly Tracking</t>
  </si>
  <si>
    <t>Month</t>
  </si>
  <si>
    <t># Visits/Active User</t>
  </si>
  <si>
    <t>Revenue</t>
  </si>
  <si>
    <t>Revenue/ Active User</t>
  </si>
  <si>
    <t>#Visits /Session</t>
  </si>
  <si>
    <t>Eventbrite Launch</t>
  </si>
  <si>
    <t>Booking management</t>
  </si>
  <si>
    <t>Membership signup</t>
  </si>
  <si>
    <t>Task</t>
  </si>
  <si>
    <t xml:space="preserve">Task type </t>
  </si>
  <si>
    <t>Comments</t>
  </si>
  <si>
    <t>Create description</t>
  </si>
  <si>
    <t>Standard</t>
  </si>
  <si>
    <t>Create Cover</t>
  </si>
  <si>
    <t>Define agenda</t>
  </si>
  <si>
    <t>Add tickets</t>
  </si>
  <si>
    <t>Add coupon codes</t>
  </si>
  <si>
    <t xml:space="preserve">Add phone number to order phone </t>
  </si>
  <si>
    <t>Time</t>
  </si>
  <si>
    <t>Price (£)</t>
  </si>
  <si>
    <t>Event Type</t>
  </si>
  <si>
    <t>Neighbohood</t>
  </si>
  <si>
    <t>Capacity</t>
  </si>
  <si>
    <t># Exhibitions</t>
  </si>
  <si>
    <t>Attendance</t>
  </si>
  <si>
    <t>Journey 1</t>
  </si>
  <si>
    <t>Journey 2</t>
  </si>
  <si>
    <t>Journey 3</t>
  </si>
  <si>
    <t>Avg attendance</t>
  </si>
  <si>
    <t>Blockbuster</t>
  </si>
  <si>
    <t>Creative Session</t>
  </si>
  <si>
    <t>Hidden Gem</t>
  </si>
  <si>
    <t>2:30pm</t>
  </si>
  <si>
    <t>1:30pm</t>
  </si>
  <si>
    <t>6:30pm</t>
  </si>
  <si>
    <t>Artist Talk</t>
  </si>
  <si>
    <t>2:00pm</t>
  </si>
  <si>
    <t>[Hidden Gem] Gallery Stroll in Central London</t>
  </si>
  <si>
    <t>1:00pm</t>
  </si>
  <si>
    <t>[Blockbuster] Frank Auerbach at Courtauld Gallery</t>
  </si>
  <si>
    <t>[Special] London Gallery Weekend</t>
  </si>
  <si>
    <t>11am</t>
  </si>
  <si>
    <t>Scavenger Hunt</t>
  </si>
  <si>
    <t>[Curator's Tour] Leo Robinson's at London Mithraeum</t>
  </si>
  <si>
    <t>4:30pm</t>
  </si>
  <si>
    <t>Curator's Tour</t>
  </si>
  <si>
    <t>Thomas Cameron  Studio + Shay Dinner</t>
  </si>
  <si>
    <t>Artist Meetup</t>
  </si>
  <si>
    <t>Jazz, Cheese, Art and Wine</t>
  </si>
  <si>
    <t>Social</t>
  </si>
  <si>
    <t>Courtauld Late: Frank Auerbach</t>
  </si>
  <si>
    <t>6:45pm</t>
  </si>
  <si>
    <t>Heloisa Hariadne @ Twani Gallery</t>
  </si>
  <si>
    <t>Special Event</t>
  </si>
  <si>
    <t>Gallery Stroll in Bermondsey</t>
  </si>
  <si>
    <t>Gallery Stroll with Pub Quiz</t>
  </si>
  <si>
    <t>Soane Late</t>
  </si>
  <si>
    <t>William Morris Gallery</t>
  </si>
  <si>
    <t>Victorian Art</t>
  </si>
  <si>
    <t>Social at Tate Late</t>
  </si>
  <si>
    <t>7:00pm</t>
  </si>
  <si>
    <t>Sargent and Fashion</t>
  </si>
  <si>
    <t>Fashion</t>
  </si>
  <si>
    <t>Garden Museum Late (Ioana)</t>
  </si>
  <si>
    <t>Life drawing workshop at Estorick Collection</t>
  </si>
  <si>
    <t>Email</t>
  </si>
  <si>
    <t>Phone Number</t>
  </si>
  <si>
    <t>Is_member</t>
  </si>
  <si>
    <t>7557571864</t>
  </si>
  <si>
    <t>Ali</t>
  </si>
  <si>
    <t>Damirzada</t>
  </si>
  <si>
    <t>+447949567643</t>
  </si>
  <si>
    <t>07548016207</t>
  </si>
  <si>
    <t>alina.flatscher@gmail.com</t>
  </si>
  <si>
    <t>Flatscher</t>
  </si>
  <si>
    <t>+44 7443 108741</t>
  </si>
  <si>
    <t>vasques.anacarolina@gmail.com</t>
  </si>
  <si>
    <t>Ana</t>
  </si>
  <si>
    <t>Vasques</t>
  </si>
  <si>
    <t>+44 7769 343524</t>
  </si>
  <si>
    <t>+4799386437</t>
  </si>
  <si>
    <t>07980320717</t>
  </si>
  <si>
    <t>07540949525</t>
  </si>
  <si>
    <t>andrew.restlesspanda@gmail.com</t>
  </si>
  <si>
    <t>Ikonnikov</t>
  </si>
  <si>
    <t>+447536484874</t>
  </si>
  <si>
    <t>angelakiva10@gmail.com</t>
  </si>
  <si>
    <t>Angela</t>
  </si>
  <si>
    <t>Anishasood26@gmail.com</t>
  </si>
  <si>
    <t>Anisha</t>
  </si>
  <si>
    <t>Sood</t>
  </si>
  <si>
    <t>+44 7873 956356</t>
  </si>
  <si>
    <t>07714021821</t>
  </si>
  <si>
    <t>beverly.mccrory@gmail.com</t>
  </si>
  <si>
    <t>Bev</t>
  </si>
  <si>
    <t>McCrory</t>
  </si>
  <si>
    <t>+447300421972</t>
  </si>
  <si>
    <t>camilla@sphero.network</t>
  </si>
  <si>
    <t>Camilla</t>
  </si>
  <si>
    <t>Carrapatoso</t>
  </si>
  <si>
    <t>+55 11 99319-8180</t>
  </si>
  <si>
    <t>07380407565</t>
  </si>
  <si>
    <t>celia.sattamino@gmail.com</t>
  </si>
  <si>
    <t>Celia</t>
  </si>
  <si>
    <t>Sattamino</t>
  </si>
  <si>
    <t>+44 7939 929263</t>
  </si>
  <si>
    <t>07739139930</t>
  </si>
  <si>
    <t>07877845663</t>
  </si>
  <si>
    <t>Corneliu.civig@gmail.com</t>
  </si>
  <si>
    <t>Corneliu</t>
  </si>
  <si>
    <t>Civig</t>
  </si>
  <si>
    <t>07476276978</t>
  </si>
  <si>
    <t>dmello.daniel@gmail.com</t>
  </si>
  <si>
    <t>Dmello</t>
  </si>
  <si>
    <t>+447774734706</t>
  </si>
  <si>
    <t>07979647510</t>
  </si>
  <si>
    <t>david.flatscher@gmail.com</t>
  </si>
  <si>
    <t xml:space="preserve">David </t>
  </si>
  <si>
    <t>+44 7707665074</t>
  </si>
  <si>
    <t>07342248068</t>
  </si>
  <si>
    <t>dildeep96@gmail.com</t>
  </si>
  <si>
    <t>Dildeep</t>
  </si>
  <si>
    <t>Singh</t>
  </si>
  <si>
    <t>07506474016</t>
  </si>
  <si>
    <t>imanbudget@yahoo.co.uk</t>
  </si>
  <si>
    <t>Donna</t>
  </si>
  <si>
    <t>Achara</t>
  </si>
  <si>
    <t xml:space="preserve"> 07818313299</t>
  </si>
  <si>
    <t>07789350831</t>
  </si>
  <si>
    <t>ejike.onuchukwu@gmail.com</t>
  </si>
  <si>
    <t>Ejike</t>
  </si>
  <si>
    <t>Onuchukwu</t>
  </si>
  <si>
    <t>07875 521439</t>
  </si>
  <si>
    <t>edementyeva@yandex.ru</t>
  </si>
  <si>
    <t>Dementeva</t>
  </si>
  <si>
    <t>+44 7879 043769</t>
  </si>
  <si>
    <t>07890306975</t>
  </si>
  <si>
    <t>C.Emily.white@gmail.com</t>
  </si>
  <si>
    <t>Emily</t>
  </si>
  <si>
    <t>White</t>
  </si>
  <si>
    <t>07545450201</t>
  </si>
  <si>
    <t>07525006790</t>
  </si>
  <si>
    <t>estherchen314@gmail.com</t>
  </si>
  <si>
    <t>Esther</t>
  </si>
  <si>
    <t>Chen</t>
  </si>
  <si>
    <t>alena.german.71@gmail.com</t>
  </si>
  <si>
    <t>Eugenia</t>
  </si>
  <si>
    <t>Herman</t>
  </si>
  <si>
    <t>07553093894</t>
  </si>
  <si>
    <t>federica.martini@live.it</t>
  </si>
  <si>
    <t>Federica</t>
  </si>
  <si>
    <t>Martini</t>
  </si>
  <si>
    <t>0425103954</t>
  </si>
  <si>
    <t>Francesco</t>
  </si>
  <si>
    <t>Ruggiero</t>
  </si>
  <si>
    <t>+44 7365 408208</t>
  </si>
  <si>
    <t>6.saracchi@gmail.com</t>
  </si>
  <si>
    <t>Giacomo</t>
  </si>
  <si>
    <t>Saracchi</t>
  </si>
  <si>
    <t>+44 7496 933834</t>
  </si>
  <si>
    <t>gilka5@hotmail.com</t>
  </si>
  <si>
    <t>Gil</t>
  </si>
  <si>
    <t>K</t>
  </si>
  <si>
    <t>07183086607</t>
  </si>
  <si>
    <t>io.brezeanu@gmail.com</t>
  </si>
  <si>
    <t>Brezeanu</t>
  </si>
  <si>
    <t>07492693024</t>
  </si>
  <si>
    <t>07923190379</t>
  </si>
  <si>
    <t>07961779960</t>
  </si>
  <si>
    <t>07438951508</t>
  </si>
  <si>
    <t>07557017341</t>
  </si>
  <si>
    <t>juanpablo.dltc@gmail.com</t>
  </si>
  <si>
    <t>Juan Pablo</t>
  </si>
  <si>
    <t>De La Torre</t>
  </si>
  <si>
    <t>+447846069814</t>
  </si>
  <si>
    <t>blattnerj@gmail.com</t>
  </si>
  <si>
    <t>Justin</t>
  </si>
  <si>
    <t>Blattner</t>
  </si>
  <si>
    <t>+44 7597 669407</t>
  </si>
  <si>
    <t>xetta03@hotmail.com</t>
  </si>
  <si>
    <t>Karen</t>
  </si>
  <si>
    <t>Johnstone</t>
  </si>
  <si>
    <t>07465765122</t>
  </si>
  <si>
    <t xml:space="preserve"> pelconsultingwork@gmail.com</t>
  </si>
  <si>
    <t>Ken</t>
  </si>
  <si>
    <t>Nyar</t>
  </si>
  <si>
    <t>+44 7423 066994</t>
  </si>
  <si>
    <t>07807127381</t>
  </si>
  <si>
    <t>Laure.kroely@gmail.com</t>
  </si>
  <si>
    <t>Laure</t>
  </si>
  <si>
    <t>Kroely</t>
  </si>
  <si>
    <t>00447551038700</t>
  </si>
  <si>
    <t>07775438868</t>
  </si>
  <si>
    <t>07999724306</t>
  </si>
  <si>
    <t>mm.manolova@yahoo.com</t>
  </si>
  <si>
    <t>+44 7518 906811</t>
  </si>
  <si>
    <t>lonmys@outlook.com</t>
  </si>
  <si>
    <t>Malti</t>
  </si>
  <si>
    <t>.</t>
  </si>
  <si>
    <t>matthew.hoza@gmail.com</t>
  </si>
  <si>
    <t>Matt</t>
  </si>
  <si>
    <t>Hoza</t>
  </si>
  <si>
    <t>+447300421968</t>
  </si>
  <si>
    <t>07817234925</t>
  </si>
  <si>
    <t>lanidoms@gmail.com</t>
  </si>
  <si>
    <t>Mercelani</t>
  </si>
  <si>
    <t>Dumayday</t>
  </si>
  <si>
    <t>07867156558</t>
  </si>
  <si>
    <t>Nataliokolie@gmail.com</t>
  </si>
  <si>
    <t>Natali</t>
  </si>
  <si>
    <t xml:space="preserve">Okolie </t>
  </si>
  <si>
    <t xml:space="preserve">07488410909 </t>
  </si>
  <si>
    <t>07931561897</t>
  </si>
  <si>
    <t>isisding@gmail.com</t>
  </si>
  <si>
    <t>ND</t>
  </si>
  <si>
    <t>07599668191</t>
  </si>
  <si>
    <t>07741694836</t>
  </si>
  <si>
    <t>Richard_segal@yahoo.com</t>
  </si>
  <si>
    <t xml:space="preserve">Richard </t>
  </si>
  <si>
    <t>Segal</t>
  </si>
  <si>
    <t>+44 7949 109489</t>
  </si>
  <si>
    <t>07717205862</t>
  </si>
  <si>
    <t>07752083835</t>
  </si>
  <si>
    <t>07436593641</t>
  </si>
  <si>
    <t>sabinahaytbaeva@gmail.com</t>
  </si>
  <si>
    <t>Sabina</t>
  </si>
  <si>
    <t>Khaytbaeva</t>
  </si>
  <si>
    <t xml:space="preserve"> 07564569465</t>
  </si>
  <si>
    <t>07803757887</t>
  </si>
  <si>
    <t>07871606482</t>
  </si>
  <si>
    <t>scottrgilbert@hotmail.com</t>
  </si>
  <si>
    <t>Scott</t>
  </si>
  <si>
    <t>Gilbert</t>
  </si>
  <si>
    <t>+44 7834 639940</t>
  </si>
  <si>
    <t>07366956766</t>
  </si>
  <si>
    <t>07925774705</t>
  </si>
  <si>
    <t>shlimbc2@gmail.com</t>
  </si>
  <si>
    <t>Lim</t>
  </si>
  <si>
    <t>Silviu</t>
  </si>
  <si>
    <t>simon.brk@gmail.com</t>
  </si>
  <si>
    <t>Simon</t>
  </si>
  <si>
    <t>Bourke</t>
  </si>
  <si>
    <t>+44 7301 979131</t>
  </si>
  <si>
    <t>07947714775</t>
  </si>
  <si>
    <t>07946225673</t>
  </si>
  <si>
    <t>tatatamzzz@gmail.com</t>
  </si>
  <si>
    <t>Muñoz</t>
  </si>
  <si>
    <t>07901584632</t>
  </si>
  <si>
    <t>tamara.dews@lseg.com</t>
  </si>
  <si>
    <t>Dews</t>
  </si>
  <si>
    <t>07776960365/+1 (917) 693-7780</t>
  </si>
  <si>
    <t>07846232630</t>
  </si>
  <si>
    <t>teodor.rd27@gmail.com</t>
  </si>
  <si>
    <t>Teodor</t>
  </si>
  <si>
    <t>Radu</t>
  </si>
  <si>
    <t>yangtianqi2023@163.com</t>
  </si>
  <si>
    <t>Tianqi</t>
  </si>
  <si>
    <t>Yang</t>
  </si>
  <si>
    <t>07756702521</t>
  </si>
  <si>
    <t>Tom</t>
  </si>
  <si>
    <t>07572300777</t>
  </si>
  <si>
    <t>wil_akanno@hotmail.com</t>
  </si>
  <si>
    <t>Wil</t>
  </si>
  <si>
    <t>Akanno</t>
  </si>
  <si>
    <t>07931 309501</t>
  </si>
  <si>
    <t>07896634620</t>
  </si>
  <si>
    <t>07824492343</t>
  </si>
  <si>
    <t>yskinoue0127@gmail.com</t>
  </si>
  <si>
    <t>Yusuke</t>
  </si>
  <si>
    <t>Inoue</t>
  </si>
  <si>
    <t>+44 7789 411814</t>
  </si>
  <si>
    <t>07398634749</t>
  </si>
  <si>
    <t>Shulliclintondavis@gmail.com</t>
  </si>
  <si>
    <t>Shulli</t>
  </si>
  <si>
    <t>Clinton-Davis</t>
  </si>
  <si>
    <t>07884584132</t>
  </si>
  <si>
    <t>u.gaukhar@gmail.com</t>
  </si>
  <si>
    <t>Gaukhar</t>
  </si>
  <si>
    <t>Uskenbayeva</t>
  </si>
  <si>
    <t>07404835441</t>
  </si>
  <si>
    <t>Angelov.Konstantin@gmail.com</t>
  </si>
  <si>
    <t>Konstantin</t>
  </si>
  <si>
    <t>Angelov</t>
  </si>
  <si>
    <t>07772355538</t>
  </si>
  <si>
    <t>kezheneva@gmail.com</t>
  </si>
  <si>
    <t>Zauresh</t>
  </si>
  <si>
    <t>Kezheneva</t>
  </si>
  <si>
    <t>+1 (202) 247-8885</t>
  </si>
  <si>
    <t>Attendee Status</t>
  </si>
  <si>
    <t>Ticket Quantity</t>
  </si>
  <si>
    <t>Ticket Type</t>
  </si>
  <si>
    <t>Ticket Price</t>
  </si>
  <si>
    <t>Promotion Code</t>
  </si>
  <si>
    <t>Buyer First Name</t>
  </si>
  <si>
    <t>Buyer Last Name</t>
  </si>
  <si>
    <t>Tracking Link</t>
  </si>
  <si>
    <t>Currency</t>
  </si>
  <si>
    <t>Event_ID</t>
  </si>
  <si>
    <t>Event_Name</t>
  </si>
  <si>
    <t>Event_Date</t>
  </si>
  <si>
    <t>Event_Month</t>
  </si>
  <si>
    <t>Source</t>
  </si>
  <si>
    <t>Referral Source</t>
  </si>
  <si>
    <t>3/16/24 2:22 PM</t>
  </si>
  <si>
    <t>Attended</t>
  </si>
  <si>
    <t>Nimi hosts [Art Marathon] Somerset House: Assembly 2024 &amp;amp; Print Fair 23/03</t>
  </si>
  <si>
    <t>Print Fair Only</t>
  </si>
  <si>
    <t>GBP</t>
  </si>
  <si>
    <t>3/16/24 7:38 PM</t>
  </si>
  <si>
    <t>Print Fair + Assembly Music at 7pm Combination</t>
  </si>
  <si>
    <t>3/18/24 4:32 PM</t>
  </si>
  <si>
    <t>3/20/24 1:58 PM</t>
  </si>
  <si>
    <t>3/20/24 2:03 PM</t>
  </si>
  <si>
    <t>3/20/24 2:07 PM</t>
  </si>
  <si>
    <t>3/20/24 2:26 PM</t>
  </si>
  <si>
    <t>3/21/24 8:36 AM</t>
  </si>
  <si>
    <t>3/21/24 3:39 PM</t>
  </si>
  <si>
    <t>Dan</t>
  </si>
  <si>
    <t>3/22/24 9:58 AM</t>
  </si>
  <si>
    <t>olawale</t>
  </si>
  <si>
    <t>okunrinboye</t>
  </si>
  <si>
    <t>3/22/24 3:02 PM</t>
  </si>
  <si>
    <t>3/20/24 5:37 PM</t>
  </si>
  <si>
    <t>Attending</t>
  </si>
  <si>
    <t>Nimi hosts [Creative Session] Life Drawing at Estorick Collection</t>
  </si>
  <si>
    <t>Early Bird</t>
  </si>
  <si>
    <t>3/20/24 5:45 PM</t>
  </si>
  <si>
    <t>3/20/24 7:57 PM</t>
  </si>
  <si>
    <t>3/21/24 2:55 PM</t>
  </si>
  <si>
    <t>Nimi hosts [Hidden Gem] Serpentine Gallery: Refik Anadol</t>
  </si>
  <si>
    <t>3/28/24 7:08 AM</t>
  </si>
  <si>
    <t>General Admission</t>
  </si>
  <si>
    <t>3/28/24 10:19 AM</t>
  </si>
  <si>
    <t>3/28/24 11:04 AM</t>
  </si>
  <si>
    <t>EARLYBIRD</t>
  </si>
  <si>
    <t>3/28/24 12:02 PM</t>
  </si>
  <si>
    <t>3/28/24 1:03 PM</t>
  </si>
  <si>
    <t>3/28/24 3:03 PM</t>
  </si>
  <si>
    <t>3/29/24 11:00 AM</t>
  </si>
  <si>
    <t>3/29/24 12:32 PM</t>
  </si>
  <si>
    <t>3/29/24 2:12 PM</t>
  </si>
  <si>
    <t>ezgi</t>
  </si>
  <si>
    <t>çakmak</t>
  </si>
  <si>
    <t>çakmak</t>
  </si>
  <si>
    <t>3/29/24 2:41 PM</t>
  </si>
  <si>
    <t>3/29/24 3:03 PM</t>
  </si>
  <si>
    <t>3/29/24 3:53 PM</t>
  </si>
  <si>
    <t>3/28/24 3:42 PM</t>
  </si>
  <si>
    <t>Nimi hosts [Hidden Gem] First Thursdays Gallery Stroll in East London</t>
  </si>
  <si>
    <t>OGFTW</t>
  </si>
  <si>
    <t>3/29/24 9:10 AM</t>
  </si>
  <si>
    <t>Jone</t>
  </si>
  <si>
    <t>4/2/24 7:19 AM</t>
  </si>
  <si>
    <t>P</t>
  </si>
  <si>
    <t>4/2/24 10:38 AM</t>
  </si>
  <si>
    <t>NIMIFRIENDS</t>
  </si>
  <si>
    <t>4/3/24 4:59 PM</t>
  </si>
  <si>
    <t>eoghan</t>
  </si>
  <si>
    <t>naughton</t>
  </si>
  <si>
    <t>4/4/24 3:43 AM</t>
  </si>
  <si>
    <t>S</t>
  </si>
  <si>
    <t>4/4/24 5:45 AM</t>
  </si>
  <si>
    <t>4/4/24 12:46 PM</t>
  </si>
  <si>
    <t>3/28/24 4:58 AM</t>
  </si>
  <si>
    <t>Nimi hosts [Hidden Gem] Galleries Stroll in Mayfair</t>
  </si>
  <si>
    <t>oddtdtdirect</t>
  </si>
  <si>
    <t>3/29/24 5:21 PM</t>
  </si>
  <si>
    <t>3/31/24 10:13 AM</t>
  </si>
  <si>
    <t>ebesesdeeplink</t>
  </si>
  <si>
    <t>3/31/24 8:21 PM</t>
  </si>
  <si>
    <t>4/2/24 2:41 PM</t>
  </si>
  <si>
    <t>ebdsshios</t>
  </si>
  <si>
    <t>4/3/24 5:53 PM</t>
  </si>
  <si>
    <t>WhatsApp</t>
  </si>
  <si>
    <t>4/4/24 10:05 AM</t>
  </si>
  <si>
    <t>odcleoeventsincollection</t>
  </si>
  <si>
    <t>4/4/24 3:15 PM</t>
  </si>
  <si>
    <t>N</t>
  </si>
  <si>
    <t>+17183086607</t>
  </si>
  <si>
    <t>Locals</t>
  </si>
  <si>
    <t>4/4/24 8:30 PM</t>
  </si>
  <si>
    <t>4/5/24 4:42 AM</t>
  </si>
  <si>
    <t>Joned</t>
  </si>
  <si>
    <t>eand</t>
  </si>
  <si>
    <t>4/5/24 5:06 AM</t>
  </si>
  <si>
    <t>4/5/24 6:04 AM</t>
  </si>
  <si>
    <t>4/5/24 8:19 AM</t>
  </si>
  <si>
    <t>4/5/24 10:30 AM</t>
  </si>
  <si>
    <t>4/5/24 1:12 PM</t>
  </si>
  <si>
    <t>4/5/24 2:14 PM</t>
  </si>
  <si>
    <t>4/5/24 3:24 PM</t>
  </si>
  <si>
    <t>4/5/24 6:37 PM</t>
  </si>
  <si>
    <t>4/5/24 8:35 PM</t>
  </si>
  <si>
    <t>4407923190379</t>
  </si>
  <si>
    <t>4/6/24 6:10 AM</t>
  </si>
  <si>
    <t>3/28/24 3:38 PM</t>
  </si>
  <si>
    <t>Nimi hosts [Hidden Gem] Private View at Art Galleries in Central London</t>
  </si>
  <si>
    <t>3/31/24 10:16 AM</t>
  </si>
  <si>
    <t>4/10/24 12:46 PM</t>
  </si>
  <si>
    <t>zinab</t>
  </si>
  <si>
    <t>al ramathany</t>
  </si>
  <si>
    <t>4/11/24 5:16 AM</t>
  </si>
  <si>
    <t>oddtdtcreator</t>
  </si>
  <si>
    <t>4/11/24 10:12 AM</t>
  </si>
  <si>
    <t>4/11/24 10:25 AM</t>
  </si>
  <si>
    <t>3/28/24 6:42 PM</t>
  </si>
  <si>
    <t>+447557571864</t>
  </si>
  <si>
    <t>Nimi hosts [Hidden Gem] Gallery Stroll in South Kensington</t>
  </si>
  <si>
    <t>4/1/24 3:52 PM</t>
  </si>
  <si>
    <t>7925774705</t>
  </si>
  <si>
    <t>4/7/24 8:33 AM</t>
  </si>
  <si>
    <t>4/11/24 7:53 AM</t>
  </si>
  <si>
    <t>7890306975</t>
  </si>
  <si>
    <t>4/12/24 3:52 AM</t>
  </si>
  <si>
    <t>4/12/24 2:00 PM</t>
  </si>
  <si>
    <t>4/12/24 6:08 PM</t>
  </si>
  <si>
    <t>ebesesorganizerprofile</t>
  </si>
  <si>
    <t>4/13/24 5:23 AM</t>
  </si>
  <si>
    <t>4/13/24 5:38 AM</t>
  </si>
  <si>
    <t>+447824492343</t>
  </si>
  <si>
    <t>3/28/24 3:36 PM</t>
  </si>
  <si>
    <t>Nimi hosts [Blockbuster] Visit Yoko Ono at Tate Modern</t>
  </si>
  <si>
    <t>Nimi Fee + Exhibition Ticket</t>
  </si>
  <si>
    <t>4/15/24 8:23 AM</t>
  </si>
  <si>
    <t>THANKYOU</t>
  </si>
  <si>
    <t>ebesessearch</t>
  </si>
  <si>
    <t>4/17/24 9:36 AM</t>
  </si>
  <si>
    <t>T H</t>
  </si>
  <si>
    <t>4/19/24 6:55 PM</t>
  </si>
  <si>
    <t>4/20/24 10:51 AM</t>
  </si>
  <si>
    <t>Nimi Event Fee</t>
  </si>
  <si>
    <t>4/17/24 7:36 AM</t>
  </si>
  <si>
    <t>4/17/24 12:36 PM</t>
  </si>
  <si>
    <t>4/17/24 4:23 PM</t>
  </si>
  <si>
    <t>7183086607</t>
  </si>
  <si>
    <t>4/18/24 8:37 AM</t>
  </si>
  <si>
    <t>4/18/24 12:52 PM</t>
  </si>
  <si>
    <t>4/18/24 6:29 PM</t>
  </si>
  <si>
    <t>4/18/24 6:30 PM</t>
  </si>
  <si>
    <t>4/18/24 6:32 PM</t>
  </si>
  <si>
    <t>4/18/24 6:34 PM</t>
  </si>
  <si>
    <t>4/18/24 6:36 PM</t>
  </si>
  <si>
    <t>4/20/24 4:38 AM</t>
  </si>
  <si>
    <t>ebeseaorganizationprofile</t>
  </si>
  <si>
    <t>5/1/24 2:53 AM</t>
  </si>
  <si>
    <t>[Hidden Gem] First Thursdays Gallery Stroll in East London</t>
  </si>
  <si>
    <t>5/2/24 11:13 AM</t>
  </si>
  <si>
    <t>5/2/24 12:37 PM</t>
  </si>
  <si>
    <t>5/2/24 12:53 PM</t>
  </si>
  <si>
    <t>[Blockbuster] When Forms Come Alive @ Hayward Gallery</t>
  </si>
  <si>
    <t>Whatsapp</t>
  </si>
  <si>
    <t>5/3/24 9:38 AM</t>
  </si>
  <si>
    <t>5/3/24 5:36 PM</t>
  </si>
  <si>
    <t>echckt</t>
  </si>
  <si>
    <t>5/3/24 5:55 PM</t>
  </si>
  <si>
    <t>+447553093894</t>
  </si>
  <si>
    <t>5/4/24 5:49 AM</t>
  </si>
  <si>
    <t>Muñoz</t>
  </si>
  <si>
    <t>7901584632</t>
  </si>
  <si>
    <t>5/4/24 7:06 AM</t>
  </si>
  <si>
    <t>00447525006790</t>
  </si>
  <si>
    <t>4/2/24 2:57 PM</t>
  </si>
  <si>
    <t>Nimi hosts [Hidden Gem] Dreams Have No Titles Exhibition and Tango</t>
  </si>
  <si>
    <t>ebdssbdestsearch</t>
  </si>
  <si>
    <t>4/10/24 9:09 AM</t>
  </si>
  <si>
    <t>4/19/24 10:55 AM</t>
  </si>
  <si>
    <t>+447425103954</t>
  </si>
  <si>
    <t>Nimi hosts  [Artist Talk] Unexpected Views at the National Gallery Late</t>
  </si>
  <si>
    <t>4/24/24 5:22 AM</t>
  </si>
  <si>
    <t>4/24/24 7:19 AM</t>
  </si>
  <si>
    <t>4/27/24 1:37 PM</t>
  </si>
  <si>
    <t>4/27/24 7:13 PM</t>
  </si>
  <si>
    <t>SHAY</t>
  </si>
  <si>
    <t>Meetup</t>
  </si>
  <si>
    <t>Blatner</t>
  </si>
  <si>
    <t>+44 7752 083835</t>
  </si>
  <si>
    <t>Hidden Gem Saturday Art Strolls with Nimi</t>
  </si>
  <si>
    <t>Recurrent Customer</t>
  </si>
  <si>
    <t>447846232630</t>
  </si>
  <si>
    <t>447492693024</t>
  </si>
  <si>
    <t>447366956766</t>
  </si>
  <si>
    <t>win_man45@hotmail.com</t>
  </si>
  <si>
    <t>Eventbrite</t>
  </si>
  <si>
    <t>Hidden Gems: Photography Exhibitions Across London</t>
  </si>
  <si>
    <t>Art, Music and Drinks at Courtauld Late - Featuring Exhibition of Frank Auerbach</t>
  </si>
  <si>
    <t>+44 7492 693024</t>
  </si>
  <si>
    <t>Referral</t>
  </si>
  <si>
    <t>+44 7476 276978</t>
  </si>
  <si>
    <t>[Hidden Gem] Art Gallery Stroll in Fitzrovia</t>
  </si>
  <si>
    <t>+44 7783 421941</t>
  </si>
  <si>
    <t>+44 7846 232630</t>
  </si>
  <si>
    <t>07776960365</t>
  </si>
  <si>
    <t>erelexpmlt</t>
  </si>
  <si>
    <t>M</t>
  </si>
  <si>
    <t>Art Exhibition: Impressionism and Frank Auerbach at Somerset House</t>
  </si>
  <si>
    <t>Art Gallery Preview: Heloisa Hariadne @ Twani</t>
  </si>
  <si>
    <t>Nimi VIP</t>
  </si>
  <si>
    <t>+44 7979 647510</t>
  </si>
  <si>
    <t>+44 7525 006790</t>
  </si>
  <si>
    <t>+44 7739 139930</t>
  </si>
  <si>
    <t>+44 7925 774705</t>
  </si>
  <si>
    <t>+44 7841 262698</t>
  </si>
  <si>
    <t>Art Scavenger Hunt in Mayfair @ London Gallery Weekend</t>
  </si>
  <si>
    <t>+44 7871 606482</t>
  </si>
  <si>
    <t>+44 7931 309501</t>
  </si>
  <si>
    <t>+44 7564 569465</t>
  </si>
  <si>
    <t>Okolie</t>
  </si>
  <si>
    <t>+44 7488 410909</t>
  </si>
  <si>
    <t>+44 7875 521439</t>
  </si>
  <si>
    <t>pelconsultingwork@gmail.com</t>
  </si>
  <si>
    <t>+44 7817 234925</t>
  </si>
  <si>
    <t>+44 07707665074</t>
  </si>
  <si>
    <t>JUAN PABLO</t>
  </si>
  <si>
    <t>DE LA TORRE</t>
  </si>
  <si>
    <t>CULTURECOLLECTIVE</t>
  </si>
  <si>
    <t>CC</t>
  </si>
  <si>
    <t>+44 7818 313299</t>
  </si>
  <si>
    <t>+44 7717 205862</t>
  </si>
  <si>
    <t>Richard</t>
  </si>
  <si>
    <t>anishasood26@gmail.com</t>
  </si>
  <si>
    <t>Hidden Gems: Art Gallery Stroll in South London (Bermondsey)</t>
  </si>
  <si>
    <t>Ella</t>
  </si>
  <si>
    <t>Ngwodo</t>
  </si>
  <si>
    <t>ellangwodo@gmail.com</t>
  </si>
  <si>
    <t>Erin</t>
  </si>
  <si>
    <t>Squires</t>
  </si>
  <si>
    <t>e_squires@hotmail.com</t>
  </si>
  <si>
    <t>AV</t>
  </si>
  <si>
    <t>Members’ Night at Tate Britain</t>
  </si>
  <si>
    <t>Nimi Member</t>
  </si>
  <si>
    <t>Mayfair</t>
  </si>
  <si>
    <t>Peckham</t>
  </si>
  <si>
    <t>Stretham</t>
  </si>
  <si>
    <t>South Ken</t>
  </si>
  <si>
    <t>East London</t>
  </si>
  <si>
    <t>South Bank</t>
  </si>
  <si>
    <t>Zone 3</t>
  </si>
  <si>
    <t>Users</t>
  </si>
  <si>
    <t>Events</t>
  </si>
  <si>
    <t>B2C Channels</t>
  </si>
  <si>
    <t>B2B Channels</t>
  </si>
  <si>
    <t>Loyalty</t>
  </si>
  <si>
    <t>Data Input Date</t>
  </si>
  <si>
    <t>Followers (Instagram)</t>
  </si>
  <si>
    <t>Users (Hubspot)</t>
  </si>
  <si>
    <t>Customers (Dashboard)</t>
  </si>
  <si>
    <t>Number of Registered</t>
  </si>
  <si>
    <t>Number of Attendees</t>
  </si>
  <si>
    <t>Number of Events</t>
  </si>
  <si>
    <t>Attendees per Event</t>
  </si>
  <si>
    <t>Atendees/Event Linkedin</t>
  </si>
  <si>
    <t>Atendees/Event Instagram</t>
  </si>
  <si>
    <t>Atendees/Event  Eventbrite</t>
  </si>
  <si>
    <t>Atendees/Event  Locals</t>
  </si>
  <si>
    <t>Atendees/Event  Meetup</t>
  </si>
  <si>
    <t>CWG</t>
  </si>
  <si>
    <t>Row Labels</t>
  </si>
  <si>
    <t>Grand Total</t>
  </si>
  <si>
    <t>(blank)</t>
  </si>
  <si>
    <t>&lt;3/23/24</t>
  </si>
  <si>
    <t>Column Labels</t>
  </si>
  <si>
    <t>Count of Buyer Email</t>
  </si>
  <si>
    <t>23-Mar</t>
  </si>
  <si>
    <t>25-Mar</t>
  </si>
  <si>
    <t>30-Mar</t>
  </si>
  <si>
    <t>4-Apr</t>
  </si>
  <si>
    <t>6-Apr</t>
  </si>
  <si>
    <t>11-Apr</t>
  </si>
  <si>
    <t>13-Apr</t>
  </si>
  <si>
    <t>20-Apr</t>
  </si>
  <si>
    <t>21-Apr</t>
  </si>
  <si>
    <t>26-Apr</t>
  </si>
  <si>
    <t>28-Apr</t>
  </si>
  <si>
    <t>2-May</t>
  </si>
  <si>
    <t>4-May</t>
  </si>
  <si>
    <t>11-May</t>
  </si>
  <si>
    <t>18-May</t>
  </si>
  <si>
    <t>22-May</t>
  </si>
  <si>
    <t>25-May</t>
  </si>
  <si>
    <t>26-May</t>
  </si>
  <si>
    <t>30-May</t>
  </si>
  <si>
    <t>2-Jun</t>
  </si>
  <si>
    <t>8-Jun</t>
  </si>
  <si>
    <t>14-Jun</t>
  </si>
  <si>
    <t>Column</t>
  </si>
  <si>
    <t>Row start</t>
  </si>
  <si>
    <t>Row end</t>
  </si>
  <si>
    <t>First event attended</t>
  </si>
  <si>
    <t>6.saracchi@gmail.com-friend</t>
  </si>
  <si>
    <t>Robert's friend</t>
  </si>
  <si>
    <t>roberthchapman@hotmail.com-friend</t>
  </si>
  <si>
    <t>Robert's friend 2</t>
  </si>
  <si>
    <t>roberthchapman@hotmail.com-friend2</t>
  </si>
  <si>
    <t>Jing's girlfriend</t>
  </si>
  <si>
    <t>SUM</t>
  </si>
  <si>
    <t>Attendance on date</t>
  </si>
  <si>
    <t>First Event Date</t>
  </si>
  <si>
    <t>AVG VISIT / FIRST TIMER</t>
  </si>
  <si>
    <t>COHORT BY FIRST EVENT</t>
  </si>
  <si>
    <t>COHORT BY MONTH</t>
  </si>
  <si>
    <t>MARCH</t>
  </si>
  <si>
    <t>APRIL</t>
  </si>
  <si>
    <t>MAY</t>
  </si>
  <si>
    <t>JUNE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</si>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</sst>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yyyy\-mm\-dd;@"/>
    <numFmt numFmtId="165" formatCode="0.0"/>
    <numFmt numFmtId="166" formatCode="dd/mm/yy;@"/>
    <numFmt numFmtId="167" formatCode="[$-409]mmmm\ d\,\ yyyy;@"/>
    <numFmt numFmtId="168" formatCode="0.000"/>
    <numFmt numFmtId="169" formatCode="[$-409]d\-mmm\-yy;@"/>
  </numFmts>
  <fonts count="2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0"/>
      <name val="Aptos Narrow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0" tint="-0.34998626667073579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</font>
    <font>
      <sz val="9"/>
      <color rgb="FF000000"/>
      <name val="Aptos Narrow"/>
    </font>
    <font>
      <sz val="12"/>
      <color theme="0" tint="-0.249977111117893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Calibri"/>
      <family val="2"/>
      <charset val="1"/>
    </font>
    <font>
      <sz val="12"/>
      <color rgb="FF000000"/>
      <name val="Aptos Narrow"/>
    </font>
    <font>
      <b/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24" fillId="0" borderId="0" applyFon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0" borderId="0" xfId="0" applyFont="1"/>
    <xf numFmtId="1" fontId="3" fillId="0" borderId="0" xfId="0" applyNumberFormat="1" applyFont="1"/>
    <xf numFmtId="0" fontId="0" fillId="5" borderId="0" xfId="0" applyFill="1"/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5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0" fillId="9" borderId="1" xfId="0" applyFill="1" applyBorder="1"/>
    <xf numFmtId="0" fontId="6" fillId="3" borderId="1" xfId="0" applyFont="1" applyFill="1" applyBorder="1"/>
    <xf numFmtId="14" fontId="6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8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13" borderId="0" xfId="0" applyFill="1" applyAlignment="1">
      <alignment vertical="center" wrapText="1"/>
    </xf>
    <xf numFmtId="0" fontId="0" fillId="13" borderId="0" xfId="0" applyFill="1"/>
    <xf numFmtId="0" fontId="10" fillId="14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0" fillId="9" borderId="4" xfId="0" applyFill="1" applyBorder="1"/>
    <xf numFmtId="14" fontId="0" fillId="9" borderId="1" xfId="0" applyNumberFormat="1" applyFill="1" applyBorder="1"/>
    <xf numFmtId="0" fontId="6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7" fillId="9" borderId="1" xfId="0" applyFont="1" applyFill="1" applyBorder="1"/>
    <xf numFmtId="14" fontId="7" fillId="9" borderId="1" xfId="0" applyNumberFormat="1" applyFont="1" applyFill="1" applyBorder="1"/>
    <xf numFmtId="0" fontId="7" fillId="9" borderId="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11" fillId="2" borderId="0" xfId="0" applyFont="1" applyFill="1"/>
    <xf numFmtId="0" fontId="0" fillId="16" borderId="0" xfId="0" applyFill="1"/>
    <xf numFmtId="0" fontId="12" fillId="0" borderId="0" xfId="0" applyFont="1"/>
    <xf numFmtId="0" fontId="0" fillId="17" borderId="0" xfId="0" applyFill="1"/>
    <xf numFmtId="166" fontId="7" fillId="0" borderId="0" xfId="0" applyNumberFormat="1" applyFont="1"/>
    <xf numFmtId="166" fontId="0" fillId="0" borderId="0" xfId="0" applyNumberFormat="1"/>
    <xf numFmtId="0" fontId="0" fillId="9" borderId="1" xfId="0" applyFill="1" applyBorder="1" applyAlignment="1">
      <alignment wrapText="1"/>
    </xf>
    <xf numFmtId="0" fontId="0" fillId="9" borderId="0" xfId="0" applyFill="1" applyAlignment="1">
      <alignment horizontal="center" wrapText="1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0" fillId="18" borderId="0" xfId="0" applyFill="1" applyAlignment="1">
      <alignment vertical="center" wrapText="1"/>
    </xf>
    <xf numFmtId="0" fontId="0" fillId="18" borderId="0" xfId="0" applyFill="1" applyAlignment="1">
      <alignment horizontal="left"/>
    </xf>
    <xf numFmtId="0" fontId="0" fillId="18" borderId="0" xfId="0" applyFill="1"/>
    <xf numFmtId="0" fontId="10" fillId="19" borderId="0" xfId="0" applyFont="1" applyFill="1" applyAlignment="1">
      <alignment horizontal="center" vertical="center"/>
    </xf>
    <xf numFmtId="0" fontId="13" fillId="0" borderId="0" xfId="0" applyFont="1"/>
    <xf numFmtId="22" fontId="13" fillId="0" borderId="0" xfId="0" applyNumberFormat="1" applyFont="1"/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3" fillId="0" borderId="0" xfId="0" quotePrefix="1" applyNumberFormat="1" applyFont="1"/>
    <xf numFmtId="49" fontId="13" fillId="0" borderId="0" xfId="0" applyNumberFormat="1" applyFont="1"/>
    <xf numFmtId="0" fontId="0" fillId="20" borderId="0" xfId="0" applyFill="1"/>
    <xf numFmtId="0" fontId="10" fillId="11" borderId="2" xfId="0" applyFont="1" applyFill="1" applyBorder="1" applyAlignment="1">
      <alignment horizontal="center" vertical="center"/>
    </xf>
    <xf numFmtId="1" fontId="15" fillId="0" borderId="0" xfId="0" applyNumberFormat="1" applyFont="1"/>
    <xf numFmtId="0" fontId="15" fillId="0" borderId="0" xfId="0" applyFont="1"/>
    <xf numFmtId="166" fontId="15" fillId="0" borderId="0" xfId="0" applyNumberFormat="1" applyFont="1"/>
    <xf numFmtId="14" fontId="15" fillId="0" borderId="0" xfId="0" applyNumberFormat="1" applyFont="1" applyAlignment="1">
      <alignment horizontal="center"/>
    </xf>
    <xf numFmtId="0" fontId="16" fillId="0" borderId="0" xfId="0" applyFont="1"/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22" fontId="12" fillId="0" borderId="0" xfId="0" applyNumberFormat="1" applyFont="1"/>
    <xf numFmtId="11" fontId="12" fillId="0" borderId="0" xfId="0" applyNumberFormat="1" applyFont="1"/>
    <xf numFmtId="0" fontId="12" fillId="0" borderId="0" xfId="0" quotePrefix="1" applyFont="1"/>
    <xf numFmtId="0" fontId="0" fillId="9" borderId="5" xfId="0" applyFill="1" applyBorder="1" applyAlignment="1">
      <alignment horizontal="left"/>
    </xf>
    <xf numFmtId="167" fontId="0" fillId="9" borderId="5" xfId="0" applyNumberFormat="1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7" fillId="9" borderId="0" xfId="0" applyFont="1" applyFill="1"/>
    <xf numFmtId="164" fontId="0" fillId="9" borderId="0" xfId="0" applyNumberFormat="1" applyFill="1"/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 wrapText="1"/>
    </xf>
    <xf numFmtId="0" fontId="19" fillId="9" borderId="0" xfId="0" applyFont="1" applyFill="1" applyAlignment="1">
      <alignment horizontal="center" vertical="center" wrapText="1"/>
    </xf>
    <xf numFmtId="164" fontId="19" fillId="4" borderId="0" xfId="0" applyNumberFormat="1" applyFont="1" applyFill="1" applyAlignment="1">
      <alignment horizontal="center" vertical="center" wrapText="1"/>
    </xf>
    <xf numFmtId="0" fontId="17" fillId="4" borderId="6" xfId="0" applyFont="1" applyFill="1" applyBorder="1"/>
    <xf numFmtId="0" fontId="18" fillId="4" borderId="6" xfId="0" applyFont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20" fillId="0" borderId="0" xfId="0" applyFont="1"/>
    <xf numFmtId="22" fontId="20" fillId="0" borderId="0" xfId="0" applyNumberFormat="1" applyFont="1"/>
    <xf numFmtId="0" fontId="5" fillId="0" borderId="0" xfId="1" applyAlignment="1">
      <alignment horizontal="left" vertical="center"/>
    </xf>
    <xf numFmtId="0" fontId="15" fillId="0" borderId="0" xfId="0" applyFont="1" applyAlignment="1">
      <alignment horizont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/>
    </xf>
    <xf numFmtId="0" fontId="13" fillId="9" borderId="0" xfId="0" applyFont="1" applyFill="1" applyAlignment="1">
      <alignment horizontal="left"/>
    </xf>
    <xf numFmtId="0" fontId="12" fillId="9" borderId="0" xfId="0" applyFont="1" applyFill="1"/>
    <xf numFmtId="0" fontId="20" fillId="9" borderId="0" xfId="0" applyFont="1" applyFill="1"/>
    <xf numFmtId="0" fontId="20" fillId="9" borderId="0" xfId="0" applyFont="1" applyFill="1" applyAlignment="1">
      <alignment wrapText="1"/>
    </xf>
    <xf numFmtId="1" fontId="8" fillId="0" borderId="0" xfId="0" applyNumberFormat="1" applyFont="1"/>
    <xf numFmtId="0" fontId="8" fillId="0" borderId="0" xfId="0" applyFont="1"/>
    <xf numFmtId="166" fontId="8" fillId="0" borderId="0" xfId="0" applyNumberFormat="1" applyFont="1"/>
    <xf numFmtId="14" fontId="8" fillId="0" borderId="0" xfId="0" applyNumberFormat="1" applyFont="1" applyAlignment="1">
      <alignment horizontal="center" wrapText="1"/>
    </xf>
    <xf numFmtId="0" fontId="0" fillId="0" borderId="1" xfId="0" applyBorder="1"/>
    <xf numFmtId="0" fontId="0" fillId="9" borderId="0" xfId="0" applyFill="1"/>
    <xf numFmtId="0" fontId="10" fillId="11" borderId="3" xfId="0" applyFont="1" applyFill="1" applyBorder="1" applyAlignment="1">
      <alignment horizontal="center" vertical="center"/>
    </xf>
    <xf numFmtId="0" fontId="5" fillId="9" borderId="0" xfId="1" applyFill="1"/>
    <xf numFmtId="0" fontId="13" fillId="9" borderId="0" xfId="0" applyFont="1" applyFill="1"/>
    <xf numFmtId="0" fontId="8" fillId="9" borderId="0" xfId="0" applyFont="1" applyFill="1" applyAlignment="1">
      <alignment wrapText="1"/>
    </xf>
    <xf numFmtId="0" fontId="20" fillId="0" borderId="0" xfId="0" quotePrefix="1" applyFont="1"/>
    <xf numFmtId="168" fontId="0" fillId="0" borderId="0" xfId="0" applyNumberFormat="1"/>
    <xf numFmtId="0" fontId="21" fillId="0" borderId="0" xfId="0" applyFont="1" applyAlignment="1">
      <alignment horizontal="left"/>
    </xf>
    <xf numFmtId="0" fontId="0" fillId="0" borderId="7" xfId="0" applyBorder="1"/>
    <xf numFmtId="0" fontId="22" fillId="22" borderId="0" xfId="0" applyFont="1" applyFill="1"/>
    <xf numFmtId="0" fontId="22" fillId="22" borderId="7" xfId="0" applyFont="1" applyFill="1" applyBorder="1"/>
    <xf numFmtId="0" fontId="7" fillId="9" borderId="7" xfId="0" applyFont="1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3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4" fontId="7" fillId="0" borderId="0" xfId="0" applyNumberFormat="1" applyFont="1" applyAlignment="1">
      <alignment horizontal="center" wrapText="1"/>
    </xf>
    <xf numFmtId="0" fontId="8" fillId="9" borderId="0" xfId="0" applyFont="1" applyFill="1" applyAlignment="1">
      <alignment horizontal="center"/>
    </xf>
    <xf numFmtId="0" fontId="0" fillId="23" borderId="0" xfId="0" applyFill="1"/>
    <xf numFmtId="169" fontId="0" fillId="4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169" fontId="13" fillId="0" borderId="0" xfId="0" applyNumberFormat="1" applyFont="1" applyAlignment="1">
      <alignment horizontal="center"/>
    </xf>
    <xf numFmtId="169" fontId="20" fillId="0" borderId="0" xfId="0" applyNumberFormat="1" applyFont="1" applyAlignment="1">
      <alignment horizontal="center"/>
    </xf>
    <xf numFmtId="0" fontId="0" fillId="0" borderId="0" xfId="0" pivotButton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 applyAlignment="1">
      <alignment horizontal="left"/>
    </xf>
    <xf numFmtId="0" fontId="3" fillId="0" borderId="0" xfId="0" applyFont="1" applyAlignment="1">
      <alignment horizontal="left"/>
    </xf>
    <xf numFmtId="0" fontId="5" fillId="9" borderId="0" xfId="1" applyFill="1" applyAlignment="1">
      <alignment horizontal="left"/>
    </xf>
    <xf numFmtId="0" fontId="0" fillId="17" borderId="0" xfId="0" applyFill="1" applyAlignment="1">
      <alignment horizontal="left"/>
    </xf>
    <xf numFmtId="0" fontId="20" fillId="17" borderId="0" xfId="0" applyFont="1" applyFill="1"/>
    <xf numFmtId="0" fontId="5" fillId="17" borderId="0" xfId="1" applyFill="1" applyAlignment="1">
      <alignment horizontal="left"/>
    </xf>
    <xf numFmtId="41" fontId="0" fillId="0" borderId="0" xfId="0" applyNumberFormat="1" applyAlignment="1">
      <alignment horizontal="center"/>
    </xf>
    <xf numFmtId="41" fontId="0" fillId="0" borderId="0" xfId="0" applyNumberFormat="1"/>
    <xf numFmtId="41" fontId="0" fillId="0" borderId="0" xfId="0" applyNumberFormat="1" applyAlignment="1">
      <alignment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41" fontId="0" fillId="0" borderId="11" xfId="0" applyNumberFormat="1" applyBorder="1" applyAlignment="1">
      <alignment vertical="center"/>
    </xf>
    <xf numFmtId="41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41" fontId="0" fillId="0" borderId="12" xfId="0" applyNumberFormat="1" applyBorder="1" applyAlignment="1">
      <alignment vertical="center"/>
    </xf>
    <xf numFmtId="41" fontId="0" fillId="0" borderId="12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9" fontId="0" fillId="0" borderId="0" xfId="2" applyFont="1" applyAlignment="1">
      <alignment horizontal="center"/>
    </xf>
    <xf numFmtId="0" fontId="10" fillId="12" borderId="2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0" xfId="0" applyFont="1" applyFill="1" applyAlignment="1">
      <alignment horizontal="center"/>
    </xf>
    <xf numFmtId="0" fontId="23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  <xf numFmtId="0" fontId="2" fillId="21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20">
    <dxf>
      <font>
        <color theme="1"/>
      </font>
      <fill>
        <patternFill patternType="solid">
          <bgColor theme="5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5" tint="0.79998168889431442"/>
        </patternFill>
      </fill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0D1D1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.xml"/></Relationships>
</file>

<file path=xl/documenttasks/documenttask1.xml><?xml version="1.0" encoding="utf-8"?>
<Tasks xmlns="http://schemas.microsoft.com/office/tasks/2019/documenttasks">
  <Task id="{74CC0C4D-1A55-1F44-8BFA-7F76A6A4CE4D}">
    <Anchor>
      <Comment id="{E79DE493-36EC-9B43-9DCF-330A935160BF}"/>
    </Anchor>
    <History>
      <Event time="2024-04-15T12:25:02.24" id="{558CF7E8-2B49-8C43-ABAA-E1B373DC732A}">
        <Attribution userId="S::ana@nimi.live::b0d0c2cd-b15d-403c-bc4f-a877ffcaa6ca" userName="Ana Vasques" userProvider="AD"/>
        <Anchor>
          <Comment id="{E79DE493-36EC-9B43-9DCF-330A935160BF}"/>
        </Anchor>
        <Create/>
      </Event>
      <Event time="2024-04-15T12:25:02.24" id="{E876B314-3046-5748-87F5-35D527A0C94A}">
        <Attribution userId="S::ana@nimi.live::b0d0c2cd-b15d-403c-bc4f-a877ffcaa6ca" userName="Ana Vasques" userProvider="AD"/>
        <Anchor>
          <Comment id="{E79DE493-36EC-9B43-9DCF-330A935160BF}"/>
        </Anchor>
        <Assign userId="S::anh@nimi.live::02fdda22-93f4-4fc9-98f1-3f4d490a7646" userName="Anh Nguyen" userProvider="AD"/>
      </Event>
      <Event time="2024-04-15T12:25:02.24" id="{CC062CC6-1FDD-5B45-96D8-32E9227FF783}">
        <Attribution userId="S::ana@nimi.live::b0d0c2cd-b15d-403c-bc4f-a877ffcaa6ca" userName="Ana Vasques" userProvider="AD"/>
        <Anchor>
          <Comment id="{E79DE493-36EC-9B43-9DCF-330A935160BF}"/>
        </Anchor>
        <SetTitle title="@Anh Nguyen apparently we didn’t sign anyone in on eventbrite on this last event. Can you confirm if everyone attended the event so I can update the list?"/>
      </Event>
      <Event time="2024-04-15T12:25:07.13" id="{2C21015F-3A54-0545-A996-F8FCB0848079}">
        <Attribution userId="S::ana@nimi.live::b0d0c2cd-b15d-403c-bc4f-a877ffcaa6ca" userName="Ana Vasques" userProvider="AD"/>
        <Progress percentComplete="100"/>
      </Event>
      <Event time="2024-04-15T12:25:11.14" id="{CA678A2E-E52C-6547-B90F-F6C0AF885A65}">
        <Attribution userId="S::ana@nimi.live::b0d0c2cd-b15d-403c-bc4f-a877ffcaa6ca" userName="Ana Vasques" userProvider="AD"/>
        <Progress percentComplete="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nh Nguyen" id="{33147329-19C4-114A-87E9-686858BCF773}" userId="anh@nimi.live" providerId="PeoplePicker"/>
  <person displayName="Ana Vasques" id="{D055E2D8-6AEA-EA4B-B3FC-C1F46DA06075}" userId="S::ana@nimi.live::b0d0c2cd-b15d-403c-bc4f-a877ffcaa6ca" providerId="AD"/>
  <person displayName="Anh Nguyen" id="{37CC79EC-11A9-E944-B761-8752DFD70EBE}" userId="S::anh@nimi.live::02fdda22-93f4-4fc9-98f1-3f4d490a7646" providerId="AD"/>
  <person displayName="Guest User" id="{A0515248-B460-416F-9EA5-10881E08FE50}" userId="S::urn:spo:anon#c8c4c5ef9790b81b6e5aa6ff7c387c30ec296c189762f40cc1e24220ecd77e33::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h Duong Nguyen" refreshedDate="45520.103712384262" createdVersion="8" refreshedVersion="8" minRefreshableVersion="3" recordCount="295" xr:uid="{34E1DB43-CA75-5247-B86C-CAEA3F8522AA}">
  <cacheSource type="worksheet">
    <worksheetSource ref="E1:AA296" sheet="Visits"/>
  </cacheSource>
  <cacheFields count="25">
    <cacheField name="Email" numFmtId="0">
      <sharedItems containsBlank="1" count="103">
        <s v="laurabrown148@gmail.com"/>
        <s v="aidanakassymova@gmail.com"/>
        <s v="lucyzhou2@hotmail.com"/>
        <s v="srivaths.s@gmail.com"/>
        <s v="alekseypleshkov17@gmail.com"/>
        <s v="thefengshuistory@gmail.com"/>
        <s v="susandjackson01@gmail.com"/>
        <s v="roberthchapman@hotmail.com"/>
        <s v="daniel.lugg@yahoo.com"/>
        <s v="walokunrin@yahoo.com"/>
        <s v="ngg971@gmail.com"/>
        <s v="Clairelouisecouchman@hotmail.com"/>
        <s v="katherineyr.kim@gmail.com"/>
        <s v="rtranaita@gmail.com"/>
        <s v="audreyrebeccahutabarat@gmail.com"/>
        <s v="tendulkar.rohini@gmail.com"/>
        <s v="sethi.tanvi@gmail.com"/>
        <s v="louise.ly.chow@gmail.com"/>
        <s v="monique.blemur@gmail.com"/>
        <s v="roberthchapman@hotmail.com-friend"/>
        <s v="hrational@gmail.com"/>
        <s v="scribu@gmail.com"/>
        <s v="ezgicaakmak@gmail.com"/>
        <s v="roberthchapman@hotmail.com-friend2"/>
        <s v="simon88e@yahoo.com"/>
        <s v="dmbarden@hotmail.co.uk"/>
        <s v="jones_daniela@yahoo.co.uk"/>
        <s v="natashapavlovskaya23@gmail.com"/>
        <s v="khan.saretta@gmail.com"/>
        <s v="eoghannaughton@hotmail.com"/>
        <s v="sophia.shemlugu@gmail.com"/>
        <s v="sweetkowi@gmail.com"/>
        <s v="anamariaperu@hotmail.co.uk"/>
        <s v="claudiapaicu@yahoo.com"/>
        <s v="sam.samedzade@gmail.com"/>
        <s v="hanna.niczyporuk@gmail.com"/>
        <s v="jon.chikly@gmail.com"/>
        <s v="rowan.bashar@gmail.com"/>
        <s v="anayosefi@gmail.com"/>
        <s v="d.v.davideveronese@gmail.com"/>
        <s v="taam.isadora@gmail.com"/>
        <s v="zinab.rama@gmail.com"/>
        <s v="win.man@icloud.com"/>
        <s v="galimova.al.al@gmail.com"/>
        <s v="shaysteele2017@gmail.com"/>
        <s v="elena27kuv@gmail.com"/>
        <s v="egemensiphone@gmail.com"/>
        <s v="yyasemin.mermer@gmail.com"/>
        <s v="apbhetherington@gmail.com"/>
        <s v="tomhsaville@hotmail.co.uk"/>
        <s v="pragyaptib@gmail.com"/>
        <s v="kittyor.or@gmail.com"/>
        <s v="maestromattheww@yahoo.co.uk"/>
        <s v="jz548282@gmail.com"/>
        <s v="jinishgohil@yahoo.co.in"/>
        <s v="dildeep96@gmail.com"/>
        <s v="alena.german.71@gmail.com"/>
        <s v="tatatamzzz@gmail.com"/>
        <s v="yangtianqi2023@163.com"/>
        <s v="federica.martini@live.it"/>
        <s v="shlimbc2@gmail.com"/>
        <s v="Jing's girlfriend"/>
        <s v="teodor.rd27@gmail.com"/>
        <s v="isisding@gmail.com"/>
        <s v="blattnerj@gmail.com"/>
        <s v="io.brezeanu@gmail.com"/>
        <s v="lanidoms@gmail.com"/>
        <s v="yskinoue0127@gmail.com"/>
        <s v="estherchen314@gmail.com"/>
        <s v="xetta03@hotmail.com"/>
        <s v="edementyeva@yandex.ru"/>
        <s v="lonmys@outlook.com"/>
        <s v="6.saracchi@gmail.com"/>
        <s v="6.saracchi@gmail.com-friend"/>
        <s v="tamara.dews@lseg.com"/>
        <s v="mm.manolova@yahoo.com"/>
        <s v="gilka5@hotmail.com"/>
        <s v="angelakiva10@gmail.com"/>
        <s v="celia.sattamino@gmail.com"/>
        <s v="Laure.kroely@gmail.com"/>
        <s v="andrew.restlesspanda@gmail.com"/>
        <s v="wil_akanno@hotmail.com"/>
        <s v="C.Emily.white@gmail.com"/>
        <s v="sabinahaytbaeva@gmail.com"/>
        <s v="Nataliokolie@gmail.com"/>
        <s v="ejike.onuchukwu@gmail.com"/>
        <s v="pelconsultingwork@gmail.com"/>
        <s v="david.flatscher@gmail.com"/>
        <s v="alina.flatscher@gmail.com"/>
        <s v="juanpablo.dltc@gmail.com"/>
        <s v="dmello.daniel@gmail.com"/>
        <s v="beverly.mccrory@gmail.com"/>
        <s v="matthew.hoza@gmail.com"/>
        <s v="simon.brk@gmail.com"/>
        <s v="imanbudget@yahoo.co.uk"/>
        <s v="Richard_segal@yahoo.com"/>
        <s v="anishasood26@gmail.com"/>
        <s v="Corneliu.civig@gmail.com"/>
        <s v="ellangwodo@gmail.com"/>
        <s v="e_squires@hotmail.com"/>
        <m/>
        <s v="Jing  (Meetup)" u="1"/>
        <s v="vasques.anacarolina@gmail.com" u="1"/>
      </sharedItems>
    </cacheField>
    <cacheField name="Phone Number" numFmtId="0">
      <sharedItems containsBlank="1" containsMixedTypes="1" containsNumber="1" containsInteger="1" minValue="0" maxValue="447980000000"/>
    </cacheField>
    <cacheField name="Event Name" numFmtId="0">
      <sharedItems containsBlank="1"/>
    </cacheField>
    <cacheField name="Event ID" numFmtId="0">
      <sharedItems containsString="0" containsBlank="1" containsNumber="1" containsInteger="1" minValue="1" maxValue="28" count="24">
        <n v="1"/>
        <n v="2"/>
        <n v="3"/>
        <n v="4"/>
        <n v="5"/>
        <n v="6"/>
        <n v="7"/>
        <n v="8"/>
        <n v="9"/>
        <n v="10"/>
        <n v="11"/>
        <n v="13"/>
        <n v="12"/>
        <n v="14"/>
        <n v="15"/>
        <n v="22"/>
        <n v="20"/>
        <n v="16"/>
        <n v="17"/>
        <n v="23"/>
        <n v="18"/>
        <n v="24"/>
        <n v="28"/>
        <m/>
      </sharedItems>
    </cacheField>
    <cacheField name="Event Date" numFmtId="169">
      <sharedItems containsNonDate="0" containsDate="1" containsString="0" containsBlank="1" minDate="2024-03-23T00:00:00" maxDate="2024-06-15T00:00:00" count="23">
        <d v="2024-03-23T00:00:00"/>
        <d v="2024-03-25T00:00:00"/>
        <d v="2024-03-30T00:00:00"/>
        <d v="2024-04-04T00:00:00"/>
        <d v="2024-04-06T00:00:00"/>
        <d v="2024-04-11T00:00:00"/>
        <d v="2024-04-13T00:00:00"/>
        <d v="2024-04-21T00:00:00"/>
        <d v="2024-04-20T00:00:00"/>
        <d v="2024-05-02T00:00:00"/>
        <d v="2024-05-04T00:00:00"/>
        <d v="2024-04-28T00:00:00"/>
        <d v="2024-04-26T00:00:00"/>
        <d v="2024-05-11T00:00:00"/>
        <d v="2024-05-18T00:00:00"/>
        <d v="2024-05-25T00:00:00"/>
        <d v="2024-05-22T00:00:00"/>
        <d v="2024-05-26T00:00:00"/>
        <d v="2024-05-30T00:00:00"/>
        <d v="2024-06-02T00:00:00"/>
        <d v="2024-06-08T00:00:00"/>
        <d v="2024-06-14T00:00:00"/>
        <m/>
      </sharedItems>
      <fieldGroup par="24"/>
    </cacheField>
    <cacheField name="Ticket Quantity" numFmtId="0">
      <sharedItems containsString="0" containsBlank="1" containsNumber="1" containsInteger="1" minValue="1" maxValue="1"/>
    </cacheField>
    <cacheField name="Ticket Type" numFmtId="0">
      <sharedItems containsBlank="1"/>
    </cacheField>
    <cacheField name="Ticket Price" numFmtId="0">
      <sharedItems containsString="0" containsBlank="1" containsNumber="1" minValue="0" maxValue="40"/>
    </cacheField>
    <cacheField name="Promotion Code" numFmtId="0">
      <sharedItems containsBlank="1"/>
    </cacheField>
    <cacheField name="Buyer First Name" numFmtId="0">
      <sharedItems containsBlank="1"/>
    </cacheField>
    <cacheField name="Buyer Last Name" numFmtId="0">
      <sharedItems containsBlank="1" containsMixedTypes="1" containsNumber="1" containsInteger="1" minValue="0" maxValue="0"/>
    </cacheField>
    <cacheField name="Buyer Email" numFmtId="0">
      <sharedItems containsBlank="1"/>
    </cacheField>
    <cacheField name="Tracking Link" numFmtId="0">
      <sharedItems containsBlank="1"/>
    </cacheField>
    <cacheField name="Currency" numFmtId="0">
      <sharedItems containsBlank="1"/>
    </cacheField>
    <cacheField name="Event_ID" numFmtId="0">
      <sharedItems containsString="0" containsBlank="1" containsNumber="1" containsInteger="1" minValue="0" maxValue="28"/>
    </cacheField>
    <cacheField name="Event_Name" numFmtId="0">
      <sharedItems containsBlank="1" containsMixedTypes="1" containsNumber="1" containsInteger="1" minValue="0" maxValue="0"/>
    </cacheField>
    <cacheField name="Event_Date" numFmtId="167">
      <sharedItems containsNonDate="0" containsDate="1" containsBlank="1" containsMixedTypes="1" minDate="1899-12-30T00:00:00" maxDate="2024-06-15T00:00:00"/>
    </cacheField>
    <cacheField name="Event_Month" numFmtId="0">
      <sharedItems containsBlank="1" containsMixedTypes="1" containsNumber="1" containsInteger="1" minValue="1" maxValue="6"/>
    </cacheField>
    <cacheField name="Tracking Link2" numFmtId="0">
      <sharedItems containsBlank="1" containsMixedTypes="1" containsNumber="1" containsInteger="1" minValue="0" maxValue="0"/>
    </cacheField>
    <cacheField name="Source" numFmtId="0">
      <sharedItems containsBlank="1"/>
    </cacheField>
    <cacheField name="Referral Source" numFmtId="0">
      <sharedItems containsBlank="1"/>
    </cacheField>
    <cacheField name="Exhibitions" numFmtId="0">
      <sharedItems containsBlank="1" containsMixedTypes="1" containsNumber="1" containsInteger="1" minValue="1" maxValue="4"/>
    </cacheField>
    <cacheField name="Attendance" numFmtId="0">
      <sharedItems containsNonDate="0" containsString="0" containsBlank="1"/>
    </cacheField>
    <cacheField name="Days (Event Date)" numFmtId="0" databaseField="0">
      <fieldGroup base="4">
        <rangePr groupBy="days" startDate="2024-03-23T00:00:00" endDate="2024-06-15T00:00:00"/>
        <groupItems count="368">
          <s v="&lt;3/23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15/24"/>
        </groupItems>
      </fieldGroup>
    </cacheField>
    <cacheField name="Months (Event Date)" numFmtId="0" databaseField="0">
      <fieldGroup base="4">
        <rangePr groupBy="months" startDate="2024-03-23T00:00:00" endDate="2024-06-15T00:00:00"/>
        <groupItems count="14">
          <s v="&lt;3/23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5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m/>
    <s v="Nimi hosts [Art Marathon] Somerset House: Assembly 2024 &amp;amp; Print Fair 23/03"/>
    <x v="0"/>
    <x v="0"/>
    <n v="1"/>
    <s v="Print Fair Only"/>
    <n v="25"/>
    <m/>
    <s v="Laura"/>
    <s v="Brown"/>
    <s v="laurabrown148@gmail.com"/>
    <m/>
    <s v="GBP"/>
    <n v="1"/>
    <s v="Nimi hosts [Art Marathon] Somerset House: Assembly 2024 &amp;amp; Print Fair 23/03"/>
    <d v="2024-03-23T00:00:00"/>
    <n v="3"/>
    <m/>
    <m/>
    <m/>
    <n v="1"/>
    <m/>
  </r>
  <r>
    <x v="1"/>
    <m/>
    <s v="Nimi hosts [Art Marathon] Somerset House: Assembly 2024 &amp;amp; Print Fair 23/03"/>
    <x v="0"/>
    <x v="0"/>
    <n v="1"/>
    <s v="Print Fair + Assembly Music at 7pm Combination"/>
    <n v="40"/>
    <m/>
    <s v="Aidana"/>
    <s v="Kassymova"/>
    <s v="aidanakassymova@gmail.com"/>
    <m/>
    <s v="GBP"/>
    <n v="1"/>
    <s v="Nimi hosts [Art Marathon] Somerset House: Assembly 2024 &amp;amp; Print Fair 23/03"/>
    <d v="2024-03-23T00:00:00"/>
    <n v="3"/>
    <m/>
    <m/>
    <m/>
    <n v="1"/>
    <m/>
  </r>
  <r>
    <x v="2"/>
    <m/>
    <s v="Nimi hosts [Art Marathon] Somerset House: Assembly 2024 &amp;amp; Print Fair 23/03"/>
    <x v="0"/>
    <x v="0"/>
    <n v="1"/>
    <s v="Print Fair + Assembly Music at 7pm Combination"/>
    <n v="40"/>
    <m/>
    <s v="Lucy"/>
    <s v="Zhou"/>
    <s v="lucyzhou2@hotmail.com"/>
    <m/>
    <s v="GBP"/>
    <n v="1"/>
    <s v="Nimi hosts [Art Marathon] Somerset House: Assembly 2024 &amp;amp; Print Fair 23/03"/>
    <d v="2024-03-23T00:00:00"/>
    <n v="3"/>
    <m/>
    <m/>
    <m/>
    <n v="1"/>
    <m/>
  </r>
  <r>
    <x v="3"/>
    <m/>
    <s v="Nimi hosts [Art Marathon] Somerset House: Assembly 2024 &amp;amp; Print Fair 23/03"/>
    <x v="0"/>
    <x v="0"/>
    <n v="1"/>
    <s v="Print Fair + Assembly Music at 7pm Combination"/>
    <n v="40"/>
    <m/>
    <s v="Srivaths"/>
    <s v="Swaminathan"/>
    <s v="srivaths.s@gmail.com"/>
    <m/>
    <s v="GBP"/>
    <n v="1"/>
    <s v="Nimi hosts [Art Marathon] Somerset House: Assembly 2024 &amp;amp; Print Fair 23/03"/>
    <d v="2024-03-23T00:00:00"/>
    <n v="3"/>
    <m/>
    <m/>
    <m/>
    <n v="1"/>
    <m/>
  </r>
  <r>
    <x v="4"/>
    <m/>
    <s v="Nimi hosts [Art Marathon] Somerset House: Assembly 2024 &amp;amp; Print Fair 23/03"/>
    <x v="0"/>
    <x v="0"/>
    <n v="1"/>
    <s v="Print Fair + Assembly Music at 7pm Combination"/>
    <n v="40"/>
    <m/>
    <s v="Aleksejs"/>
    <s v="Pleskovs"/>
    <s v="alekseypleshkov17@gmail.com"/>
    <m/>
    <s v="GBP"/>
    <n v="1"/>
    <s v="Nimi hosts [Art Marathon] Somerset House: Assembly 2024 &amp;amp; Print Fair 23/03"/>
    <d v="2024-03-23T00:00:00"/>
    <n v="3"/>
    <m/>
    <m/>
    <m/>
    <n v="1"/>
    <m/>
  </r>
  <r>
    <x v="5"/>
    <m/>
    <s v="Nimi hosts [Art Marathon] Somerset House: Assembly 2024 &amp;amp; Print Fair 23/03"/>
    <x v="0"/>
    <x v="0"/>
    <n v="1"/>
    <s v="Print Fair + Assembly Music at 7pm Combination"/>
    <n v="40"/>
    <m/>
    <s v="Mouna"/>
    <s v="Iraqi"/>
    <s v="thefengshuistory@gmail.com"/>
    <m/>
    <s v="GBP"/>
    <n v="1"/>
    <s v="Nimi hosts [Art Marathon] Somerset House: Assembly 2024 &amp;amp; Print Fair 23/03"/>
    <d v="2024-03-23T00:00:00"/>
    <n v="3"/>
    <m/>
    <m/>
    <m/>
    <n v="1"/>
    <m/>
  </r>
  <r>
    <x v="6"/>
    <m/>
    <s v="Nimi hosts [Art Marathon] Somerset House: Assembly 2024 &amp;amp; Print Fair 23/03"/>
    <x v="0"/>
    <x v="0"/>
    <n v="1"/>
    <s v="Print Fair + Assembly Music at 7pm Combination"/>
    <n v="40"/>
    <m/>
    <s v="Susan"/>
    <s v="Durkan Jackson"/>
    <s v="susandjackson01@gmail.com"/>
    <m/>
    <s v="GBP"/>
    <n v="1"/>
    <s v="Nimi hosts [Art Marathon] Somerset House: Assembly 2024 &amp;amp; Print Fair 23/03"/>
    <d v="2024-03-23T00:00:00"/>
    <n v="3"/>
    <m/>
    <m/>
    <m/>
    <n v="1"/>
    <m/>
  </r>
  <r>
    <x v="7"/>
    <m/>
    <s v="Nimi hosts [Art Marathon] Somerset House: Assembly 2024 &amp;amp; Print Fair 23/03"/>
    <x v="0"/>
    <x v="0"/>
    <n v="1"/>
    <s v="Print Fair Only"/>
    <n v="25"/>
    <m/>
    <s v="Robert"/>
    <s v="Chapman"/>
    <s v="roberthchapman@hotmail.com"/>
    <m/>
    <s v="GBP"/>
    <n v="1"/>
    <s v="Nimi hosts [Art Marathon] Somerset House: Assembly 2024 &amp;amp; Print Fair 23/03"/>
    <d v="2024-03-23T00:00:00"/>
    <n v="3"/>
    <m/>
    <m/>
    <m/>
    <n v="1"/>
    <m/>
  </r>
  <r>
    <x v="8"/>
    <m/>
    <s v="Nimi hosts [Art Marathon] Somerset House: Assembly 2024 &amp;amp; Print Fair 23/03"/>
    <x v="0"/>
    <x v="0"/>
    <n v="1"/>
    <s v="Print Fair Only"/>
    <n v="25"/>
    <m/>
    <s v="Dan"/>
    <s v="Lugg"/>
    <s v="daniel.lugg@yahoo.com"/>
    <m/>
    <s v="GBP"/>
    <n v="1"/>
    <s v="Nimi hosts [Art Marathon] Somerset House: Assembly 2024 &amp;amp; Print Fair 23/03"/>
    <d v="2024-03-23T00:00:00"/>
    <n v="3"/>
    <m/>
    <m/>
    <m/>
    <n v="1"/>
    <m/>
  </r>
  <r>
    <x v="9"/>
    <m/>
    <s v="Nimi hosts [Art Marathon] Somerset House: Assembly 2024 &amp;amp; Print Fair 23/03"/>
    <x v="0"/>
    <x v="0"/>
    <n v="1"/>
    <s v="Print Fair Only"/>
    <n v="25"/>
    <m/>
    <s v="olawale"/>
    <s v="okunrinboye"/>
    <s v="walokunrin@yahoo.com"/>
    <m/>
    <s v="GBP"/>
    <n v="1"/>
    <s v="Nimi hosts [Art Marathon] Somerset House: Assembly 2024 &amp;amp; Print Fair 23/03"/>
    <d v="2024-03-23T00:00:00"/>
    <n v="3"/>
    <m/>
    <m/>
    <m/>
    <n v="1"/>
    <m/>
  </r>
  <r>
    <x v="10"/>
    <m/>
    <s v="Nimi hosts [Art Marathon] Somerset House: Assembly 2024 &amp;amp; Print Fair 23/03"/>
    <x v="0"/>
    <x v="0"/>
    <n v="1"/>
    <s v="Print Fair Only"/>
    <n v="25"/>
    <m/>
    <s v="Nathanael"/>
    <s v="Geman"/>
    <s v="ngg971@gmail.com"/>
    <m/>
    <s v="GBP"/>
    <n v="1"/>
    <s v="Nimi hosts [Art Marathon] Somerset House: Assembly 2024 &amp;amp; Print Fair 23/03"/>
    <d v="2024-03-23T00:00:00"/>
    <n v="3"/>
    <m/>
    <m/>
    <m/>
    <n v="1"/>
    <m/>
  </r>
  <r>
    <x v="11"/>
    <m/>
    <s v="Nimi hosts [Creative Session] Life Drawing at Estorick Collection"/>
    <x v="1"/>
    <x v="1"/>
    <n v="1"/>
    <s v="Early Bird"/>
    <n v="14"/>
    <m/>
    <s v="Claire"/>
    <s v="Couchman"/>
    <s v="Clairelouisecouchman@hotmail.com"/>
    <m/>
    <s v="GBP"/>
    <n v="2"/>
    <s v="Nimi hosts [Creative Session] Life Drawing at Estorick Collection"/>
    <d v="2024-03-25T00:00:00"/>
    <n v="3"/>
    <m/>
    <m/>
    <m/>
    <n v="1"/>
    <m/>
  </r>
  <r>
    <x v="12"/>
    <m/>
    <s v="Nimi hosts [Creative Session] Life Drawing at Estorick Collection"/>
    <x v="1"/>
    <x v="1"/>
    <n v="1"/>
    <s v="Early Bird"/>
    <n v="14"/>
    <m/>
    <s v="Katherine"/>
    <s v="Kim"/>
    <s v="katherineyr.kim@gmail.com"/>
    <m/>
    <s v="GBP"/>
    <n v="2"/>
    <s v="Nimi hosts [Creative Session] Life Drawing at Estorick Collection"/>
    <d v="2024-03-25T00:00:00"/>
    <n v="3"/>
    <m/>
    <m/>
    <m/>
    <n v="1"/>
    <m/>
  </r>
  <r>
    <x v="13"/>
    <m/>
    <s v="Nimi hosts [Creative Session] Life Drawing at Estorick Collection"/>
    <x v="1"/>
    <x v="1"/>
    <n v="1"/>
    <s v="Early Bird"/>
    <n v="14"/>
    <m/>
    <s v="Anaita"/>
    <s v="Agatic"/>
    <s v="rtranaita@gmail.com"/>
    <m/>
    <s v="GBP"/>
    <n v="2"/>
    <s v="Nimi hosts [Creative Session] Life Drawing at Estorick Collection"/>
    <d v="2024-03-25T00:00:00"/>
    <n v="3"/>
    <m/>
    <m/>
    <m/>
    <n v="1"/>
    <m/>
  </r>
  <r>
    <x v="14"/>
    <m/>
    <s v="Nimi hosts [Hidden Gem] Serpentine Gallery: Refik Anadol"/>
    <x v="2"/>
    <x v="2"/>
    <n v="1"/>
    <s v="Early Bird"/>
    <n v="0"/>
    <m/>
    <s v="Audrey"/>
    <s v="Hutabarat"/>
    <s v="audreyrebeccahutabarat@gmail.com"/>
    <m/>
    <s v="GBP"/>
    <n v="3"/>
    <s v="Nimi hosts [Hidden Gem] Serpentine Gallery: Refik Anadol"/>
    <d v="2024-03-30T00:00:00"/>
    <n v="3"/>
    <m/>
    <m/>
    <m/>
    <n v="4"/>
    <m/>
  </r>
  <r>
    <x v="15"/>
    <m/>
    <s v="Nimi hosts [Hidden Gem] Serpentine Gallery: Refik Anadol"/>
    <x v="2"/>
    <x v="2"/>
    <n v="1"/>
    <s v="General Admission"/>
    <n v="5"/>
    <m/>
    <s v="Rohini"/>
    <s v="Tendulkar"/>
    <s v="tendulkar.rohini@gmail.com"/>
    <m/>
    <s v="GBP"/>
    <n v="3"/>
    <s v="Nimi hosts [Hidden Gem] Serpentine Gallery: Refik Anadol"/>
    <d v="2024-03-30T00:00:00"/>
    <n v="3"/>
    <m/>
    <m/>
    <m/>
    <n v="4"/>
    <m/>
  </r>
  <r>
    <x v="16"/>
    <m/>
    <s v="Nimi hosts [Hidden Gem] Serpentine Gallery: Refik Anadol"/>
    <x v="2"/>
    <x v="2"/>
    <n v="1"/>
    <s v="General Admission"/>
    <n v="5"/>
    <m/>
    <s v="Tanvi"/>
    <s v="Sethi"/>
    <s v="sethi.tanvi@gmail.com"/>
    <m/>
    <s v="GBP"/>
    <n v="3"/>
    <s v="Nimi hosts [Hidden Gem] Serpentine Gallery: Refik Anadol"/>
    <d v="2024-03-30T00:00:00"/>
    <n v="3"/>
    <m/>
    <m/>
    <m/>
    <n v="4"/>
    <m/>
  </r>
  <r>
    <x v="17"/>
    <m/>
    <s v="Nimi hosts [Hidden Gem] Serpentine Gallery: Refik Anadol"/>
    <x v="2"/>
    <x v="2"/>
    <n v="1"/>
    <s v="General Admission"/>
    <n v="5"/>
    <m/>
    <s v="Louise"/>
    <s v="Chow"/>
    <s v="louisechow@alumni.stern.nyu.edu"/>
    <m/>
    <s v="GBP"/>
    <n v="3"/>
    <s v="Nimi hosts [Hidden Gem] Serpentine Gallery: Refik Anadol"/>
    <d v="2024-03-30T00:00:00"/>
    <n v="3"/>
    <m/>
    <m/>
    <m/>
    <n v="4"/>
    <m/>
  </r>
  <r>
    <x v="18"/>
    <m/>
    <s v="Nimi hosts [Hidden Gem] Serpentine Gallery: Refik Anadol"/>
    <x v="2"/>
    <x v="2"/>
    <n v="1"/>
    <s v="General Admission"/>
    <n v="0"/>
    <s v="EARLYBIRD"/>
    <s v="Monique"/>
    <s v="Blemur"/>
    <s v="monique.blemur@gmail.com"/>
    <m/>
    <s v="GBP"/>
    <n v="3"/>
    <s v="Nimi hosts [Hidden Gem] Serpentine Gallery: Refik Anadol"/>
    <d v="2024-03-30T00:00:00"/>
    <n v="3"/>
    <m/>
    <m/>
    <m/>
    <n v="4"/>
    <m/>
  </r>
  <r>
    <x v="11"/>
    <m/>
    <s v="Nimi hosts [Hidden Gem] Serpentine Gallery: Refik Anadol"/>
    <x v="2"/>
    <x v="2"/>
    <n v="1"/>
    <s v="General Admission"/>
    <n v="5"/>
    <m/>
    <s v="Claire"/>
    <s v="Couchman"/>
    <s v="Clairelouisecouchman@hotmail.com"/>
    <m/>
    <s v="GBP"/>
    <n v="3"/>
    <s v="Nimi hosts [Hidden Gem] Serpentine Gallery: Refik Anadol"/>
    <d v="2024-03-30T00:00:00"/>
    <n v="3"/>
    <m/>
    <m/>
    <m/>
    <n v="4"/>
    <m/>
  </r>
  <r>
    <x v="7"/>
    <m/>
    <s v="Nimi hosts [Hidden Gem] Serpentine Gallery: Refik Anadol"/>
    <x v="2"/>
    <x v="2"/>
    <n v="1"/>
    <s v="General Admission"/>
    <n v="5"/>
    <m/>
    <s v="Robert"/>
    <s v="Chapman"/>
    <s v="roberthchapman@hotmail.com"/>
    <m/>
    <s v="GBP"/>
    <n v="3"/>
    <s v="Nimi hosts [Hidden Gem] Serpentine Gallery: Refik Anadol"/>
    <d v="2024-03-30T00:00:00"/>
    <n v="3"/>
    <m/>
    <m/>
    <m/>
    <n v="4"/>
    <m/>
  </r>
  <r>
    <x v="19"/>
    <m/>
    <s v="Nimi hosts [Hidden Gem] Serpentine Gallery: Refik Anadol"/>
    <x v="2"/>
    <x v="2"/>
    <n v="1"/>
    <s v="General Admission"/>
    <n v="5"/>
    <m/>
    <s v="Robert's friend"/>
    <s v="Chapman"/>
    <s v="roberthchapman@hotmail.com-friend"/>
    <m/>
    <s v="GBP"/>
    <n v="3"/>
    <s v="Nimi hosts [Hidden Gem] Serpentine Gallery: Refik Anadol"/>
    <d v="2024-03-30T00:00:00"/>
    <n v="3"/>
    <m/>
    <m/>
    <m/>
    <n v="4"/>
    <m/>
  </r>
  <r>
    <x v="2"/>
    <m/>
    <s v="Nimi hosts [Hidden Gem] Serpentine Gallery: Refik Anadol"/>
    <x v="2"/>
    <x v="2"/>
    <n v="1"/>
    <s v="General Admission"/>
    <n v="5"/>
    <m/>
    <s v="Lucy"/>
    <s v="Zhou"/>
    <s v="lucyzhou2@hotmail.com"/>
    <m/>
    <s v="GBP"/>
    <n v="3"/>
    <s v="Nimi hosts [Hidden Gem] Serpentine Gallery: Refik Anadol"/>
    <d v="2024-03-30T00:00:00"/>
    <n v="3"/>
    <m/>
    <m/>
    <m/>
    <n v="4"/>
    <m/>
  </r>
  <r>
    <x v="20"/>
    <m/>
    <s v="Nimi hosts [Hidden Gem] Serpentine Gallery: Refik Anadol"/>
    <x v="2"/>
    <x v="2"/>
    <n v="1"/>
    <s v="General Admission"/>
    <n v="5"/>
    <m/>
    <s v="Kostas"/>
    <s v="Palierakis"/>
    <s v="hrational@gmail.com"/>
    <m/>
    <s v="GBP"/>
    <n v="3"/>
    <s v="Nimi hosts [Hidden Gem] Serpentine Gallery: Refik Anadol"/>
    <d v="2024-03-30T00:00:00"/>
    <n v="3"/>
    <m/>
    <m/>
    <m/>
    <n v="4"/>
    <m/>
  </r>
  <r>
    <x v="21"/>
    <m/>
    <s v="Nimi hosts [Hidden Gem] Serpentine Gallery: Refik Anadol"/>
    <x v="2"/>
    <x v="2"/>
    <n v="1"/>
    <s v="General Admission"/>
    <n v="5"/>
    <m/>
    <s v="Silviu"/>
    <s v="Burca"/>
    <s v="scribu@gmail.com"/>
    <m/>
    <s v="GBP"/>
    <n v="3"/>
    <s v="Nimi hosts [Hidden Gem] Serpentine Gallery: Refik Anadol"/>
    <d v="2024-03-30T00:00:00"/>
    <n v="3"/>
    <m/>
    <m/>
    <m/>
    <n v="4"/>
    <m/>
  </r>
  <r>
    <x v="22"/>
    <m/>
    <s v="Nimi hosts [Hidden Gem] Serpentine Gallery: Refik Anadol"/>
    <x v="2"/>
    <x v="2"/>
    <n v="1"/>
    <s v="General Admission"/>
    <n v="5"/>
    <m/>
    <s v="ezgi"/>
    <s v="çakmak"/>
    <s v="ezgicaakmak@gmail.com"/>
    <m/>
    <s v="GBP"/>
    <n v="3"/>
    <s v="Nimi hosts [Hidden Gem] Serpentine Gallery: Refik Anadol"/>
    <d v="2024-03-30T00:00:00"/>
    <n v="3"/>
    <m/>
    <m/>
    <m/>
    <n v="4"/>
    <m/>
  </r>
  <r>
    <x v="23"/>
    <m/>
    <s v="Nimi hosts [Hidden Gem] Serpentine Gallery: Refik Anadol"/>
    <x v="2"/>
    <x v="2"/>
    <n v="1"/>
    <s v="General Admission"/>
    <n v="5"/>
    <m/>
    <s v="Robert's friend 2"/>
    <s v="Chapman"/>
    <s v="roberthchapman@hotmail.com-friend2"/>
    <m/>
    <s v="GBP"/>
    <n v="3"/>
    <s v="Nimi hosts [Hidden Gem] Serpentine Gallery: Refik Anadol"/>
    <d v="2024-03-30T00:00:00"/>
    <n v="3"/>
    <m/>
    <m/>
    <m/>
    <n v="4"/>
    <m/>
  </r>
  <r>
    <x v="24"/>
    <m/>
    <s v="Nimi hosts [Hidden Gem] Serpentine Gallery: Refik Anadol"/>
    <x v="2"/>
    <x v="2"/>
    <n v="1"/>
    <s v="General Admission"/>
    <n v="5"/>
    <m/>
    <s v="Simona"/>
    <s v="Vicol"/>
    <s v="simon88e@yahoo.com"/>
    <m/>
    <s v="GBP"/>
    <n v="3"/>
    <s v="Nimi hosts [Hidden Gem] Serpentine Gallery: Refik Anadol"/>
    <d v="2024-03-30T00:00:00"/>
    <n v="3"/>
    <m/>
    <m/>
    <m/>
    <n v="4"/>
    <m/>
  </r>
  <r>
    <x v="25"/>
    <m/>
    <s v="Nimi hosts [Hidden Gem] Serpentine Gallery: Refik Anadol"/>
    <x v="2"/>
    <x v="2"/>
    <n v="1"/>
    <s v="General Admission"/>
    <n v="5"/>
    <m/>
    <s v="David"/>
    <s v="Barden"/>
    <s v="dmbarden@hotmail.co.uk"/>
    <m/>
    <s v="GBP"/>
    <n v="3"/>
    <s v="Nimi hosts [Hidden Gem] Serpentine Gallery: Refik Anadol"/>
    <d v="2024-03-30T00:00:00"/>
    <n v="3"/>
    <m/>
    <m/>
    <m/>
    <n v="4"/>
    <m/>
  </r>
  <r>
    <x v="11"/>
    <s v="07739139930"/>
    <s v="Nimi hosts [Hidden Gem] First Thursdays Gallery Stroll in East London"/>
    <x v="3"/>
    <x v="3"/>
    <n v="1"/>
    <s v="General Admission"/>
    <n v="7.5"/>
    <s v="OGFTW"/>
    <s v="Claire"/>
    <s v="Couchman"/>
    <s v="Clairelouisecouchman@hotmail.com"/>
    <m/>
    <s v="GBP"/>
    <n v="4"/>
    <s v="Nimi hosts [Hidden Gem] First Thursdays Gallery Stroll in East London"/>
    <d v="2024-04-04T00:00:00"/>
    <n v="4"/>
    <m/>
    <m/>
    <m/>
    <n v="4"/>
    <m/>
  </r>
  <r>
    <x v="26"/>
    <s v="07979647510"/>
    <s v="Nimi hosts [Hidden Gem] First Thursdays Gallery Stroll in East London"/>
    <x v="3"/>
    <x v="3"/>
    <n v="1"/>
    <s v="General Admission"/>
    <n v="15"/>
    <m/>
    <s v="Daniela"/>
    <s v="Jone"/>
    <s v="jones_daniela@yahoo.co.uk"/>
    <m/>
    <s v="GBP"/>
    <n v="4"/>
    <s v="Nimi hosts [Hidden Gem] First Thursdays Gallery Stroll in East London"/>
    <d v="2024-04-04T00:00:00"/>
    <n v="4"/>
    <m/>
    <m/>
    <m/>
    <n v="4"/>
    <m/>
  </r>
  <r>
    <x v="27"/>
    <s v="07931561897"/>
    <s v="Nimi hosts [Hidden Gem] First Thursdays Gallery Stroll in East London"/>
    <x v="3"/>
    <x v="3"/>
    <n v="1"/>
    <s v="General Admission"/>
    <n v="15"/>
    <m/>
    <s v="Natasha"/>
    <s v="P"/>
    <s v="natashapavlovskaya23@gmail.com"/>
    <m/>
    <s v="GBP"/>
    <n v="4"/>
    <s v="Nimi hosts [Hidden Gem] First Thursdays Gallery Stroll in East London"/>
    <d v="2024-04-04T00:00:00"/>
    <n v="4"/>
    <m/>
    <m/>
    <m/>
    <n v="4"/>
    <m/>
  </r>
  <r>
    <x v="28"/>
    <s v="07871606482"/>
    <s v="Nimi hosts [Hidden Gem] First Thursdays Gallery Stroll in East London"/>
    <x v="3"/>
    <x v="3"/>
    <n v="1"/>
    <s v="General Admission"/>
    <n v="10"/>
    <s v="NIMIFRIENDS"/>
    <s v="Sara"/>
    <s v="Khan"/>
    <s v="khan.saretta@gmail.com"/>
    <m/>
    <s v="GBP"/>
    <n v="4"/>
    <s v="Nimi hosts [Hidden Gem] First Thursdays Gallery Stroll in East London"/>
    <d v="2024-04-04T00:00:00"/>
    <n v="4"/>
    <m/>
    <m/>
    <m/>
    <n v="4"/>
    <m/>
  </r>
  <r>
    <x v="29"/>
    <s v="07525006790"/>
    <s v="Nimi hosts [Hidden Gem] First Thursdays Gallery Stroll in East London"/>
    <x v="3"/>
    <x v="3"/>
    <n v="1"/>
    <s v="General Admission"/>
    <n v="15"/>
    <m/>
    <s v="eoghan"/>
    <s v="naughton"/>
    <s v="eoghannaughton@hotmail.com"/>
    <m/>
    <s v="GBP"/>
    <n v="4"/>
    <s v="Nimi hosts [Hidden Gem] First Thursdays Gallery Stroll in East London"/>
    <d v="2024-04-04T00:00:00"/>
    <n v="4"/>
    <m/>
    <m/>
    <m/>
    <n v="4"/>
    <m/>
  </r>
  <r>
    <x v="30"/>
    <s v="07947714775"/>
    <s v="Nimi hosts [Hidden Gem] First Thursdays Gallery Stroll in East London"/>
    <x v="3"/>
    <x v="3"/>
    <n v="1"/>
    <s v="General Admission"/>
    <n v="15"/>
    <m/>
    <s v="Sophia"/>
    <s v="S"/>
    <s v="sophia.shemlugu@gmail.com"/>
    <m/>
    <s v="GBP"/>
    <n v="4"/>
    <s v="Nimi hosts [Hidden Gem] First Thursdays Gallery Stroll in East London"/>
    <d v="2024-04-04T00:00:00"/>
    <n v="4"/>
    <m/>
    <m/>
    <m/>
    <n v="4"/>
    <m/>
  </r>
  <r>
    <x v="8"/>
    <s v="07476276978"/>
    <s v="Nimi hosts [Hidden Gem] First Thursdays Gallery Stroll in East London"/>
    <x v="3"/>
    <x v="3"/>
    <n v="1"/>
    <s v="General Admission"/>
    <n v="10"/>
    <s v="NIMIFRIENDS"/>
    <s v="Daniel"/>
    <s v="Lugg"/>
    <s v="daniel.lugg@yahoo.com"/>
    <m/>
    <s v="GBP"/>
    <n v="4"/>
    <s v="Nimi hosts [Hidden Gem] First Thursdays Gallery Stroll in East London"/>
    <d v="2024-04-04T00:00:00"/>
    <n v="4"/>
    <m/>
    <m/>
    <m/>
    <n v="4"/>
    <m/>
  </r>
  <r>
    <x v="7"/>
    <s v="07717205862"/>
    <s v="Nimi hosts [Hidden Gem] First Thursdays Gallery Stroll in East London"/>
    <x v="3"/>
    <x v="3"/>
    <n v="1"/>
    <s v="General Admission"/>
    <n v="7.5"/>
    <s v="OGFTW"/>
    <s v="Robert"/>
    <s v="Chapman"/>
    <s v="roberthchapman@gmail.com"/>
    <m/>
    <s v="GBP"/>
    <n v="4"/>
    <s v="Nimi hosts [Hidden Gem] First Thursdays Gallery Stroll in East London"/>
    <d v="2024-04-04T00:00:00"/>
    <n v="4"/>
    <m/>
    <m/>
    <m/>
    <n v="4"/>
    <m/>
  </r>
  <r>
    <x v="8"/>
    <s v="07476276978"/>
    <s v="Nimi hosts [Hidden Gem] Galleries Stroll in Mayfair"/>
    <x v="4"/>
    <x v="4"/>
    <n v="1"/>
    <s v="General Admission"/>
    <n v="10"/>
    <s v="NIMIFRIENDS"/>
    <s v="Daniel"/>
    <s v="Lugg"/>
    <s v="daniel.lugg@yahoo.com"/>
    <s v="oddtdtdirect"/>
    <s v="GBP"/>
    <n v="5"/>
    <s v="Nimi hosts [Hidden Gem] Galleries Stroll in Mayfair"/>
    <d v="2024-04-06T00:00:00"/>
    <n v="4"/>
    <s v="oddtdtdirect"/>
    <m/>
    <m/>
    <n v="4"/>
    <m/>
  </r>
  <r>
    <x v="31"/>
    <s v="07380407565"/>
    <s v="Nimi hosts [Hidden Gem] Galleries Stroll in Mayfair"/>
    <x v="4"/>
    <x v="4"/>
    <n v="1"/>
    <s v="General Admission"/>
    <n v="10"/>
    <s v="NIMIFRIENDS"/>
    <s v="Cecilia"/>
    <s v="Lee"/>
    <s v="sweetkowi@gmail.com"/>
    <s v="oddtdtdirect"/>
    <s v="GBP"/>
    <n v="5"/>
    <s v="Nimi hosts [Hidden Gem] Galleries Stroll in Mayfair"/>
    <d v="2024-04-06T00:00:00"/>
    <n v="4"/>
    <s v="oddtdtdirect"/>
    <m/>
    <m/>
    <n v="4"/>
    <m/>
  </r>
  <r>
    <x v="15"/>
    <s v="07752083835"/>
    <s v="Nimi hosts [Hidden Gem] Galleries Stroll in Mayfair"/>
    <x v="4"/>
    <x v="4"/>
    <n v="1"/>
    <s v="General Admission"/>
    <n v="15"/>
    <m/>
    <s v="Rohini"/>
    <s v="Tendulkar"/>
    <s v="tendulkar.rohini@gmail.com"/>
    <s v="ebesesdeeplink"/>
    <s v="GBP"/>
    <n v="5"/>
    <s v="Nimi hosts [Hidden Gem] Galleries Stroll in Mayfair"/>
    <d v="2024-04-06T00:00:00"/>
    <n v="4"/>
    <s v="ebesesdeeplink"/>
    <m/>
    <m/>
    <n v="4"/>
    <m/>
  </r>
  <r>
    <x v="32"/>
    <s v="07980320717"/>
    <s v="Nimi hosts [Hidden Gem] Galleries Stroll in Mayfair"/>
    <x v="4"/>
    <x v="4"/>
    <n v="1"/>
    <s v="General Admission"/>
    <n v="15"/>
    <m/>
    <s v="Anamaria"/>
    <s v="Parsons"/>
    <s v="anamariaperu@hotmail.co.uk"/>
    <s v="oddtdtdirect"/>
    <s v="GBP"/>
    <n v="5"/>
    <s v="Nimi hosts [Hidden Gem] Galleries Stroll in Mayfair"/>
    <d v="2024-04-06T00:00:00"/>
    <n v="4"/>
    <s v="oddtdtdirect"/>
    <m/>
    <m/>
    <n v="4"/>
    <m/>
  </r>
  <r>
    <x v="33"/>
    <s v="07877845663"/>
    <s v="Nimi hosts [Hidden Gem] Galleries Stroll in Mayfair"/>
    <x v="4"/>
    <x v="4"/>
    <n v="1"/>
    <s v="General Admission"/>
    <n v="15"/>
    <m/>
    <s v="Claudia"/>
    <s v="Claudia"/>
    <s v="claudiapaicu@yahoo.com"/>
    <s v="ebdsshios"/>
    <s v="GBP"/>
    <n v="5"/>
    <s v="Nimi hosts [Hidden Gem] Galleries Stroll in Mayfair"/>
    <d v="2024-04-06T00:00:00"/>
    <n v="4"/>
    <s v="ebdsshios"/>
    <m/>
    <m/>
    <n v="4"/>
    <m/>
  </r>
  <r>
    <x v="34"/>
    <s v="07803757887"/>
    <s v="Nimi hosts [Hidden Gem] Galleries Stroll in Mayfair"/>
    <x v="4"/>
    <x v="4"/>
    <n v="1"/>
    <s v="General Admission"/>
    <n v="7.5"/>
    <s v="OGFTW"/>
    <s v="Samedzade"/>
    <s v="Samed"/>
    <s v="sam.samedzade@gmail.com"/>
    <s v="WhatsApp"/>
    <s v="GBP"/>
    <n v="5"/>
    <s v="Nimi hosts [Hidden Gem] Galleries Stroll in Mayfair"/>
    <d v="2024-04-06T00:00:00"/>
    <n v="4"/>
    <s v="WhatsApp"/>
    <m/>
    <m/>
    <n v="4"/>
    <m/>
  </r>
  <r>
    <x v="17"/>
    <s v="07775438868"/>
    <s v="Nimi hosts [Hidden Gem] Galleries Stroll in Mayfair"/>
    <x v="4"/>
    <x v="4"/>
    <n v="1"/>
    <s v="General Admission"/>
    <n v="10"/>
    <s v="NIMIFRIENDS"/>
    <s v="Louise"/>
    <s v="Chow"/>
    <s v="louise.ly.chow@gmail.com"/>
    <s v="odcleoeventsincollection"/>
    <s v="GBP"/>
    <n v="5"/>
    <s v="Nimi hosts [Hidden Gem] Galleries Stroll in Mayfair"/>
    <d v="2024-04-06T00:00:00"/>
    <n v="4"/>
    <s v="odcleoeventsincollection"/>
    <m/>
    <m/>
    <n v="4"/>
    <m/>
  </r>
  <r>
    <x v="35"/>
    <s v="+17183086607"/>
    <s v="Nimi hosts [Hidden Gem] Galleries Stroll in Mayfair"/>
    <x v="4"/>
    <x v="4"/>
    <n v="1"/>
    <s v="General Admission"/>
    <n v="15"/>
    <m/>
    <s v="Hanna"/>
    <s v="N"/>
    <s v="hanna.niczyporuk@gmail.com"/>
    <s v="Locals"/>
    <s v="GBP"/>
    <n v="5"/>
    <s v="Nimi hosts [Hidden Gem] Galleries Stroll in Mayfair"/>
    <d v="2024-04-06T00:00:00"/>
    <n v="4"/>
    <s v="Locals"/>
    <m/>
    <m/>
    <n v="4"/>
    <m/>
  </r>
  <r>
    <x v="36"/>
    <s v="07557017341"/>
    <s v="Nimi hosts [Hidden Gem] Galleries Stroll in Mayfair"/>
    <x v="4"/>
    <x v="4"/>
    <n v="1"/>
    <s v="General Admission"/>
    <n v="15"/>
    <m/>
    <s v="Jonathan"/>
    <s v="Chikly"/>
    <s v="jon.chikly@gmail.com"/>
    <s v="Locals"/>
    <s v="GBP"/>
    <n v="5"/>
    <s v="Nimi hosts [Hidden Gem] Galleries Stroll in Mayfair"/>
    <d v="2024-04-06T00:00:00"/>
    <n v="4"/>
    <s v="Locals"/>
    <m/>
    <m/>
    <n v="4"/>
    <m/>
  </r>
  <r>
    <x v="26"/>
    <s v="07979647510"/>
    <s v="Nimi hosts [Hidden Gem] Galleries Stroll in Mayfair"/>
    <x v="4"/>
    <x v="4"/>
    <n v="1"/>
    <s v="General Admission"/>
    <n v="15"/>
    <m/>
    <s v="Daniela"/>
    <s v="Joned"/>
    <s v="jones_daniela@yahoo.co.uk"/>
    <s v="eand"/>
    <s v="GBP"/>
    <n v="5"/>
    <s v="Nimi hosts [Hidden Gem] Galleries Stroll in Mayfair"/>
    <d v="2024-04-06T00:00:00"/>
    <n v="4"/>
    <s v="eand"/>
    <m/>
    <m/>
    <n v="4"/>
    <m/>
  </r>
  <r>
    <x v="14"/>
    <s v="07714021821"/>
    <s v="Nimi hosts [Hidden Gem] Galleries Stroll in Mayfair"/>
    <x v="4"/>
    <x v="4"/>
    <n v="1"/>
    <s v="General Admission"/>
    <n v="15"/>
    <m/>
    <s v="Audrey"/>
    <s v="Hutabarat"/>
    <s v="audreyrh123@gmail.com"/>
    <s v="oddtdtdirect"/>
    <s v="GBP"/>
    <n v="5"/>
    <s v="Nimi hosts [Hidden Gem] Galleries Stroll in Mayfair"/>
    <d v="2024-04-06T00:00:00"/>
    <n v="4"/>
    <s v="oddtdtdirect"/>
    <m/>
    <m/>
    <n v="4"/>
    <m/>
  </r>
  <r>
    <x v="37"/>
    <s v="07436593641"/>
    <s v="Nimi hosts [Hidden Gem] Galleries Stroll in Mayfair"/>
    <x v="4"/>
    <x v="4"/>
    <n v="1"/>
    <s v="General Admission"/>
    <n v="15"/>
    <m/>
    <s v="Rowan"/>
    <s v="El Atrache"/>
    <s v="rowan.bashar@gmail.com"/>
    <s v="Locals"/>
    <s v="GBP"/>
    <n v="5"/>
    <s v="Nimi hosts [Hidden Gem] Galleries Stroll in Mayfair"/>
    <d v="2024-04-06T00:00:00"/>
    <n v="4"/>
    <s v="Locals"/>
    <m/>
    <m/>
    <n v="4"/>
    <m/>
  </r>
  <r>
    <x v="27"/>
    <s v="07803757887"/>
    <s v="Nimi hosts [Hidden Gem] Galleries Stroll in Mayfair"/>
    <x v="4"/>
    <x v="4"/>
    <n v="1"/>
    <s v="General Admission"/>
    <n v="7.5"/>
    <s v="OGFTW"/>
    <s v="Natasha"/>
    <s v="Pavlovskaya"/>
    <s v="natashapavlovskaya23@gmail.com"/>
    <s v="WhatsApp"/>
    <s v="GBP"/>
    <n v="5"/>
    <s v="Nimi hosts [Hidden Gem] Galleries Stroll in Mayfair"/>
    <d v="2024-04-06T00:00:00"/>
    <n v="4"/>
    <s v="WhatsApp"/>
    <m/>
    <m/>
    <n v="4"/>
    <m/>
  </r>
  <r>
    <x v="3"/>
    <s v="07946225673"/>
    <s v="Nimi hosts [Hidden Gem] Galleries Stroll in Mayfair"/>
    <x v="4"/>
    <x v="4"/>
    <n v="1"/>
    <s v="General Admission"/>
    <n v="10"/>
    <s v="NIMIFRIENDS"/>
    <s v="Srivaths"/>
    <s v="Swaminathan"/>
    <s v="srivaths.s@gmail.com"/>
    <s v="WhatsApp"/>
    <s v="GBP"/>
    <n v="5"/>
    <s v="Nimi hosts [Hidden Gem] Galleries Stroll in Mayfair"/>
    <d v="2024-04-06T00:00:00"/>
    <n v="4"/>
    <s v="WhatsApp"/>
    <m/>
    <m/>
    <n v="4"/>
    <m/>
  </r>
  <r>
    <x v="7"/>
    <s v="07717205862"/>
    <s v="Nimi hosts [Hidden Gem] Galleries Stroll in Mayfair"/>
    <x v="4"/>
    <x v="4"/>
    <n v="1"/>
    <s v="General Admission"/>
    <n v="7.5"/>
    <s v="OGFTW"/>
    <s v="Robert"/>
    <s v="Chapman"/>
    <s v="roberthchapman@hotmail.com"/>
    <s v="WhatsApp"/>
    <s v="GBP"/>
    <n v="5"/>
    <s v="Nimi hosts [Hidden Gem] Galleries Stroll in Mayfair"/>
    <d v="2024-04-06T00:00:00"/>
    <n v="4"/>
    <s v="WhatsApp"/>
    <m/>
    <m/>
    <n v="4"/>
    <m/>
  </r>
  <r>
    <x v="38"/>
    <s v="+4799386437"/>
    <s v="Nimi hosts [Hidden Gem] Galleries Stroll in Mayfair"/>
    <x v="4"/>
    <x v="4"/>
    <n v="1"/>
    <s v="General Admission"/>
    <n v="15"/>
    <m/>
    <s v="Anahita"/>
    <s v="Yousefi"/>
    <s v="anayosefi@gmail.com"/>
    <s v="ebdsshios"/>
    <s v="GBP"/>
    <n v="5"/>
    <s v="Nimi hosts [Hidden Gem] Galleries Stroll in Mayfair"/>
    <d v="2024-04-06T00:00:00"/>
    <n v="4"/>
    <s v="ebdsshios"/>
    <m/>
    <m/>
    <n v="4"/>
    <m/>
  </r>
  <r>
    <x v="28"/>
    <s v="07871606482"/>
    <s v="Nimi hosts [Hidden Gem] Galleries Stroll in Mayfair"/>
    <x v="4"/>
    <x v="4"/>
    <n v="1"/>
    <s v="General Admission"/>
    <n v="15"/>
    <m/>
    <s v="Sara"/>
    <s v="Khan"/>
    <s v="khan.saretta@gmail.com"/>
    <s v="WhatsApp"/>
    <s v="GBP"/>
    <n v="5"/>
    <s v="Nimi hosts [Hidden Gem] Galleries Stroll in Mayfair"/>
    <d v="2024-04-06T00:00:00"/>
    <n v="4"/>
    <s v="WhatsApp"/>
    <m/>
    <m/>
    <n v="4"/>
    <m/>
  </r>
  <r>
    <x v="39"/>
    <s v="07342248068"/>
    <s v="Nimi hosts [Hidden Gem] Galleries Stroll in Mayfair"/>
    <x v="4"/>
    <x v="4"/>
    <n v="1"/>
    <s v="General Admission"/>
    <n v="15"/>
    <m/>
    <s v="Davide"/>
    <s v="Veronese"/>
    <s v="d.v.davideveronese@gmail.com"/>
    <s v="Locals"/>
    <s v="GBP"/>
    <n v="5"/>
    <s v="Nimi hosts [Hidden Gem] Galleries Stroll in Mayfair"/>
    <d v="2024-04-06T00:00:00"/>
    <n v="4"/>
    <s v="Locals"/>
    <m/>
    <m/>
    <n v="4"/>
    <m/>
  </r>
  <r>
    <x v="40"/>
    <s v="4407923190379"/>
    <s v="Nimi hosts [Hidden Gem] Galleries Stroll in Mayfair"/>
    <x v="4"/>
    <x v="4"/>
    <n v="1"/>
    <s v="General Admission"/>
    <n v="15"/>
    <m/>
    <s v="Isadora"/>
    <s v="de Miranda Mello Taam"/>
    <s v="taam.isadora@gmail.com"/>
    <s v="Locals"/>
    <s v="GBP"/>
    <n v="5"/>
    <s v="Nimi hosts [Hidden Gem] Galleries Stroll in Mayfair"/>
    <d v="2024-04-06T00:00:00"/>
    <n v="4"/>
    <s v="Locals"/>
    <m/>
    <m/>
    <n v="4"/>
    <m/>
  </r>
  <r>
    <x v="16"/>
    <s v="07846232630"/>
    <s v="Nimi hosts [Hidden Gem] Galleries Stroll in Mayfair"/>
    <x v="4"/>
    <x v="4"/>
    <n v="1"/>
    <s v="General Admission"/>
    <n v="15"/>
    <m/>
    <s v="Tanvi"/>
    <s v="Sethi"/>
    <s v="sethi.tanvi@gmail.com"/>
    <s v="WhatsApp"/>
    <s v="GBP"/>
    <n v="5"/>
    <s v="Nimi hosts [Hidden Gem] Galleries Stroll in Mayfair"/>
    <d v="2024-04-06T00:00:00"/>
    <n v="4"/>
    <s v="WhatsApp"/>
    <m/>
    <m/>
    <n v="4"/>
    <m/>
  </r>
  <r>
    <x v="11"/>
    <s v="07739139930"/>
    <s v="Nimi hosts [Hidden Gem] Private View at Art Galleries in Central London"/>
    <x v="5"/>
    <x v="5"/>
    <n v="1"/>
    <s v="General Admission"/>
    <n v="7.5"/>
    <s v="OGFTW"/>
    <s v="Claire"/>
    <s v="Couchman"/>
    <s v="Clairelouisecouchman@hotmail.com"/>
    <s v="oddtdtdirect"/>
    <s v="GBP"/>
    <n v="6"/>
    <s v="Nimi hosts [Hidden Gem] Private View at Art Galleries in Central London"/>
    <d v="2024-04-07T00:00:00"/>
    <n v="4"/>
    <s v="oddtdtdirect"/>
    <m/>
    <m/>
    <n v="4"/>
    <m/>
  </r>
  <r>
    <x v="15"/>
    <s v="07752083835"/>
    <s v="Nimi hosts [Hidden Gem] Private View at Art Galleries in Central London"/>
    <x v="5"/>
    <x v="5"/>
    <n v="1"/>
    <s v="General Admission"/>
    <n v="15"/>
    <m/>
    <s v="Rohini"/>
    <s v="Tendulkar"/>
    <s v="tendulkar.rohini@gmail.com"/>
    <s v="ebesesdeeplink"/>
    <s v="GBP"/>
    <n v="6"/>
    <s v="Nimi hosts [Hidden Gem] Private View at Art Galleries in Central London"/>
    <d v="2024-04-08T00:00:00"/>
    <n v="4"/>
    <s v="ebesesdeeplink"/>
    <m/>
    <m/>
    <n v="4"/>
    <m/>
  </r>
  <r>
    <x v="41"/>
    <s v="07398634749"/>
    <s v="Nimi hosts [Hidden Gem] Private View at Art Galleries in Central London"/>
    <x v="5"/>
    <x v="5"/>
    <n v="1"/>
    <s v="General Admission"/>
    <n v="15"/>
    <m/>
    <s v="zinab"/>
    <s v="al ramathany"/>
    <s v="zinab.rama@gmail.com"/>
    <s v="odcleoeventsincollection"/>
    <s v="GBP"/>
    <n v="6"/>
    <s v="Nimi hosts [Hidden Gem] Private View at Art Galleries in Central London"/>
    <e v="#N/A"/>
    <e v="#N/A"/>
    <s v="odcleoeventsincollection"/>
    <m/>
    <m/>
    <n v="4"/>
    <m/>
  </r>
  <r>
    <x v="42"/>
    <s v="07896634620"/>
    <s v="Nimi hosts [Hidden Gem] Private View at Art Galleries in Central London"/>
    <x v="5"/>
    <x v="5"/>
    <n v="1"/>
    <s v="General Admission"/>
    <n v="15"/>
    <m/>
    <s v="Win"/>
    <s v="Man"/>
    <s v="win.man@icloud.com"/>
    <s v="oddtdtcreator"/>
    <s v="GBP"/>
    <n v="6"/>
    <s v="Nimi hosts [Hidden Gem] Private View at Art Galleries in Central London"/>
    <e v="#N/A"/>
    <e v="#N/A"/>
    <s v="oddtdtcreator"/>
    <m/>
    <m/>
    <n v="4"/>
    <m/>
  </r>
  <r>
    <x v="43"/>
    <s v="07548016207"/>
    <s v="Nimi hosts [Hidden Gem] Private View at Art Galleries in Central London"/>
    <x v="5"/>
    <x v="5"/>
    <n v="1"/>
    <s v="General Admission"/>
    <n v="10"/>
    <s v="NIMIFRIENDS"/>
    <s v="Alina"/>
    <s v="Galimova"/>
    <s v="galimova.al.al@gmail.com"/>
    <s v="WhatsApp"/>
    <s v="GBP"/>
    <n v="6"/>
    <s v="Nimi hosts [Hidden Gem] Private View at Art Galleries in Central London"/>
    <e v="#N/A"/>
    <e v="#N/A"/>
    <s v="WhatsApp"/>
    <m/>
    <m/>
    <n v="4"/>
    <m/>
  </r>
  <r>
    <x v="28"/>
    <s v="07871606482"/>
    <s v="Nimi hosts [Hidden Gem] Private View at Art Galleries in Central London"/>
    <x v="5"/>
    <x v="5"/>
    <n v="1"/>
    <s v="General Admission"/>
    <n v="10"/>
    <s v="NIMIFRIENDS"/>
    <s v="Sara"/>
    <s v="Khan"/>
    <s v="khan.saretta@gmail.com"/>
    <s v="WhatsApp"/>
    <s v="GBP"/>
    <n v="6"/>
    <s v="Nimi hosts [Hidden Gem] Private View at Art Galleries in Central London"/>
    <e v="#N/A"/>
    <e v="#N/A"/>
    <s v="WhatsApp"/>
    <m/>
    <m/>
    <n v="4"/>
    <m/>
  </r>
  <r>
    <x v="1"/>
    <s v="+447557571864"/>
    <s v="Nimi hosts [Hidden Gem] Gallery Stroll in South Kensington"/>
    <x v="6"/>
    <x v="6"/>
    <n v="1"/>
    <s v="General Admission"/>
    <n v="7.5"/>
    <s v="OGFTW"/>
    <s v="Aidana"/>
    <s v="Kassymova"/>
    <s v="aidanakassymova@gmail.com"/>
    <s v="ebesesdeeplink"/>
    <s v="GBP"/>
    <n v="7"/>
    <s v="Nimi hosts [Hidden Gem] Gallery Stroll in South Kensington"/>
    <e v="#N/A"/>
    <e v="#N/A"/>
    <s v="ebesesdeeplink"/>
    <m/>
    <m/>
    <n v="4"/>
    <m/>
  </r>
  <r>
    <x v="44"/>
    <s v="7925774705"/>
    <s v="Nimi hosts [Hidden Gem] Gallery Stroll in South Kensington"/>
    <x v="6"/>
    <x v="6"/>
    <n v="1"/>
    <s v="General Admission"/>
    <n v="7.5"/>
    <s v="OGFTW"/>
    <s v="Shay"/>
    <s v="Steele"/>
    <s v="shaysteele2017@gmail.com"/>
    <s v="oddtdtdirect"/>
    <s v="GBP"/>
    <n v="7"/>
    <s v="Nimi hosts [Hidden Gem] Gallery Stroll in South Kensington"/>
    <e v="#N/A"/>
    <e v="#N/A"/>
    <s v="oddtdtdirect"/>
    <m/>
    <m/>
    <n v="4"/>
    <m/>
  </r>
  <r>
    <x v="8"/>
    <s v="07476276978"/>
    <s v="Nimi hosts [Hidden Gem] Gallery Stroll in South Kensington"/>
    <x v="6"/>
    <x v="6"/>
    <n v="1"/>
    <s v="General Admission"/>
    <n v="10"/>
    <s v="NIMIFRIENDS"/>
    <s v="Daniel"/>
    <s v="Lugg"/>
    <s v="daniel.lugg@yahoo.com"/>
    <s v="oddtdtdirect"/>
    <s v="GBP"/>
    <n v="7"/>
    <s v="Nimi hosts [Hidden Gem] Gallery Stroll in South Kensington"/>
    <e v="#N/A"/>
    <e v="#N/A"/>
    <s v="oddtdtdirect"/>
    <m/>
    <m/>
    <n v="4"/>
    <m/>
  </r>
  <r>
    <x v="45"/>
    <s v="7890306975"/>
    <s v="Nimi hosts [Hidden Gem] Gallery Stroll in South Kensington"/>
    <x v="6"/>
    <x v="6"/>
    <n v="1"/>
    <s v="General Admission"/>
    <n v="15"/>
    <m/>
    <s v="Elena"/>
    <s v="Kuvshinnikova"/>
    <s v="elena27kuv@gmail.com"/>
    <s v="Locals"/>
    <s v="GBP"/>
    <n v="7"/>
    <s v="Nimi hosts [Hidden Gem] Gallery Stroll in South Kensington"/>
    <e v="#N/A"/>
    <e v="#N/A"/>
    <s v="Locals"/>
    <m/>
    <m/>
    <n v="4"/>
    <m/>
  </r>
  <r>
    <x v="9"/>
    <s v="07599668191"/>
    <s v="Nimi hosts [Hidden Gem] Gallery Stroll in South Kensington"/>
    <x v="6"/>
    <x v="6"/>
    <n v="1"/>
    <s v="General Admission"/>
    <n v="10"/>
    <s v="NIMIFRIENDS"/>
    <s v="olawale"/>
    <s v="okunrinboye"/>
    <s v="walokunrin@yahoo.com"/>
    <s v="WhatsApp"/>
    <s v="GBP"/>
    <n v="7"/>
    <s v="Nimi hosts [Hidden Gem] Gallery Stroll in South Kensington"/>
    <e v="#N/A"/>
    <e v="#N/A"/>
    <s v="WhatsApp"/>
    <m/>
    <m/>
    <n v="4"/>
    <m/>
  </r>
  <r>
    <x v="7"/>
    <s v="07717205862"/>
    <s v="Nimi hosts [Hidden Gem] Gallery Stroll in South Kensington"/>
    <x v="6"/>
    <x v="6"/>
    <n v="1"/>
    <s v="General Admission"/>
    <n v="7.5"/>
    <s v="OGFTW"/>
    <s v="Robert"/>
    <s v="Chapman"/>
    <s v="roberthchapman@hotmail.com"/>
    <s v="WhatsApp"/>
    <s v="GBP"/>
    <n v="7"/>
    <s v="Nimi hosts [Hidden Gem] Gallery Stroll in South Kensington"/>
    <e v="#N/A"/>
    <e v="#N/A"/>
    <s v="WhatsApp"/>
    <m/>
    <m/>
    <n v="4"/>
    <m/>
  </r>
  <r>
    <x v="2"/>
    <s v="07999724306"/>
    <s v="Nimi hosts [Hidden Gem] Gallery Stroll in South Kensington"/>
    <x v="6"/>
    <x v="6"/>
    <n v="1"/>
    <s v="General Admission"/>
    <n v="10"/>
    <s v="NIMIFRIENDS"/>
    <s v="Lucy"/>
    <s v="Zhou"/>
    <s v="64ktytw4v7@privaterelay.appleid.com"/>
    <s v="ebesesorganizerprofile"/>
    <s v="GBP"/>
    <n v="7"/>
    <s v="Nimi hosts [Hidden Gem] Gallery Stroll in South Kensington"/>
    <e v="#N/A"/>
    <e v="#N/A"/>
    <s v="ebesesorganizerprofile"/>
    <m/>
    <m/>
    <n v="4"/>
    <m/>
  </r>
  <r>
    <x v="46"/>
    <s v="07789350831"/>
    <s v="Nimi hosts [Hidden Gem] Gallery Stroll in South Kensington"/>
    <x v="6"/>
    <x v="6"/>
    <n v="1"/>
    <s v="General Admission"/>
    <n v="10"/>
    <s v="NIMIFRIENDS"/>
    <s v="Egemen"/>
    <s v="U"/>
    <s v="egemensiphone@gmail.com"/>
    <s v="WhatsApp"/>
    <s v="GBP"/>
    <n v="7"/>
    <s v="Nimi hosts [Hidden Gem] Gallery Stroll in South Kensington"/>
    <e v="#N/A"/>
    <e v="#N/A"/>
    <s v="WhatsApp"/>
    <m/>
    <m/>
    <n v="4"/>
    <m/>
  </r>
  <r>
    <x v="47"/>
    <s v="+447824492343"/>
    <s v="Nimi hosts [Hidden Gem] Gallery Stroll in South Kensington"/>
    <x v="6"/>
    <x v="6"/>
    <n v="1"/>
    <s v="General Admission"/>
    <n v="15"/>
    <m/>
    <s v="Yasemin"/>
    <s v="Mermer"/>
    <s v="yyasemin.mermer@gmail.com"/>
    <s v="WhatsApp"/>
    <s v="GBP"/>
    <n v="7"/>
    <s v="Nimi hosts [Hidden Gem] Gallery Stroll in South Kensington"/>
    <e v="#N/A"/>
    <e v="#N/A"/>
    <s v="WhatsApp"/>
    <m/>
    <m/>
    <n v="4"/>
    <m/>
  </r>
  <r>
    <x v="48"/>
    <s v="07540949525"/>
    <s v="Nimi hosts [Blockbuster] Visit Yoko Ono at Tate Modern"/>
    <x v="7"/>
    <x v="7"/>
    <n v="1"/>
    <s v="Nimi Fee + Exhibition Ticket"/>
    <n v="27"/>
    <m/>
    <s v="Andrew"/>
    <s v="Hetherington"/>
    <s v="apbhetherington@gmail.com"/>
    <s v="oddtdtdirect"/>
    <s v="GBP"/>
    <n v="8"/>
    <s v="Nimi hosts [Blockbuster] Visit Yoko Ono at Tate Modern"/>
    <e v="#N/A"/>
    <e v="#N/A"/>
    <s v="oddtdtdirect"/>
    <m/>
    <m/>
    <n v="1"/>
    <m/>
  </r>
  <r>
    <x v="15"/>
    <s v="07752083835"/>
    <s v="Nimi hosts [Blockbuster] Visit Yoko Ono at Tate Modern"/>
    <x v="7"/>
    <x v="7"/>
    <n v="1"/>
    <s v="Nimi Fee + Exhibition Ticket"/>
    <n v="0"/>
    <s v="THANKYOU"/>
    <s v="Rohini"/>
    <s v="Tendulkar"/>
    <s v="tendulkar.rohini@gmail.com"/>
    <s v="ebesessearch"/>
    <s v="GBP"/>
    <n v="8"/>
    <s v="Nimi hosts [Blockbuster] Visit Yoko Ono at Tate Modern"/>
    <e v="#N/A"/>
    <e v="#N/A"/>
    <s v="ebesessearch"/>
    <m/>
    <m/>
    <n v="1"/>
    <m/>
  </r>
  <r>
    <x v="49"/>
    <s v="07572300777"/>
    <s v="Nimi hosts [Blockbuster] Visit Yoko Ono at Tate Modern"/>
    <x v="7"/>
    <x v="7"/>
    <n v="1"/>
    <s v="Nimi Fee + Exhibition Ticket"/>
    <n v="27"/>
    <m/>
    <s v="T H"/>
    <s v="Saville"/>
    <s v="tomhsaville@hotmail.co.uk"/>
    <s v="WhatsApp"/>
    <s v="GBP"/>
    <n v="8"/>
    <s v="Nimi hosts [Blockbuster] Visit Yoko Ono at Tate Modern"/>
    <e v="#N/A"/>
    <e v="#N/A"/>
    <s v="WhatsApp"/>
    <m/>
    <m/>
    <n v="1"/>
    <m/>
  </r>
  <r>
    <x v="50"/>
    <s v="07741694836"/>
    <s v="Nimi hosts [Blockbuster] Visit Yoko Ono at Tate Modern"/>
    <x v="7"/>
    <x v="7"/>
    <n v="1"/>
    <s v="Nimi Fee + Exhibition Ticket"/>
    <n v="27"/>
    <m/>
    <s v="Pragyapti"/>
    <s v="Bhandari"/>
    <s v="pragyaptib@gmail.com"/>
    <s v="ebesesdeeplink"/>
    <s v="GBP"/>
    <n v="8"/>
    <s v="Nimi hosts [Blockbuster] Visit Yoko Ono at Tate Modern"/>
    <e v="#N/A"/>
    <e v="#N/A"/>
    <s v="ebesesdeeplink"/>
    <m/>
    <m/>
    <n v="1"/>
    <m/>
  </r>
  <r>
    <x v="51"/>
    <s v="07366956766"/>
    <s v="Nimi hosts [Blockbuster] Visit Yoko Ono at Tate Modern"/>
    <x v="7"/>
    <x v="7"/>
    <n v="1"/>
    <s v="Nimi Event Fee"/>
    <n v="5"/>
    <m/>
    <s v="Serena"/>
    <s v="Or"/>
    <s v="kittyor.or@gmail.com"/>
    <s v="WhatsApp"/>
    <s v="GBP"/>
    <n v="8"/>
    <s v="Nimi hosts [Blockbuster] Visit Yoko Ono at Tate Modern"/>
    <e v="#N/A"/>
    <e v="#N/A"/>
    <s v="WhatsApp"/>
    <m/>
    <m/>
    <n v="1"/>
    <m/>
  </r>
  <r>
    <x v="52"/>
    <s v="07817234925"/>
    <s v="Nimi hosts [Hidden Gem] Gallery Stroll in South Kensington"/>
    <x v="8"/>
    <x v="8"/>
    <n v="1"/>
    <s v="General Admission"/>
    <n v="15"/>
    <m/>
    <s v="Matthew"/>
    <s v="Watts"/>
    <s v="maestromattheww@yahoo.co.uk"/>
    <s v="WhatsApp"/>
    <s v="GBP"/>
    <n v="9"/>
    <s v="Nimi hosts [Hidden Gem] Gallery Stroll in South Kensington"/>
    <e v="#N/A"/>
    <e v="#N/A"/>
    <s v="WhatsApp"/>
    <m/>
    <m/>
    <n v="4"/>
    <m/>
  </r>
  <r>
    <x v="12"/>
    <s v="07465765122"/>
    <s v="Nimi hosts [Hidden Gem] Gallery Stroll in South Kensington"/>
    <x v="8"/>
    <x v="8"/>
    <n v="1"/>
    <s v="General Admission"/>
    <n v="7.5"/>
    <s v="OGFTW"/>
    <s v="Katherine"/>
    <s v="Kim"/>
    <s v="katherineyr.kim@gmail.com"/>
    <s v="WhatsApp"/>
    <s v="GBP"/>
    <n v="9"/>
    <s v="Nimi hosts [Hidden Gem] Gallery Stroll in South Kensington"/>
    <e v="#N/A"/>
    <e v="#N/A"/>
    <s v="WhatsApp"/>
    <m/>
    <m/>
    <n v="4"/>
    <m/>
  </r>
  <r>
    <x v="35"/>
    <s v="7183086607"/>
    <s v="Nimi hosts [Hidden Gem] Gallery Stroll in South Kensington"/>
    <x v="8"/>
    <x v="8"/>
    <n v="1"/>
    <s v="General Admission"/>
    <n v="15"/>
    <m/>
    <s v="Hanna"/>
    <s v="N"/>
    <s v="hanna.niczyporuk@gmail.com"/>
    <s v="WhatsApp"/>
    <s v="GBP"/>
    <n v="9"/>
    <s v="Nimi hosts [Hidden Gem] Gallery Stroll in South Kensington"/>
    <e v="#N/A"/>
    <e v="#N/A"/>
    <s v="WhatsApp"/>
    <m/>
    <m/>
    <n v="4"/>
    <m/>
  </r>
  <r>
    <x v="0"/>
    <s v="07807127381"/>
    <s v="Nimi hosts [Hidden Gem] Gallery Stroll in South Kensington"/>
    <x v="8"/>
    <x v="8"/>
    <n v="1"/>
    <s v="General Admission"/>
    <n v="15"/>
    <m/>
    <s v="Laura"/>
    <s v="Brown"/>
    <s v="laurabrown148@gmail.com"/>
    <s v="WhatsApp"/>
    <s v="GBP"/>
    <n v="9"/>
    <s v="Nimi hosts [Hidden Gem] Gallery Stroll in South Kensington"/>
    <e v="#N/A"/>
    <e v="#N/A"/>
    <s v="WhatsApp"/>
    <m/>
    <m/>
    <n v="4"/>
    <m/>
  </r>
  <r>
    <x v="53"/>
    <s v="07961779960"/>
    <s v="Nimi hosts [Hidden Gem] Gallery Stroll in South Kensington"/>
    <x v="8"/>
    <x v="8"/>
    <n v="1"/>
    <s v="General Admission"/>
    <n v="10"/>
    <s v="NIMIFRIENDS"/>
    <s v="Jing"/>
    <s v="Zhang"/>
    <s v="jz548282@gmail.com"/>
    <s v="WhatsApp"/>
    <s v="GBP"/>
    <n v="9"/>
    <s v="Nimi hosts [Hidden Gem] Gallery Stroll in South Kensington"/>
    <e v="#N/A"/>
    <e v="#N/A"/>
    <s v="WhatsApp"/>
    <m/>
    <m/>
    <n v="4"/>
    <m/>
  </r>
  <r>
    <x v="8"/>
    <s v="07476276978"/>
    <s v="Nimi hosts [Hidden Gem] Gallery Stroll in South Kensington"/>
    <x v="8"/>
    <x v="8"/>
    <n v="1"/>
    <s v="General Admission"/>
    <n v="0"/>
    <m/>
    <s v="Daniel"/>
    <s v="Lugg"/>
    <s v="daniel.lugg@yahoo.com"/>
    <m/>
    <s v="GBP"/>
    <n v="9"/>
    <s v="Nimi hosts [Hidden Gem] Gallery Stroll in South Kensington"/>
    <e v="#N/A"/>
    <e v="#N/A"/>
    <n v="0"/>
    <m/>
    <m/>
    <n v="4"/>
    <m/>
  </r>
  <r>
    <x v="41"/>
    <s v="07398634749"/>
    <s v="Nimi hosts [Hidden Gem] Gallery Stroll in South Kensington"/>
    <x v="8"/>
    <x v="8"/>
    <n v="1"/>
    <s v="General Admission"/>
    <n v="0"/>
    <m/>
    <s v="Zinab"/>
    <s v="Al Ramathany"/>
    <s v="zinab.rama@gmail.com"/>
    <m/>
    <s v="GBP"/>
    <n v="9"/>
    <s v="Nimi hosts [Hidden Gem] Gallery Stroll in South Kensington"/>
    <e v="#N/A"/>
    <e v="#N/A"/>
    <n v="0"/>
    <m/>
    <m/>
    <n v="4"/>
    <m/>
  </r>
  <r>
    <x v="33"/>
    <s v="07877845663"/>
    <s v="Nimi hosts [Hidden Gem] Gallery Stroll in South Kensington"/>
    <x v="8"/>
    <x v="8"/>
    <n v="1"/>
    <s v="General Admission"/>
    <n v="0"/>
    <m/>
    <s v="Claudia"/>
    <s v="Claudia"/>
    <s v="claudiapaicu@yahoo.com"/>
    <m/>
    <s v="GBP"/>
    <n v="9"/>
    <s v="Nimi hosts [Hidden Gem] Gallery Stroll in South Kensington"/>
    <e v="#N/A"/>
    <e v="#N/A"/>
    <n v="0"/>
    <m/>
    <m/>
    <n v="4"/>
    <m/>
  </r>
  <r>
    <x v="29"/>
    <s v="07525006790"/>
    <s v="Nimi hosts [Hidden Gem] Gallery Stroll in South Kensington"/>
    <x v="8"/>
    <x v="8"/>
    <n v="1"/>
    <s v="General Admission"/>
    <n v="0"/>
    <m/>
    <s v="Eoghan"/>
    <s v="Naughton"/>
    <s v="eoghannaughton@hotmail.com"/>
    <m/>
    <s v="GBP"/>
    <n v="9"/>
    <s v="Nimi hosts [Hidden Gem] Gallery Stroll in South Kensington"/>
    <e v="#N/A"/>
    <e v="#N/A"/>
    <n v="0"/>
    <m/>
    <m/>
    <n v="4"/>
    <m/>
  </r>
  <r>
    <x v="44"/>
    <s v="07925774705"/>
    <s v="Nimi hosts [Hidden Gem] Gallery Stroll in South Kensington"/>
    <x v="8"/>
    <x v="8"/>
    <n v="1"/>
    <s v="General Admission"/>
    <n v="0"/>
    <m/>
    <s v="Shay"/>
    <s v="Steele"/>
    <s v="shaysteele2017@gmail.com"/>
    <m/>
    <s v="GBP"/>
    <n v="9"/>
    <s v="Nimi hosts [Hidden Gem] Gallery Stroll in South Kensington"/>
    <e v="#N/A"/>
    <e v="#N/A"/>
    <n v="0"/>
    <m/>
    <m/>
    <n v="4"/>
    <m/>
  </r>
  <r>
    <x v="54"/>
    <s v="07438951508"/>
    <s v="Nimi hosts [Hidden Gem] Gallery Stroll in South Kensington"/>
    <x v="8"/>
    <x v="8"/>
    <n v="1"/>
    <s v="General Admission"/>
    <n v="15"/>
    <m/>
    <s v="Jinish"/>
    <s v="Gohil"/>
    <s v="jinishgohil@yahoo.co.in"/>
    <s v="ebeseaorganizationprofile"/>
    <s v="GBP"/>
    <n v="9"/>
    <s v="Nimi hosts [Hidden Gem] Gallery Stroll in South Kensington"/>
    <e v="#N/A"/>
    <e v="#N/A"/>
    <s v="ebeseaorganizationprofile"/>
    <m/>
    <m/>
    <n v="4"/>
    <m/>
  </r>
  <r>
    <x v="11"/>
    <s v="07739139930"/>
    <s v="[Hidden Gem] First Thursdays Gallery Stroll in East London"/>
    <x v="9"/>
    <x v="9"/>
    <n v="1"/>
    <s v="Early Bird"/>
    <n v="7.5"/>
    <s v="OGFTW"/>
    <s v="Claire"/>
    <s v="Couchman"/>
    <s v="Clairelouisecouchman@hotmail.com"/>
    <s v="WhatsApp"/>
    <s v="GBP"/>
    <n v="10"/>
    <s v="[Hidden Gem] First Thursdays Gallery Stroll in East London"/>
    <e v="#N/A"/>
    <n v="5"/>
    <s v="WhatsApp"/>
    <m/>
    <m/>
    <n v="4"/>
    <m/>
  </r>
  <r>
    <x v="27"/>
    <m/>
    <s v="[Hidden Gem] First Thursdays Gallery Stroll in East London"/>
    <x v="9"/>
    <x v="9"/>
    <n v="1"/>
    <s v="Early Bird"/>
    <n v="7.5"/>
    <s v="OGFTW"/>
    <s v="Natasha"/>
    <s v="Pavlovskaya"/>
    <s v="natashapavlovskaya23@gmail.com"/>
    <s v="WhatsApp"/>
    <s v="GBP"/>
    <n v="10"/>
    <s v="[Hidden Gem] First Thursdays Gallery Stroll in East London"/>
    <e v="#N/A"/>
    <e v="#N/A"/>
    <s v="WhatsApp"/>
    <m/>
    <m/>
    <n v="4"/>
    <m/>
  </r>
  <r>
    <x v="55"/>
    <s v="07506474016"/>
    <s v="[Hidden Gem] First Thursdays Gallery Stroll in East London"/>
    <x v="9"/>
    <x v="9"/>
    <n v="1"/>
    <s v="Early Bird"/>
    <n v="15"/>
    <m/>
    <s v="Dildeep"/>
    <s v="Singh"/>
    <s v="dildeep96@gmail.com"/>
    <s v="WhatsApp"/>
    <s v="GBP"/>
    <n v="10"/>
    <s v="[Hidden Gem] First Thursdays Gallery Stroll in East London"/>
    <e v="#N/A"/>
    <e v="#N/A"/>
    <s v="WhatsApp"/>
    <m/>
    <m/>
    <n v="4"/>
    <m/>
  </r>
  <r>
    <x v="28"/>
    <s v="07871606482"/>
    <s v="[Blockbuster] When Forms Come Alive @ Hayward Gallery"/>
    <x v="10"/>
    <x v="10"/>
    <n v="1"/>
    <s v="Nimi Fee + Exhibition Ticket"/>
    <n v="25"/>
    <m/>
    <s v="Sara"/>
    <s v="Khan"/>
    <s v="khan.saretta@gmail.com"/>
    <s v="WhatsApp"/>
    <s v="GBP"/>
    <n v="11"/>
    <s v="[Blockbuster] When Forms Come Alive @ Hayward Gallery"/>
    <e v="#N/A"/>
    <e v="#N/A"/>
    <s v="WhatsApp"/>
    <m/>
    <m/>
    <n v="1"/>
    <m/>
  </r>
  <r>
    <x v="3"/>
    <s v="07946225673"/>
    <s v="[Blockbuster] When Forms Come Alive @ Hayward Gallery"/>
    <x v="10"/>
    <x v="10"/>
    <n v="1"/>
    <s v="Nimi Fee + Exhibition Ticket"/>
    <n v="25"/>
    <m/>
    <s v="Srivaths"/>
    <s v="Swaminathan"/>
    <s v="srivaths.s@gmail.com"/>
    <s v="WhatsApp"/>
    <s v="GBP"/>
    <n v="11"/>
    <s v="[Blockbuster] When Forms Come Alive @ Hayward Gallery"/>
    <e v="#N/A"/>
    <e v="#N/A"/>
    <s v="WhatsApp"/>
    <m/>
    <m/>
    <n v="1"/>
    <m/>
  </r>
  <r>
    <x v="7"/>
    <s v="07717205862"/>
    <s v="[Blockbuster] When Forms Come Alive @ Hayward Gallery"/>
    <x v="10"/>
    <x v="10"/>
    <n v="1"/>
    <s v="Nimi Fee + Exhibition Ticket"/>
    <n v="25"/>
    <m/>
    <s v="Robert"/>
    <s v="Chapman"/>
    <s v="roberthchapman@hotmail.com"/>
    <s v="echckt"/>
    <s v="GBP"/>
    <n v="11"/>
    <s v="[Blockbuster] When Forms Come Alive @ Hayward Gallery"/>
    <e v="#N/A"/>
    <e v="#N/A"/>
    <s v="echckt"/>
    <m/>
    <m/>
    <n v="1"/>
    <m/>
  </r>
  <r>
    <x v="56"/>
    <s v="+447553093894"/>
    <s v="[Blockbuster] When Forms Come Alive @ Hayward Gallery"/>
    <x v="10"/>
    <x v="10"/>
    <n v="1"/>
    <s v="Nimi Fee + Exhibition Ticket"/>
    <n v="25"/>
    <m/>
    <s v="Eugenia"/>
    <s v="Herman"/>
    <s v="alena.german.71@gmail.com"/>
    <s v="WhatsApp"/>
    <s v="GBP"/>
    <n v="11"/>
    <s v="[Blockbuster] When Forms Come Alive @ Hayward Gallery"/>
    <e v="#N/A"/>
    <e v="#N/A"/>
    <s v="WhatsApp"/>
    <m/>
    <m/>
    <n v="1"/>
    <m/>
  </r>
  <r>
    <x v="57"/>
    <s v="7901584632"/>
    <s v="[Blockbuster] When Forms Come Alive @ Hayward Gallery"/>
    <x v="10"/>
    <x v="10"/>
    <n v="1"/>
    <s v="Nimi Fee + Exhibition Ticket"/>
    <n v="25"/>
    <m/>
    <s v="Tamara"/>
    <s v="Muñoz"/>
    <s v="tatatamzzz@gmail.com"/>
    <s v="WhatsApp"/>
    <s v="GBP"/>
    <n v="11"/>
    <s v="[Blockbuster] When Forms Come Alive @ Hayward Gallery"/>
    <e v="#N/A"/>
    <e v="#N/A"/>
    <s v="WhatsApp"/>
    <m/>
    <m/>
    <n v="1"/>
    <m/>
  </r>
  <r>
    <x v="29"/>
    <s v="00447525006790"/>
    <s v="[Blockbuster] When Forms Come Alive @ Hayward Gallery"/>
    <x v="10"/>
    <x v="10"/>
    <n v="1"/>
    <s v="Nimi Fee + Exhibition Ticket"/>
    <n v="25"/>
    <m/>
    <s v="eoghan"/>
    <s v="naughton"/>
    <s v="eoghannaughton@hotmail.com"/>
    <s v="WhatsApp"/>
    <s v="GBP"/>
    <n v="11"/>
    <s v="[Blockbuster] When Forms Come Alive @ Hayward Gallery"/>
    <e v="#N/A"/>
    <e v="#N/A"/>
    <s v="WhatsApp"/>
    <m/>
    <m/>
    <n v="1"/>
    <m/>
  </r>
  <r>
    <x v="58"/>
    <s v="07756702521"/>
    <s v="Nimi hosts [Hidden Gem] Dreams Have No Titles Exhibition and Tango"/>
    <x v="11"/>
    <x v="11"/>
    <n v="1"/>
    <s v="Nimi Fee + Exhibition Ticket"/>
    <n v="20"/>
    <m/>
    <s v="Tianqi"/>
    <s v="Yang"/>
    <s v="yangtianqi2023@163.com"/>
    <s v="ebdssbdestsearch"/>
    <s v="GBP"/>
    <n v="13"/>
    <s v="Nimi hosts [Hidden Gem] Dreams Have No Titles Exhibition and Tango"/>
    <e v="#N/A"/>
    <e v="#N/A"/>
    <s v="ebdssbdestsearch"/>
    <m/>
    <m/>
    <n v="4"/>
    <m/>
  </r>
  <r>
    <x v="15"/>
    <s v="07752083835"/>
    <s v="Nimi hosts [Hidden Gem] Dreams Have No Titles Exhibition and Tango"/>
    <x v="11"/>
    <x v="11"/>
    <n v="1"/>
    <s v="Nimi Fee + Exhibition Ticket"/>
    <n v="20"/>
    <m/>
    <s v="Rohini"/>
    <s v="Tendulkar"/>
    <s v="tendulkar.rohini@gmail.com"/>
    <s v="ebesesdeeplink"/>
    <s v="GBP"/>
    <n v="13"/>
    <s v="Nimi hosts [Hidden Gem] Dreams Have No Titles Exhibition and Tango"/>
    <e v="#N/A"/>
    <e v="#N/A"/>
    <s v="ebesesdeeplink"/>
    <m/>
    <m/>
    <n v="4"/>
    <m/>
  </r>
  <r>
    <x v="59"/>
    <s v="+447425103954"/>
    <s v="Nimi hosts  [Artist Talk] Unexpected Views at the National Gallery Late"/>
    <x v="12"/>
    <x v="12"/>
    <n v="1"/>
    <s v="General Admission"/>
    <n v="0"/>
    <m/>
    <s v="Federica"/>
    <s v="Martini"/>
    <s v="federica.martini@live.it"/>
    <s v="ebesesdeeplink"/>
    <s v="GBP"/>
    <n v="12"/>
    <s v="Nimi hosts  [Artist Talk] Unexpected Views at the National Gallery Late"/>
    <e v="#N/A"/>
    <e v="#N/A"/>
    <s v="ebesesdeeplink"/>
    <m/>
    <m/>
    <n v="1"/>
    <m/>
  </r>
  <r>
    <x v="28"/>
    <s v="07871606482"/>
    <s v="Nimi hosts [Hidden Gem] Dreams Have No Titles Exhibition and Tango"/>
    <x v="11"/>
    <x v="11"/>
    <n v="1"/>
    <s v="Nimi Fee + Exhibition Ticket"/>
    <n v="20"/>
    <m/>
    <s v="Sara"/>
    <s v="Khan"/>
    <s v="khan.saretta@gmail.com"/>
    <s v="ebdsshios"/>
    <s v="GBP"/>
    <n v="13"/>
    <s v="Nimi hosts [Hidden Gem] Dreams Have No Titles Exhibition and Tango"/>
    <e v="#N/A"/>
    <e v="#N/A"/>
    <s v="ebdsshios"/>
    <m/>
    <m/>
    <n v="4"/>
    <m/>
  </r>
  <r>
    <x v="52"/>
    <s v="07817234925"/>
    <s v="Nimi hosts [Hidden Gem] Dreams Have No Titles Exhibition and Tango"/>
    <x v="11"/>
    <x v="11"/>
    <n v="1"/>
    <s v="Nimi Fee + Exhibition Ticket"/>
    <n v="20"/>
    <m/>
    <s v="Matthew"/>
    <s v="Watts"/>
    <s v="maestromattheww@yahoo.co.uk"/>
    <s v="WhatsApp"/>
    <s v="GBP"/>
    <n v="13"/>
    <s v="Nimi hosts [Hidden Gem] Dreams Have No Titles Exhibition and Tango"/>
    <e v="#N/A"/>
    <e v="#N/A"/>
    <s v="WhatsApp"/>
    <m/>
    <m/>
    <n v="4"/>
    <m/>
  </r>
  <r>
    <x v="7"/>
    <s v="07717205862"/>
    <s v="Nimi hosts [Hidden Gem] Dreams Have No Titles Exhibition and Tango"/>
    <x v="11"/>
    <x v="11"/>
    <n v="1"/>
    <s v="Nimi Fee + Exhibition Ticket"/>
    <n v="20"/>
    <m/>
    <s v="Robert"/>
    <s v="Chapman"/>
    <s v="roberthchapman@hotmail.com"/>
    <s v="WhatsApp"/>
    <s v="GBP"/>
    <n v="13"/>
    <s v="Nimi hosts [Hidden Gem] Dreams Have No Titles Exhibition and Tango"/>
    <e v="#N/A"/>
    <e v="#N/A"/>
    <s v="WhatsApp"/>
    <m/>
    <m/>
    <n v="4"/>
    <m/>
  </r>
  <r>
    <x v="60"/>
    <s v="07925774705"/>
    <s v="Nimi hosts [Hidden Gem] Dreams Have No Titles Exhibition and Tango"/>
    <x v="11"/>
    <x v="11"/>
    <n v="1"/>
    <s v="Nimi Fee + Exhibition Ticket"/>
    <n v="13"/>
    <s v="SHAY"/>
    <s v="Shay"/>
    <s v="Lim"/>
    <s v="shlimbc2@gmail.com"/>
    <s v="WhatsApp"/>
    <s v="GBP"/>
    <n v="13"/>
    <s v="Nimi hosts [Hidden Gem] Dreams Have No Titles Exhibition and Tango"/>
    <e v="#N/A"/>
    <e v="#N/A"/>
    <s v="WhatsApp"/>
    <m/>
    <m/>
    <n v="4"/>
    <m/>
  </r>
  <r>
    <x v="61"/>
    <m/>
    <s v="Nimi hosts [Hidden Gem] Gallery Stroll in South Kensington"/>
    <x v="8"/>
    <x v="8"/>
    <n v="1"/>
    <s v="Meetup"/>
    <m/>
    <m/>
    <s v="Jing's girlfriend"/>
    <n v="0"/>
    <s v="Jing's girlfriend"/>
    <s v="Meetup"/>
    <m/>
    <n v="9"/>
    <s v="Nimi hosts [Hidden Gem] Gallery Stroll in South Kensington"/>
    <e v="#N/A"/>
    <e v="#N/A"/>
    <s v="Meetup"/>
    <m/>
    <m/>
    <n v="4"/>
    <m/>
  </r>
  <r>
    <x v="62"/>
    <m/>
    <s v="Nimi hosts [Hidden Gem] Galleries Stroll in Mayfair"/>
    <x v="4"/>
    <x v="4"/>
    <n v="1"/>
    <s v="Meetup"/>
    <m/>
    <m/>
    <s v="Teodor"/>
    <s v="Radu"/>
    <s v="teodor.rd27@gmail.com"/>
    <s v="Meetup"/>
    <m/>
    <n v="5"/>
    <s v="Nimi hosts [Hidden Gem] Galleries Stroll in Mayfair"/>
    <e v="#N/A"/>
    <e v="#N/A"/>
    <s v="Meetup"/>
    <m/>
    <m/>
    <n v="4"/>
    <m/>
  </r>
  <r>
    <x v="49"/>
    <s v="07572300777"/>
    <s v="Nimi hosts [Hidden Gem] Galleries Stroll in Mayfair"/>
    <x v="4"/>
    <x v="4"/>
    <n v="1"/>
    <s v="Meetup"/>
    <m/>
    <m/>
    <s v="Tom"/>
    <s v="Saville"/>
    <s v="tomhsaville@hotmail.co.uk"/>
    <s v="Meetup"/>
    <m/>
    <n v="5"/>
    <s v="Nimi hosts [Hidden Gem] Galleries Stroll in Mayfair"/>
    <e v="#N/A"/>
    <e v="#N/A"/>
    <s v="Meetup"/>
    <m/>
    <m/>
    <n v="4"/>
    <m/>
  </r>
  <r>
    <x v="63"/>
    <m/>
    <s v="Nimi hosts [Hidden Gem] Galleries Stroll in Mayfair"/>
    <x v="4"/>
    <x v="4"/>
    <n v="1"/>
    <s v="Meetup"/>
    <m/>
    <m/>
    <s v="ND"/>
    <n v="0"/>
    <s v="isisding@gmail.com"/>
    <s v="Meetup"/>
    <m/>
    <n v="5"/>
    <s v="Nimi hosts [Hidden Gem] Galleries Stroll in Mayfair"/>
    <e v="#N/A"/>
    <e v="#N/A"/>
    <s v="Meetup"/>
    <m/>
    <m/>
    <n v="4"/>
    <m/>
  </r>
  <r>
    <x v="64"/>
    <m/>
    <s v="Nimi hosts [Hidden Gem] Private View at Art Galleries in Central London"/>
    <x v="5"/>
    <x v="5"/>
    <n v="1"/>
    <s v="Meetup"/>
    <m/>
    <m/>
    <s v="Justin"/>
    <s v="Blatner"/>
    <s v="blattnerj@gmail.com"/>
    <s v="Meetup"/>
    <m/>
    <n v="6"/>
    <s v="Nimi hosts [Hidden Gem] Private View at Art Galleries in Central London"/>
    <e v="#N/A"/>
    <e v="#N/A"/>
    <s v="Meetup"/>
    <m/>
    <m/>
    <n v="4"/>
    <m/>
  </r>
  <r>
    <x v="15"/>
    <s v="+44 7752 083835"/>
    <s v="Hidden Gem Saturday Art Strolls with Nimi"/>
    <x v="13"/>
    <x v="13"/>
    <n v="1"/>
    <s v="General Admission"/>
    <n v="15"/>
    <m/>
    <s v="Rohini"/>
    <s v="Tendulkar"/>
    <s v="tendulkar.rohini@gmail.com"/>
    <m/>
    <s v="GBP"/>
    <n v="14"/>
    <s v="Hidden Gem Saturday Art Strolls with Nimi"/>
    <d v="2024-05-11T00:00:00"/>
    <n v="5"/>
    <n v="0"/>
    <s v="Recurrent Customer"/>
    <m/>
    <n v="4"/>
    <m/>
  </r>
  <r>
    <x v="16"/>
    <s v="447846232630"/>
    <s v="Hidden Gem Saturday Art Strolls with Nimi"/>
    <x v="13"/>
    <x v="13"/>
    <n v="1"/>
    <s v="General Admission"/>
    <n v="15"/>
    <m/>
    <s v="Tanvi"/>
    <s v="Sethi"/>
    <s v="sethi.tanvi@gmail.com"/>
    <m/>
    <s v="GBP"/>
    <n v="14"/>
    <s v="Hidden Gem Saturday Art Strolls with Nimi"/>
    <d v="2024-05-11T00:00:00"/>
    <n v="5"/>
    <n v="0"/>
    <s v="Recurrent Customer"/>
    <m/>
    <n v="4"/>
    <m/>
  </r>
  <r>
    <x v="65"/>
    <s v="447492693024"/>
    <s v="Hidden Gem Saturday Art Strolls with Nimi"/>
    <x v="13"/>
    <x v="13"/>
    <n v="1"/>
    <s v="General Admission"/>
    <n v="15"/>
    <m/>
    <s v="Ioana"/>
    <s v="Brezeanu"/>
    <s v="io.brezeanu@gmail.com"/>
    <m/>
    <s v="GBP"/>
    <n v="14"/>
    <s v="Hidden Gem Saturday Art Strolls with Nimi"/>
    <d v="2024-05-11T00:00:00"/>
    <n v="5"/>
    <n v="0"/>
    <s v="Recurrent Customer"/>
    <m/>
    <n v="4"/>
    <m/>
  </r>
  <r>
    <x v="51"/>
    <s v="447366956766"/>
    <s v="Hidden Gem Saturday Art Strolls with Nimi"/>
    <x v="13"/>
    <x v="13"/>
    <n v="1"/>
    <s v="General Admission"/>
    <n v="15"/>
    <m/>
    <s v="Serena"/>
    <s v="Or"/>
    <s v="kittyor.or@gmail.com"/>
    <m/>
    <s v="GBP"/>
    <n v="14"/>
    <s v="Hidden Gem Saturday Art Strolls with Nimi"/>
    <d v="2024-05-11T00:00:00"/>
    <n v="5"/>
    <n v="0"/>
    <s v="Recurrent Customer"/>
    <m/>
    <n v="4"/>
    <m/>
  </r>
  <r>
    <x v="28"/>
    <n v="447871606482"/>
    <s v="Hidden Gem Saturday Art Strolls with Nimi"/>
    <x v="13"/>
    <x v="13"/>
    <n v="1"/>
    <s v="General Admission"/>
    <n v="15"/>
    <m/>
    <s v="Sara"/>
    <s v="Khan"/>
    <s v="khan.saretta@gmail.com"/>
    <m/>
    <s v="GBP"/>
    <n v="14"/>
    <s v="Hidden Gem Saturday Art Strolls with Nimi"/>
    <d v="2024-05-11T00:00:00"/>
    <n v="5"/>
    <n v="0"/>
    <s v="Recurrent Customer"/>
    <m/>
    <n v="4"/>
    <m/>
  </r>
  <r>
    <x v="42"/>
    <n v="447896634620"/>
    <s v="Hidden Gem Saturday Art Strolls with Nimi"/>
    <x v="13"/>
    <x v="13"/>
    <n v="1"/>
    <s v="General Admission"/>
    <n v="15"/>
    <m/>
    <s v="Win"/>
    <s v="Man"/>
    <s v="win_man45@hotmail.com"/>
    <m/>
    <s v="GBP"/>
    <n v="14"/>
    <s v="Hidden Gem Saturday Art Strolls with Nimi"/>
    <d v="2024-05-11T00:00:00"/>
    <n v="5"/>
    <n v="0"/>
    <s v="Recurrent Customer"/>
    <m/>
    <n v="4"/>
    <m/>
  </r>
  <r>
    <x v="66"/>
    <n v="7503778383"/>
    <s v="Hidden Gem Saturday Art Strolls with Nimi"/>
    <x v="13"/>
    <x v="13"/>
    <n v="1"/>
    <s v="General Admission"/>
    <n v="15"/>
    <m/>
    <s v="Mercelani"/>
    <s v="Dumayday"/>
    <s v="lanidoms@gmail.com"/>
    <s v="ebesessearch"/>
    <s v="GBP"/>
    <n v="14"/>
    <s v="Hidden Gem Saturday Art Strolls with Nimi"/>
    <d v="2024-05-11T00:00:00"/>
    <n v="5"/>
    <s v="ebesessearch"/>
    <s v="Eventbrite"/>
    <m/>
    <n v="4"/>
    <m/>
  </r>
  <r>
    <x v="67"/>
    <m/>
    <s v="Hidden Gem Saturday Art Strolls with Nimi"/>
    <x v="13"/>
    <x v="13"/>
    <n v="1"/>
    <s v="General Admission"/>
    <n v="15"/>
    <m/>
    <s v="Yusuke"/>
    <m/>
    <s v="yskinoue0127@gmail.com"/>
    <s v="Meetup"/>
    <m/>
    <n v="14"/>
    <s v="Hidden Gem Saturday Art Strolls with Nimi"/>
    <d v="2024-05-11T00:00:00"/>
    <n v="5"/>
    <s v="Meetup"/>
    <s v="Meetup"/>
    <m/>
    <n v="4"/>
    <m/>
  </r>
  <r>
    <x v="60"/>
    <n v="447930000000"/>
    <s v="Hidden Gems: Photography Exhibitions Across London"/>
    <x v="14"/>
    <x v="14"/>
    <n v="1"/>
    <s v="General Admission"/>
    <n v="15"/>
    <m/>
    <s v="Shay"/>
    <s v="Lim"/>
    <s v="shlimbc2@gmail.com"/>
    <m/>
    <m/>
    <n v="15"/>
    <s v="Hidden Gems: Photography Exhibitions Across London"/>
    <e v="#N/A"/>
    <e v="#N/A"/>
    <n v="0"/>
    <s v="Recurrent Customer"/>
    <m/>
    <n v="4"/>
    <m/>
  </r>
  <r>
    <x v="1"/>
    <n v="447560000000"/>
    <s v="Hidden Gems: Photography Exhibitions Across London"/>
    <x v="14"/>
    <x v="14"/>
    <n v="1"/>
    <s v="General Admission"/>
    <n v="15"/>
    <m/>
    <s v="Aidana"/>
    <s v="Kassymova"/>
    <s v="aidanakassymova@gmail.com"/>
    <m/>
    <m/>
    <n v="15"/>
    <s v="Hidden Gems: Photography Exhibitions Across London"/>
    <e v="#N/A"/>
    <e v="#N/A"/>
    <n v="0"/>
    <s v="Recurrent Customer"/>
    <m/>
    <n v="4"/>
    <m/>
  </r>
  <r>
    <x v="52"/>
    <n v="447820000000"/>
    <s v="Hidden Gems: Photography Exhibitions Across London"/>
    <x v="14"/>
    <x v="14"/>
    <n v="1"/>
    <s v="General Admission"/>
    <n v="15"/>
    <m/>
    <s v="Matthew"/>
    <s v="Watts"/>
    <s v="maestromattheww@yahoo.co.uk"/>
    <m/>
    <m/>
    <n v="15"/>
    <s v="Hidden Gems: Photography Exhibitions Across London"/>
    <e v="#N/A"/>
    <e v="#N/A"/>
    <n v="0"/>
    <s v="Recurrent Customer"/>
    <m/>
    <n v="4"/>
    <m/>
  </r>
  <r>
    <x v="26"/>
    <n v="447980000000"/>
    <s v="Hidden Gems: Photography Exhibitions Across London"/>
    <x v="14"/>
    <x v="14"/>
    <n v="1"/>
    <s v="General Admission"/>
    <n v="15"/>
    <m/>
    <s v="Daniela"/>
    <s v="Jones"/>
    <s v="jones_daniela@yahoo.co.uk"/>
    <m/>
    <m/>
    <n v="15"/>
    <s v="Hidden Gems: Photography Exhibitions Across London"/>
    <e v="#N/A"/>
    <e v="#N/A"/>
    <n v="0"/>
    <s v="Recurrent Customer"/>
    <m/>
    <n v="4"/>
    <m/>
  </r>
  <r>
    <x v="55"/>
    <n v="447510000000"/>
    <s v="Hidden Gems: Photography Exhibitions Across London"/>
    <x v="14"/>
    <x v="14"/>
    <n v="1"/>
    <s v="General Admission"/>
    <n v="15"/>
    <m/>
    <s v="Dildeep"/>
    <s v="Singh"/>
    <s v="dildeep96@gmail.com"/>
    <m/>
    <m/>
    <n v="15"/>
    <s v="Hidden Gems: Photography Exhibitions Across London"/>
    <e v="#N/A"/>
    <e v="#N/A"/>
    <n v="0"/>
    <s v="Recurrent Customer"/>
    <m/>
    <n v="4"/>
    <m/>
  </r>
  <r>
    <x v="68"/>
    <n v="19176000000"/>
    <s v="Hidden Gems: Photography Exhibitions Across London"/>
    <x v="14"/>
    <x v="14"/>
    <n v="1"/>
    <s v="General Admission"/>
    <n v="15"/>
    <m/>
    <s v="Esther"/>
    <s v="Chen"/>
    <s v="estherchen314@gmail.com"/>
    <m/>
    <m/>
    <n v="15"/>
    <s v="Hidden Gems: Photography Exhibitions Across London"/>
    <e v="#N/A"/>
    <e v="#N/A"/>
    <n v="0"/>
    <s v="Recurrent Customer"/>
    <m/>
    <n v="4"/>
    <m/>
  </r>
  <r>
    <x v="69"/>
    <n v="7469394835"/>
    <s v="Hidden Gems: Photography Exhibitions Across London"/>
    <x v="14"/>
    <x v="14"/>
    <n v="1"/>
    <s v="General Admission"/>
    <n v="15"/>
    <m/>
    <s v="Karen"/>
    <s v="Johnstone"/>
    <s v="xetta03@hotmail.com"/>
    <s v="ebesessearch"/>
    <m/>
    <n v="15"/>
    <s v="Hidden Gems: Photography Exhibitions Across London"/>
    <e v="#N/A"/>
    <e v="#N/A"/>
    <s v="ebesessearch"/>
    <s v="Eventbrite"/>
    <m/>
    <n v="4"/>
    <m/>
  </r>
  <r>
    <x v="70"/>
    <s v="+44 7879 043769"/>
    <s v="Hidden Gems: Photography Exhibitions Across London"/>
    <x v="14"/>
    <x v="14"/>
    <n v="1"/>
    <s v="General Admission"/>
    <n v="15"/>
    <m/>
    <s v="Elena"/>
    <s v="Dementeva"/>
    <s v="edementyeva@yandex.ru"/>
    <m/>
    <m/>
    <n v="15"/>
    <s v="Hidden Gems: Photography Exhibitions Across London"/>
    <e v="#N/A"/>
    <e v="#N/A"/>
    <n v="0"/>
    <s v="Recurrent Customer"/>
    <m/>
    <n v="4"/>
    <m/>
  </r>
  <r>
    <x v="71"/>
    <n v="0"/>
    <s v="Hidden Gems: Photography Exhibitions Across London"/>
    <x v="14"/>
    <x v="14"/>
    <n v="1"/>
    <s v="General Admission"/>
    <n v="15"/>
    <m/>
    <s v="Malti"/>
    <s v="."/>
    <s v="lonmys@outlook.com"/>
    <s v="Meetup"/>
    <m/>
    <n v="15"/>
    <s v="Hidden Gems: Photography Exhibitions Across London"/>
    <e v="#N/A"/>
    <e v="#N/A"/>
    <s v="Meetup"/>
    <s v="Meetup"/>
    <m/>
    <n v="4"/>
    <m/>
  </r>
  <r>
    <x v="11"/>
    <m/>
    <s v="Art, Music and Drinks at Courtauld Late - Featuring Exhibition of Frank Auerbach"/>
    <x v="15"/>
    <x v="15"/>
    <n v="1"/>
    <s v="General Admission"/>
    <n v="15"/>
    <m/>
    <s v="Claire"/>
    <s v="Couchman"/>
    <s v="Clairelouisecouchman@hotmail.com"/>
    <m/>
    <m/>
    <n v="22"/>
    <s v="Art, Music and Drinks at Courtauld Late - Featuring Exhibition of Frank Auerbach"/>
    <e v="#N/A"/>
    <e v="#N/A"/>
    <n v="0"/>
    <s v="Recurrent Customer"/>
    <m/>
    <n v="1"/>
    <m/>
  </r>
  <r>
    <x v="65"/>
    <s v="+44 7492 693024"/>
    <s v="Art, Music and Drinks at Courtauld Late - Featuring Exhibition of Frank Auerbach"/>
    <x v="15"/>
    <x v="15"/>
    <n v="1"/>
    <s v="General Admission"/>
    <n v="15"/>
    <m/>
    <s v="Ioana"/>
    <s v="Brezeanu"/>
    <s v="io.brezeanu@gmail.com"/>
    <m/>
    <m/>
    <n v="22"/>
    <s v="Art, Music and Drinks at Courtauld Late - Featuring Exhibition of Frank Auerbach"/>
    <e v="#N/A"/>
    <e v="#N/A"/>
    <n v="0"/>
    <s v="Recurrent Customer"/>
    <m/>
    <n v="1"/>
    <m/>
  </r>
  <r>
    <x v="0"/>
    <n v="447810000000"/>
    <s v="Art, Music and Drinks at Courtauld Late - Featuring Exhibition of Frank Auerbach"/>
    <x v="15"/>
    <x v="15"/>
    <n v="1"/>
    <s v="General Admission"/>
    <n v="14"/>
    <m/>
    <s v="Laura"/>
    <s v="Brown"/>
    <s v="laurabrown148@gmail.com"/>
    <m/>
    <m/>
    <n v="22"/>
    <s v="Art, Music and Drinks at Courtauld Late - Featuring Exhibition of Frank Auerbach"/>
    <e v="#N/A"/>
    <e v="#N/A"/>
    <n v="0"/>
    <s v="Recurrent Customer"/>
    <m/>
    <n v="1"/>
    <m/>
  </r>
  <r>
    <x v="67"/>
    <s v="+44 7789 411814"/>
    <s v="Art, Music and Drinks at Courtauld Late - Featuring Exhibition of Frank Auerbach"/>
    <x v="15"/>
    <x v="15"/>
    <n v="1"/>
    <s v="General Admission"/>
    <n v="14"/>
    <m/>
    <s v="Yusuke"/>
    <s v="Inoue"/>
    <s v="yskinoue0127@gmail.com"/>
    <m/>
    <m/>
    <n v="22"/>
    <s v="Art, Music and Drinks at Courtauld Late - Featuring Exhibition of Frank Auerbach"/>
    <e v="#N/A"/>
    <e v="#N/A"/>
    <n v="0"/>
    <s v="Recurrent Customer"/>
    <m/>
    <n v="1"/>
    <m/>
  </r>
  <r>
    <x v="72"/>
    <s v="+44 7496 933834"/>
    <s v="Art, Music and Drinks at Courtauld Late - Featuring Exhibition of Frank Auerbach"/>
    <x v="15"/>
    <x v="15"/>
    <n v="1"/>
    <s v="General Admission"/>
    <n v="14"/>
    <m/>
    <s v="Giacomo"/>
    <s v="Saracchi"/>
    <s v="6.saracchi@gmail.com"/>
    <m/>
    <m/>
    <n v="22"/>
    <s v="Art, Music and Drinks at Courtauld Late - Featuring Exhibition of Frank Auerbach"/>
    <e v="#N/A"/>
    <e v="#N/A"/>
    <n v="0"/>
    <s v="Recurrent Customer"/>
    <m/>
    <n v="1"/>
    <m/>
  </r>
  <r>
    <x v="73"/>
    <s v="+44 7496 933834"/>
    <s v="Art, Music and Drinks at Courtauld Late - Featuring Exhibition of Frank Auerbach"/>
    <x v="15"/>
    <x v="15"/>
    <n v="1"/>
    <s v="General Admission"/>
    <n v="14"/>
    <m/>
    <s v="Giacomo"/>
    <s v="Saracchi"/>
    <s v="6.saracchi@gmail.com-friend"/>
    <m/>
    <m/>
    <n v="22"/>
    <s v="Art, Music and Drinks at Courtauld Late - Featuring Exhibition of Frank Auerbach"/>
    <e v="#N/A"/>
    <e v="#N/A"/>
    <n v="0"/>
    <s v="Recurrent Customer"/>
    <m/>
    <n v="1"/>
    <m/>
  </r>
  <r>
    <x v="34"/>
    <n v="447950000000"/>
    <s v="Art, Music and Drinks at Courtauld Late - Featuring Exhibition of Frank Auerbach"/>
    <x v="15"/>
    <x v="15"/>
    <n v="1"/>
    <s v="General Admission"/>
    <n v="14"/>
    <m/>
    <s v="Ali"/>
    <s v="Damirzada"/>
    <s v="sam.samedzade@gmail.com"/>
    <m/>
    <m/>
    <n v="22"/>
    <s v="Art, Music and Drinks at Courtauld Late - Featuring Exhibition of Frank Auerbach"/>
    <e v="#N/A"/>
    <e v="#N/A"/>
    <n v="0"/>
    <s v="Referral"/>
    <m/>
    <n v="1"/>
    <m/>
  </r>
  <r>
    <x v="34"/>
    <n v="447950000000"/>
    <s v="Art, Music and Drinks at Courtauld Late - Featuring Exhibition of Frank Auerbach"/>
    <x v="15"/>
    <x v="15"/>
    <n v="1"/>
    <s v="General Admission"/>
    <n v="0"/>
    <m/>
    <s v="Samedzade"/>
    <s v="Samed"/>
    <s v="sam.samedzade@gmail.com"/>
    <m/>
    <m/>
    <n v="22"/>
    <s v="Art, Music and Drinks at Courtauld Late - Featuring Exhibition of Frank Auerbach"/>
    <e v="#N/A"/>
    <e v="#N/A"/>
    <n v="0"/>
    <s v="Recurrent Customer"/>
    <m/>
    <n v="1"/>
    <m/>
  </r>
  <r>
    <x v="2"/>
    <m/>
    <s v="Thomas Cameron  Studio + Shay Dinner"/>
    <x v="16"/>
    <x v="16"/>
    <n v="1"/>
    <m/>
    <n v="0"/>
    <m/>
    <s v="Lucy"/>
    <m/>
    <s v="lucyzhou2@hotmail.com"/>
    <m/>
    <m/>
    <n v="20"/>
    <s v="Thomas Cameron  Studio + Shay Dinner"/>
    <e v="#N/A"/>
    <e v="#N/A"/>
    <n v="0"/>
    <s v="Recurrent Customer"/>
    <m/>
    <n v="1"/>
    <m/>
  </r>
  <r>
    <x v="44"/>
    <m/>
    <s v="Thomas Cameron  Studio + Shay Dinner"/>
    <x v="16"/>
    <x v="16"/>
    <n v="1"/>
    <m/>
    <n v="0"/>
    <m/>
    <s v="Shay"/>
    <m/>
    <s v="shaysteele2017@gmail.com"/>
    <m/>
    <m/>
    <n v="20"/>
    <s v="Thomas Cameron  Studio + Shay Dinner"/>
    <e v="#N/A"/>
    <e v="#N/A"/>
    <n v="0"/>
    <s v="Recurrent Customer"/>
    <m/>
    <n v="1"/>
    <m/>
  </r>
  <r>
    <x v="1"/>
    <m/>
    <s v="Thomas Cameron  Studio + Shay Dinner"/>
    <x v="16"/>
    <x v="16"/>
    <n v="1"/>
    <m/>
    <n v="0"/>
    <m/>
    <s v="Aidana"/>
    <m/>
    <s v="aidanakassymova@gmail.com"/>
    <m/>
    <m/>
    <n v="20"/>
    <s v="Thomas Cameron  Studio + Shay Dinner"/>
    <e v="#N/A"/>
    <e v="#N/A"/>
    <n v="0"/>
    <s v="Recurrent Customer"/>
    <m/>
    <n v="1"/>
    <m/>
  </r>
  <r>
    <x v="52"/>
    <m/>
    <s v="Thomas Cameron  Studio + Shay Dinner"/>
    <x v="16"/>
    <x v="16"/>
    <n v="1"/>
    <m/>
    <n v="0"/>
    <m/>
    <s v="Matthew"/>
    <m/>
    <s v="maestromattheww@yahoo.co.uk"/>
    <m/>
    <m/>
    <n v="20"/>
    <s v="Thomas Cameron  Studio + Shay Dinner"/>
    <e v="#N/A"/>
    <e v="#N/A"/>
    <n v="0"/>
    <s v="Recurrent Customer"/>
    <m/>
    <n v="1"/>
    <m/>
  </r>
  <r>
    <x v="28"/>
    <m/>
    <s v="Thomas Cameron  Studio + Shay Dinner"/>
    <x v="16"/>
    <x v="16"/>
    <n v="1"/>
    <m/>
    <n v="0"/>
    <m/>
    <s v="Sara"/>
    <m/>
    <s v="khan.saretta@gmail.com"/>
    <m/>
    <m/>
    <n v="20"/>
    <s v="Thomas Cameron  Studio + Shay Dinner"/>
    <e v="#N/A"/>
    <e v="#N/A"/>
    <n v="0"/>
    <s v="Recurrent Customer"/>
    <m/>
    <n v="1"/>
    <m/>
  </r>
  <r>
    <x v="8"/>
    <s v="+44 7476 276978"/>
    <s v="[Hidden Gem] Art Gallery Stroll in Fitzrovia"/>
    <x v="17"/>
    <x v="15"/>
    <n v="1"/>
    <s v="General Admission"/>
    <n v="15"/>
    <m/>
    <s v="Daniel"/>
    <s v="Lugg"/>
    <s v="daniel.lugg@yahoo.com"/>
    <m/>
    <s v="GBP"/>
    <n v="16"/>
    <s v="[Hidden Gem] Art Gallery Stroll in Fitzrovia"/>
    <d v="2024-05-25T00:00:00"/>
    <n v="5"/>
    <n v="0"/>
    <s v="Recurrent Customer"/>
    <m/>
    <n v="4"/>
    <m/>
  </r>
  <r>
    <x v="18"/>
    <s v="+44 7783 421941"/>
    <s v="[Hidden Gem] Art Gallery Stroll in Fitzrovia"/>
    <x v="17"/>
    <x v="15"/>
    <n v="1"/>
    <s v="General Admission"/>
    <n v="15"/>
    <m/>
    <s v="Monique"/>
    <s v="Blemur"/>
    <s v="monique.blemur@gmail.com"/>
    <m/>
    <s v="GBP"/>
    <n v="16"/>
    <s v="[Hidden Gem] Art Gallery Stroll in Fitzrovia"/>
    <d v="2024-05-25T00:00:00"/>
    <n v="5"/>
    <n v="0"/>
    <s v="Recurrent Customer"/>
    <m/>
    <n v="4"/>
    <m/>
  </r>
  <r>
    <x v="16"/>
    <s v="+44 7846 232630"/>
    <s v="[Hidden Gem] Art Gallery Stroll in Fitzrovia"/>
    <x v="17"/>
    <x v="15"/>
    <n v="1"/>
    <s v="General Admission"/>
    <n v="15"/>
    <m/>
    <s v="Tanvi"/>
    <s v="Sethi"/>
    <s v="sethi.tanvi@gmail.com"/>
    <m/>
    <s v="GBP"/>
    <n v="16"/>
    <s v="[Hidden Gem] Art Gallery Stroll in Fitzrovia"/>
    <d v="2024-05-25T00:00:00"/>
    <n v="5"/>
    <n v="0"/>
    <s v="Recurrent Customer"/>
    <m/>
    <n v="4"/>
    <m/>
  </r>
  <r>
    <x v="37"/>
    <s v="07436593641"/>
    <s v="[Hidden Gem] Art Gallery Stroll in Fitzrovia"/>
    <x v="17"/>
    <x v="15"/>
    <n v="1"/>
    <s v="General Admission"/>
    <n v="15"/>
    <m/>
    <s v="Rowan"/>
    <s v="El Atrache"/>
    <s v="rowan.bashar@gmail.com"/>
    <m/>
    <s v="GBP"/>
    <n v="16"/>
    <s v="[Hidden Gem] Art Gallery Stroll in Fitzrovia"/>
    <d v="2024-05-25T00:00:00"/>
    <n v="5"/>
    <n v="0"/>
    <s v="Recurrent Customer"/>
    <m/>
    <n v="4"/>
    <m/>
  </r>
  <r>
    <x v="74"/>
    <s v="07776960365"/>
    <s v="[Hidden Gem] Art Gallery Stroll in Fitzrovia"/>
    <x v="17"/>
    <x v="15"/>
    <n v="1"/>
    <s v="General Admission"/>
    <n v="15"/>
    <m/>
    <s v="Tamara"/>
    <s v="Dews"/>
    <s v="tamara.dews@lseg.com"/>
    <s v="erelexpmlt"/>
    <s v="GBP"/>
    <n v="16"/>
    <s v="[Hidden Gem] Art Gallery Stroll in Fitzrovia"/>
    <d v="2024-05-25T00:00:00"/>
    <n v="5"/>
    <s v="erelexpmlt"/>
    <s v="Eventbrite"/>
    <m/>
    <n v="4"/>
    <m/>
  </r>
  <r>
    <x v="75"/>
    <m/>
    <s v="[Hidden Gem] Art Gallery Stroll in Fitzrovia"/>
    <x v="17"/>
    <x v="15"/>
    <n v="1"/>
    <s v="General Admission"/>
    <n v="15"/>
    <m/>
    <s v="M"/>
    <s v="Manolova"/>
    <s v="mm.manolova@yahoo.com"/>
    <m/>
    <s v="GBP"/>
    <n v="16"/>
    <s v="[Hidden Gem] Art Gallery Stroll in Fitzrovia"/>
    <d v="2024-05-25T00:00:00"/>
    <n v="5"/>
    <n v="0"/>
    <s v="Recurrent Customer"/>
    <m/>
    <n v="4"/>
    <m/>
  </r>
  <r>
    <x v="39"/>
    <s v="07342248068"/>
    <s v="[Hidden Gem] Art Gallery Stroll in Fitzrovia"/>
    <x v="17"/>
    <x v="15"/>
    <n v="1"/>
    <s v="General Admission"/>
    <n v="15"/>
    <m/>
    <s v="Davide"/>
    <s v="Veronese"/>
    <s v="d.v.davideveronese@gmail.com"/>
    <m/>
    <s v="GBP"/>
    <n v="16"/>
    <s v="[Hidden Gem] Art Gallery Stroll in Fitzrovia"/>
    <d v="2024-05-25T00:00:00"/>
    <n v="5"/>
    <n v="0"/>
    <s v="Recurrent Customer"/>
    <m/>
    <n v="4"/>
    <m/>
  </r>
  <r>
    <x v="76"/>
    <n v="7841262698"/>
    <s v="Hidden Gem Saturday Art Strolls with Nimi"/>
    <x v="17"/>
    <x v="15"/>
    <n v="1"/>
    <s v="General Admission"/>
    <n v="15"/>
    <m/>
    <s v="Gil"/>
    <s v="K"/>
    <s v="gilka5@hotmail.com"/>
    <s v="ebdssbdestsearch"/>
    <s v="GBP"/>
    <n v="16"/>
    <s v="Hidden Gem Saturday Art Strolls with Nimi"/>
    <d v="2024-05-25T00:00:00"/>
    <n v="5"/>
    <s v="ebdssbdestsearch"/>
    <s v="Eventbrite"/>
    <m/>
    <n v="4"/>
    <m/>
  </r>
  <r>
    <x v="8"/>
    <n v="7476276978"/>
    <s v="Art Exhibition: Impressionism and Frank Auerbach at Somerset House"/>
    <x v="18"/>
    <x v="17"/>
    <n v="1"/>
    <s v="Early Bird"/>
    <n v="14"/>
    <m/>
    <s v="Daniel"/>
    <s v="Lugg"/>
    <s v="daniel.lugg@yahoo.com"/>
    <m/>
    <s v="GBP"/>
    <n v="22"/>
    <s v="Art Exhibition: Impressionism and Frank Auerbach at Somerset House"/>
    <d v="2024-05-26T00:00:00"/>
    <n v="5"/>
    <n v="0"/>
    <s v="Recurrent Customer"/>
    <m/>
    <n v="1"/>
    <m/>
  </r>
  <r>
    <x v="77"/>
    <n v="7730398818"/>
    <s v="Hidden Gem Saturday Art Strolls with Nimi"/>
    <x v="17"/>
    <x v="15"/>
    <n v="1"/>
    <s v="General Admission"/>
    <n v="15"/>
    <m/>
    <s v="Angela"/>
    <s v="K"/>
    <s v="angelakiva10@gmail.com"/>
    <s v="ebesessearch"/>
    <s v="GBP"/>
    <n v="16"/>
    <s v="Hidden Gem Saturday Art Strolls with Nimi"/>
    <d v="2024-05-25T00:00:00"/>
    <n v="5"/>
    <s v="ebesessearch"/>
    <s v="Recurrent Customer"/>
    <m/>
    <n v="4"/>
    <m/>
  </r>
  <r>
    <x v="78"/>
    <n v="7476276978"/>
    <s v="Art Exhibition: Impressionism and Frank Auerbach at Somerset House"/>
    <x v="18"/>
    <x v="17"/>
    <n v="1"/>
    <s v="Early Bird"/>
    <n v="14"/>
    <m/>
    <s v="Daniel"/>
    <s v="Lugg"/>
    <s v="daniel.lugg@yahoo.com"/>
    <m/>
    <s v="GBP"/>
    <n v="22"/>
    <s v="Art Exhibition: Impressionism and Frank Auerbach at Somerset House"/>
    <d v="2024-05-26T00:00:00"/>
    <n v="5"/>
    <n v="0"/>
    <s v="Recurrent Customer"/>
    <m/>
    <n v="1"/>
    <m/>
  </r>
  <r>
    <x v="79"/>
    <n v="447551038700"/>
    <s v="Art Gallery Preview: Heloisa Hariadne @ Twani"/>
    <x v="19"/>
    <x v="18"/>
    <n v="1"/>
    <s v="Nimi VIP"/>
    <n v="0"/>
    <m/>
    <s v="Laure"/>
    <s v="Kroely"/>
    <s v="Laure.kroely@gmail.com"/>
    <m/>
    <s v="GBP"/>
    <n v="23"/>
    <s v="Art Gallery Preview: Heloisa Hariadne @ Twani"/>
    <d v="2024-05-30T00:00:00"/>
    <n v="5"/>
    <n v="0"/>
    <s v="Referral"/>
    <s v="tendulkar.rohini@gmail.com"/>
    <n v="1"/>
    <m/>
  </r>
  <r>
    <x v="15"/>
    <s v="+44 7752 083835"/>
    <s v="Art Gallery Preview: Heloisa Hariadne @ Twani"/>
    <x v="19"/>
    <x v="18"/>
    <n v="1"/>
    <s v="Nimi VIP"/>
    <n v="0"/>
    <m/>
    <s v="Rohini"/>
    <s v="Tendulkar"/>
    <s v="tendulkar.rohini@gmail.com"/>
    <m/>
    <s v="GBP"/>
    <n v="23"/>
    <s v="Art Gallery Preview: Heloisa Hariadne @ Twani"/>
    <d v="2024-05-30T00:00:00"/>
    <n v="5"/>
    <n v="0"/>
    <s v="Recurrent Customer"/>
    <m/>
    <n v="1"/>
    <m/>
  </r>
  <r>
    <x v="26"/>
    <s v="+44 7979 647510"/>
    <s v="Art Gallery Preview: Heloisa Hariadne @ Twani"/>
    <x v="19"/>
    <x v="18"/>
    <n v="1"/>
    <s v="Nimi VIP"/>
    <n v="0"/>
    <m/>
    <s v="Daniela"/>
    <s v="Jones"/>
    <s v="jones_daniela@yahoo.co.uk"/>
    <m/>
    <s v="GBP"/>
    <n v="23"/>
    <s v="Art Gallery Preview: Heloisa Hariadne @ Twani"/>
    <d v="2024-05-30T00:00:00"/>
    <n v="5"/>
    <n v="0"/>
    <s v="Recurrent Customer"/>
    <m/>
    <n v="1"/>
    <m/>
  </r>
  <r>
    <x v="8"/>
    <s v="+44 7476 276978"/>
    <s v="Art Gallery Preview: Heloisa Hariadne @ Twani"/>
    <x v="19"/>
    <x v="18"/>
    <n v="1"/>
    <s v="Nimi VIP"/>
    <n v="0"/>
    <m/>
    <s v="Daniel"/>
    <s v="Lugg"/>
    <s v="daniel.lugg@yahoo.com"/>
    <m/>
    <s v="GBP"/>
    <n v="23"/>
    <s v="Art Gallery Preview: Heloisa Hariadne @ Twani"/>
    <d v="2024-05-30T00:00:00"/>
    <n v="5"/>
    <n v="0"/>
    <s v="Recurrent Customer"/>
    <m/>
    <n v="1"/>
    <m/>
  </r>
  <r>
    <x v="29"/>
    <s v="+44 7525 006790"/>
    <s v="Art Gallery Preview: Heloisa Hariadne @ Twani"/>
    <x v="19"/>
    <x v="18"/>
    <n v="1"/>
    <s v="Nimi VIP"/>
    <n v="0"/>
    <m/>
    <s v="Eoghan"/>
    <s v="Naughton"/>
    <s v="eoghannaughton@hotmail.com"/>
    <m/>
    <s v="GBP"/>
    <n v="23"/>
    <s v="Art Gallery Preview: Heloisa Hariadne @ Twani"/>
    <d v="2024-05-30T00:00:00"/>
    <n v="5"/>
    <n v="0"/>
    <s v="Recurrent Customer"/>
    <m/>
    <n v="1"/>
    <m/>
  </r>
  <r>
    <x v="11"/>
    <s v="+44 7739 139930"/>
    <s v="Art Gallery Preview: Heloisa Hariadne @ Twani"/>
    <x v="19"/>
    <x v="18"/>
    <n v="1"/>
    <s v="Nimi VIP"/>
    <n v="0"/>
    <m/>
    <s v="Claire"/>
    <s v="Couchman"/>
    <s v="Clairelouisecouchman@hotmail.com"/>
    <m/>
    <s v="GBP"/>
    <n v="23"/>
    <s v="Art Gallery Preview: Heloisa Hariadne @ Twani"/>
    <d v="2024-05-30T00:00:00"/>
    <n v="5"/>
    <n v="0"/>
    <s v="Recurrent Customer"/>
    <m/>
    <n v="1"/>
    <m/>
  </r>
  <r>
    <x v="44"/>
    <s v="+44 7925 774705"/>
    <s v="Art Gallery Preview: Heloisa Hariadne @ Twani"/>
    <x v="19"/>
    <x v="18"/>
    <n v="1"/>
    <s v="Nimi VIP"/>
    <n v="0"/>
    <m/>
    <s v="Shay"/>
    <s v="Steele"/>
    <s v="shaysteele2017@gmail.com"/>
    <m/>
    <s v="GBP"/>
    <n v="23"/>
    <s v="Art Gallery Preview: Heloisa Hariadne @ Twani"/>
    <d v="2024-05-30T00:00:00"/>
    <n v="5"/>
    <n v="0"/>
    <s v="Recurrent Customer"/>
    <m/>
    <n v="1"/>
    <m/>
  </r>
  <r>
    <x v="76"/>
    <s v="+44 7841 262698"/>
    <s v="Art Gallery Preview: Heloisa Hariadne @ Twani"/>
    <x v="19"/>
    <x v="18"/>
    <n v="1"/>
    <s v="Nimi VIP"/>
    <n v="0"/>
    <m/>
    <s v="Gil"/>
    <s v="K"/>
    <s v="gilka5@hotmail.com"/>
    <m/>
    <s v="GBP"/>
    <n v="23"/>
    <s v="Art Gallery Preview: Heloisa Hariadne @ Twani"/>
    <d v="2024-05-30T00:00:00"/>
    <n v="5"/>
    <n v="0"/>
    <s v="Recurrent Customer"/>
    <m/>
    <n v="1"/>
    <m/>
  </r>
  <r>
    <x v="80"/>
    <n v="447536484874"/>
    <s v="Art Scavenger Hunt in Mayfair @ London Gallery Weekend"/>
    <x v="20"/>
    <x v="19"/>
    <n v="1"/>
    <s v="Early Bird"/>
    <n v="15"/>
    <m/>
    <s v="Andrew"/>
    <s v="Ikonnikov"/>
    <s v="andrew.restlesspanda@gmail.com"/>
    <s v="WhatsApp"/>
    <s v="GBP"/>
    <n v="18"/>
    <s v="Art Scavenger Hunt in Mayfair @ London Gallery Weekend"/>
    <d v="2024-06-02T00:00:00"/>
    <n v="6"/>
    <s v="WhatsApp"/>
    <s v="Recurrent Customer"/>
    <m/>
    <n v="4"/>
    <m/>
  </r>
  <r>
    <x v="28"/>
    <s v="+44 7871 606482"/>
    <s v="Art Gallery Preview: Heloisa Hariadne @ Twani"/>
    <x v="19"/>
    <x v="18"/>
    <n v="1"/>
    <s v="Nimi VIP"/>
    <n v="0"/>
    <m/>
    <s v="Sara"/>
    <s v="Khan"/>
    <s v="khan.saretta@gmail.com"/>
    <m/>
    <s v="GBP"/>
    <n v="23"/>
    <s v="Art Gallery Preview: Heloisa Hariadne @ Twani"/>
    <d v="2024-05-30T00:00:00"/>
    <n v="5"/>
    <n v="0"/>
    <s v="Recurrent Customer"/>
    <m/>
    <n v="1"/>
    <m/>
  </r>
  <r>
    <x v="11"/>
    <s v="+44 7739 139930"/>
    <s v="Art Scavenger Hunt in Mayfair @ London Gallery Weekend"/>
    <x v="20"/>
    <x v="19"/>
    <n v="1"/>
    <s v="Early Bird"/>
    <n v="15"/>
    <m/>
    <s v="Claire"/>
    <s v="Couchman"/>
    <s v="Clairelouisecouchman@hotmail.com"/>
    <m/>
    <s v="GBP"/>
    <n v="18"/>
    <s v="Art Scavenger Hunt in Mayfair @ London Gallery Weekend"/>
    <d v="2024-06-02T00:00:00"/>
    <n v="6"/>
    <n v="0"/>
    <s v="Recurrent Customer"/>
    <m/>
    <n v="4"/>
    <m/>
  </r>
  <r>
    <x v="81"/>
    <s v="+44 7931 309501"/>
    <s v="Art Scavenger Hunt in Mayfair @ London Gallery Weekend"/>
    <x v="20"/>
    <x v="19"/>
    <n v="1"/>
    <s v="Early Bird"/>
    <n v="15"/>
    <m/>
    <s v="Wil"/>
    <s v="Akanno"/>
    <s v="wil_akanno@hotmail.com"/>
    <m/>
    <s v="GBP"/>
    <n v="18"/>
    <s v="Art Scavenger Hunt in Mayfair @ London Gallery Weekend"/>
    <d v="2024-06-02T00:00:00"/>
    <n v="6"/>
    <n v="0"/>
    <s v="Recurrent Customer"/>
    <m/>
    <n v="4"/>
    <m/>
  </r>
  <r>
    <x v="78"/>
    <s v="+44 7939 929263"/>
    <s v="Art Scavenger Hunt in Mayfair @ London Gallery Weekend"/>
    <x v="20"/>
    <x v="19"/>
    <n v="1"/>
    <s v="Early Bird"/>
    <n v="15"/>
    <m/>
    <s v="Celia"/>
    <s v="Sattamino"/>
    <s v="celia.sattamino@gmail.com"/>
    <s v="WhatsApp"/>
    <s v="GBP"/>
    <n v="18"/>
    <s v="Art Scavenger Hunt in Mayfair @ London Gallery Weekend"/>
    <d v="2024-06-02T00:00:00"/>
    <n v="6"/>
    <s v="WhatsApp"/>
    <s v="Recurrent Customer"/>
    <m/>
    <n v="4"/>
    <m/>
  </r>
  <r>
    <x v="18"/>
    <s v="+44 7783 421941"/>
    <s v="Art Scavenger Hunt in Mayfair @ London Gallery Weekend"/>
    <x v="20"/>
    <x v="19"/>
    <n v="1"/>
    <s v="Early Bird"/>
    <n v="15"/>
    <m/>
    <s v="Monique"/>
    <s v="Blemur"/>
    <s v="monique.blemur@gmail.com"/>
    <m/>
    <s v="GBP"/>
    <n v="18"/>
    <s v="Art Scavenger Hunt in Mayfair @ London Gallery Weekend"/>
    <d v="2024-06-02T00:00:00"/>
    <n v="6"/>
    <n v="0"/>
    <s v="Recurrent Customer"/>
    <m/>
    <n v="4"/>
    <m/>
  </r>
  <r>
    <x v="8"/>
    <s v="+44 7476 276978"/>
    <s v="Art Scavenger Hunt in Mayfair @ London Gallery Weekend"/>
    <x v="20"/>
    <x v="19"/>
    <n v="1"/>
    <s v="Early Bird"/>
    <n v="15"/>
    <m/>
    <s v="Daniel"/>
    <s v="Lugg"/>
    <s v="daniel.lugg@yahoo.com"/>
    <m/>
    <s v="GBP"/>
    <n v="18"/>
    <s v="Art Scavenger Hunt in Mayfair @ London Gallery Weekend"/>
    <d v="2024-06-02T00:00:00"/>
    <n v="6"/>
    <n v="0"/>
    <s v="Recurrent Customer"/>
    <m/>
    <n v="4"/>
    <m/>
  </r>
  <r>
    <x v="15"/>
    <s v="+44 7752 083835"/>
    <s v="Art Scavenger Hunt in Mayfair @ London Gallery Weekend"/>
    <x v="20"/>
    <x v="19"/>
    <n v="1"/>
    <s v="Early Bird"/>
    <n v="15"/>
    <m/>
    <s v="Rohini"/>
    <s v="Tendulkar"/>
    <s v="tendulkar.rohini@gmail.com"/>
    <m/>
    <s v="GBP"/>
    <n v="18"/>
    <s v="Art Scavenger Hunt in Mayfair @ London Gallery Weekend"/>
    <d v="2024-06-02T00:00:00"/>
    <n v="6"/>
    <n v="0"/>
    <s v="Recurrent Customer"/>
    <m/>
    <n v="4"/>
    <m/>
  </r>
  <r>
    <x v="16"/>
    <s v="+44 7846 232630"/>
    <s v="Art Scavenger Hunt in Mayfair @ London Gallery Weekend"/>
    <x v="20"/>
    <x v="19"/>
    <n v="1"/>
    <s v="Early Bird"/>
    <n v="15"/>
    <m/>
    <s v="Tanvi"/>
    <s v="Sethi"/>
    <s v="sethi.tanvi@gmail.com"/>
    <m/>
    <s v="GBP"/>
    <n v="18"/>
    <s v="Art Scavenger Hunt in Mayfair @ London Gallery Weekend"/>
    <d v="2024-06-02T00:00:00"/>
    <n v="6"/>
    <n v="0"/>
    <s v="Recurrent Customer"/>
    <s v="tendulkar.rohini@gmail.com"/>
    <n v="4"/>
    <m/>
  </r>
  <r>
    <x v="82"/>
    <n v="447545450201"/>
    <s v="Art Scavenger Hunt in Mayfair @ London Gallery Weekend"/>
    <x v="20"/>
    <x v="19"/>
    <n v="1"/>
    <s v="Early Bird"/>
    <n v="15"/>
    <m/>
    <s v="Emily"/>
    <s v="White"/>
    <s v="C.Emily.white@gmail.com"/>
    <m/>
    <s v="GBP"/>
    <n v="18"/>
    <s v="Art Scavenger Hunt in Mayfair @ London Gallery Weekend"/>
    <d v="2024-06-02T00:00:00"/>
    <n v="6"/>
    <n v="0"/>
    <s v="Recurrent Customer"/>
    <s v="tendulkar.rohini@gmail.com"/>
    <n v="4"/>
    <m/>
  </r>
  <r>
    <x v="83"/>
    <s v="+44 7564 569465"/>
    <s v="Art Gallery Preview: Heloisa Hariadne @ Twani"/>
    <x v="19"/>
    <x v="18"/>
    <n v="1"/>
    <s v="Nimi VIP"/>
    <n v="0"/>
    <m/>
    <s v="Sabina"/>
    <s v="Khaytbaeva"/>
    <s v="sabinahaytbaeva@gmail.com"/>
    <m/>
    <s v="GBP"/>
    <n v="23"/>
    <s v="Art Gallery Preview: Heloisa Hariadne @ Twani"/>
    <d v="2024-05-30T00:00:00"/>
    <n v="5"/>
    <n v="0"/>
    <s v="Recurrent Customer"/>
    <m/>
    <n v="1"/>
    <m/>
  </r>
  <r>
    <x v="84"/>
    <s v="+44 7488 410909"/>
    <s v="Art Gallery Preview: Heloisa Hariadne @ Twani"/>
    <x v="19"/>
    <x v="18"/>
    <n v="1"/>
    <s v="Nimi VIP"/>
    <n v="0"/>
    <m/>
    <s v="Natali"/>
    <s v="Okolie"/>
    <s v="Nataliokolie@gmail.com"/>
    <m/>
    <s v="GBP"/>
    <n v="23"/>
    <s v="Art Gallery Preview: Heloisa Hariadne @ Twani"/>
    <d v="2024-05-30T00:00:00"/>
    <n v="5"/>
    <n v="0"/>
    <s v="Recurrent Customer"/>
    <m/>
    <n v="1"/>
    <m/>
  </r>
  <r>
    <x v="85"/>
    <s v="+44 7875 521439"/>
    <s v="Art Gallery Preview: Heloisa Hariadne @ Twani"/>
    <x v="19"/>
    <x v="18"/>
    <n v="1"/>
    <s v="Nimi VIP"/>
    <n v="0"/>
    <m/>
    <s v="Ejike"/>
    <s v="Onuchukwu"/>
    <s v="ejike.onuchukwu@gmail.com"/>
    <m/>
    <s v="GBP"/>
    <n v="23"/>
    <s v="Art Gallery Preview: Heloisa Hariadne @ Twani"/>
    <d v="2024-05-30T00:00:00"/>
    <n v="5"/>
    <n v="0"/>
    <s v="Recurrent Customer"/>
    <m/>
    <n v="1"/>
    <m/>
  </r>
  <r>
    <x v="86"/>
    <s v="+44 7423 066994"/>
    <s v="Art Gallery Preview: Heloisa Hariadne @ Twani"/>
    <x v="19"/>
    <x v="18"/>
    <n v="1"/>
    <s v="Nimi VIP"/>
    <n v="0"/>
    <m/>
    <s v="Ken"/>
    <s v="Nyar"/>
    <s v="pelconsultingwork@gmail.com"/>
    <m/>
    <s v="GBP"/>
    <n v="23"/>
    <s v="Art Gallery Preview: Heloisa Hariadne @ Twani"/>
    <d v="2024-05-30T00:00:00"/>
    <n v="5"/>
    <n v="0"/>
    <s v="Recurrent Customer"/>
    <m/>
    <n v="1"/>
    <m/>
  </r>
  <r>
    <x v="52"/>
    <s v="+44 7817 234925"/>
    <s v="Art Gallery Preview: Heloisa Hariadne @ Twani"/>
    <x v="19"/>
    <x v="18"/>
    <n v="1"/>
    <s v="Nimi VIP"/>
    <n v="0"/>
    <m/>
    <s v="Matthew"/>
    <s v="Watts"/>
    <s v="maestromattheww@yahoo.co.uk"/>
    <m/>
    <s v="GBP"/>
    <n v="23"/>
    <s v="Art Gallery Preview: Heloisa Hariadne @ Twani"/>
    <d v="2024-05-30T00:00:00"/>
    <n v="5"/>
    <n v="0"/>
    <s v="Recurrent Customer"/>
    <m/>
    <n v="1"/>
    <m/>
  </r>
  <r>
    <x v="87"/>
    <s v="+44 07707665074"/>
    <s v="Art Gallery Preview: Heloisa Hariadne @ Twani"/>
    <x v="19"/>
    <x v="18"/>
    <n v="1"/>
    <s v="Nimi VIP"/>
    <n v="0"/>
    <m/>
    <s v="David"/>
    <s v="Flatscher"/>
    <s v="david.flatscher@gmail.com"/>
    <m/>
    <s v="GBP"/>
    <n v="23"/>
    <s v="Art Gallery Preview: Heloisa Hariadne @ Twani"/>
    <d v="2024-05-30T00:00:00"/>
    <n v="5"/>
    <n v="0"/>
    <s v="Recurrent Customer"/>
    <m/>
    <n v="1"/>
    <m/>
  </r>
  <r>
    <x v="88"/>
    <s v="+44 7443 108741"/>
    <s v="Art Gallery Preview: Heloisa Hariadne @ Twani"/>
    <x v="19"/>
    <x v="18"/>
    <n v="1"/>
    <s v="Nimi VIP"/>
    <n v="0"/>
    <m/>
    <s v="Alina"/>
    <s v="Flatscher"/>
    <s v="alina.flatscher@gmail.com"/>
    <m/>
    <s v="GBP"/>
    <n v="23"/>
    <s v="Art Gallery Preview: Heloisa Hariadne @ Twani"/>
    <d v="2024-05-30T00:00:00"/>
    <n v="5"/>
    <n v="0"/>
    <s v="Recurrent Customer"/>
    <m/>
    <n v="1"/>
    <m/>
  </r>
  <r>
    <x v="89"/>
    <n v="7846069814"/>
    <s v="Art Scavenger Hunt in Mayfair @ London Gallery Weekend"/>
    <x v="20"/>
    <x v="19"/>
    <n v="1"/>
    <s v="Early Bird"/>
    <n v="15"/>
    <m/>
    <s v="JUAN PABLO"/>
    <s v="DE LA TORRE"/>
    <s v="juanpablo.dltc@gmail.com"/>
    <s v="WhatsApp"/>
    <s v="GBP"/>
    <n v="18"/>
    <s v="Art Scavenger Hunt in Mayfair @ London Gallery Weekend"/>
    <d v="2024-06-02T00:00:00"/>
    <n v="6"/>
    <s v="WhatsApp"/>
    <s v="Recurrent Customer"/>
    <s v="sethi.tanvi@gmail.com"/>
    <n v="4"/>
    <m/>
  </r>
  <r>
    <x v="90"/>
    <n v="7774734706"/>
    <s v="Art Scavenger Hunt in Mayfair @ London Gallery Weekend"/>
    <x v="20"/>
    <x v="19"/>
    <n v="1"/>
    <s v="Early Bird"/>
    <n v="7.5"/>
    <s v="CULTURECOLLECTIVE"/>
    <s v="Daniel"/>
    <s v="Dmello"/>
    <s v="dmello.daniel@gmail.com"/>
    <s v="CC"/>
    <s v="GBP"/>
    <n v="18"/>
    <s v="Art Scavenger Hunt in Mayfair @ London Gallery Weekend"/>
    <d v="2024-06-02T00:00:00"/>
    <n v="6"/>
    <s v="CC"/>
    <s v="Recurrent Customer"/>
    <m/>
    <n v="4"/>
    <m/>
  </r>
  <r>
    <x v="91"/>
    <n v="7300421972"/>
    <s v="Art Scavenger Hunt in Mayfair @ London Gallery Weekend"/>
    <x v="20"/>
    <x v="19"/>
    <n v="1"/>
    <s v="Early Bird"/>
    <n v="7.5"/>
    <s v="CULTURECOLLECTIVE"/>
    <s v="Bev"/>
    <s v="McCrory"/>
    <s v="beverly.mccrory@gmail.com"/>
    <s v="echckt"/>
    <s v="GBP"/>
    <n v="18"/>
    <s v="Art Scavenger Hunt in Mayfair @ London Gallery Weekend"/>
    <d v="2024-06-02T00:00:00"/>
    <n v="6"/>
    <s v="echckt"/>
    <s v="Recurrent Customer"/>
    <m/>
    <n v="4"/>
    <m/>
  </r>
  <r>
    <x v="92"/>
    <n v="7300421968"/>
    <s v="Art Scavenger Hunt in Mayfair @ London Gallery Weekend"/>
    <x v="20"/>
    <x v="19"/>
    <n v="1"/>
    <s v="Early Bird"/>
    <n v="7.5"/>
    <s v="CULTURECOLLECTIVE"/>
    <s v="Matt"/>
    <s v="Hoza"/>
    <s v="matthew.hoza@gmail.com"/>
    <s v="echckt"/>
    <s v="GBP"/>
    <n v="18"/>
    <s v="Art Scavenger Hunt in Mayfair @ London Gallery Weekend"/>
    <d v="2024-06-02T00:00:00"/>
    <n v="6"/>
    <s v="echckt"/>
    <s v="Recurrent Customer"/>
    <m/>
    <n v="4"/>
    <m/>
  </r>
  <r>
    <x v="93"/>
    <s v="+44 7301 979131"/>
    <s v="Art Scavenger Hunt in Mayfair @ London Gallery Weekend"/>
    <x v="20"/>
    <x v="19"/>
    <n v="1"/>
    <s v="Early Bird"/>
    <n v="15"/>
    <m/>
    <s v="Simon"/>
    <s v="Bourke"/>
    <s v="simon.brk@gmail.com"/>
    <s v="oddtdtdirect"/>
    <s v="GBP"/>
    <n v="18"/>
    <s v="Art Scavenger Hunt in Mayfair @ London Gallery Weekend"/>
    <d v="2024-06-02T00:00:00"/>
    <n v="6"/>
    <s v="oddtdtdirect"/>
    <s v="Recurrent Customer"/>
    <m/>
    <n v="4"/>
    <m/>
  </r>
  <r>
    <x v="94"/>
    <s v="+44 7818 313299"/>
    <s v="Art Gallery Preview: Heloisa Hariadne @ Twani"/>
    <x v="19"/>
    <x v="18"/>
    <n v="1"/>
    <s v="Nimi VIP"/>
    <n v="0"/>
    <m/>
    <s v="Donna"/>
    <s v="Achara"/>
    <s v="imanbudget@yahoo.co.uk"/>
    <m/>
    <s v="GBP"/>
    <n v="23"/>
    <s v="Art Gallery Preview: Heloisa Hariadne @ Twani"/>
    <d v="2024-05-30T00:00:00"/>
    <n v="5"/>
    <n v="0"/>
    <s v="Recurrent Customer"/>
    <m/>
    <n v="1"/>
    <m/>
  </r>
  <r>
    <x v="7"/>
    <s v="+44 7717 205862"/>
    <s v="Art Scavenger Hunt in Mayfair @ London Gallery Weekend"/>
    <x v="20"/>
    <x v="19"/>
    <n v="1"/>
    <s v="Early Bird"/>
    <n v="15"/>
    <m/>
    <s v="Robert"/>
    <s v="Chapman"/>
    <s v="roberthchapman@hotmail.com"/>
    <m/>
    <s v="GBP"/>
    <n v="18"/>
    <s v="Art Scavenger Hunt in Mayfair @ London Gallery Weekend"/>
    <d v="2024-06-02T00:00:00"/>
    <n v="6"/>
    <n v="0"/>
    <s v="Recurrent Customer"/>
    <m/>
    <n v="4"/>
    <m/>
  </r>
  <r>
    <x v="95"/>
    <s v="+44 7949 109489"/>
    <s v="Art Gallery Preview: Heloisa Hariadne @ Twani"/>
    <x v="19"/>
    <x v="18"/>
    <n v="1"/>
    <s v="Nimi VIP"/>
    <n v="0"/>
    <m/>
    <s v="Richard"/>
    <s v="Segal"/>
    <s v="Richard_segal@yahoo.com"/>
    <m/>
    <s v="GBP"/>
    <n v="23"/>
    <s v="Art Gallery Preview: Heloisa Hariadne @ Twani"/>
    <d v="2024-05-30T00:00:00"/>
    <n v="5"/>
    <n v="0"/>
    <s v="Recurrent Customer"/>
    <s v="sethi.tanvi@gmail.com"/>
    <n v="1"/>
    <m/>
  </r>
  <r>
    <x v="96"/>
    <n v="7873956356"/>
    <s v="Art Scavenger Hunt in Mayfair @ London Gallery Weekend"/>
    <x v="20"/>
    <x v="19"/>
    <n v="1"/>
    <s v="Early Bird"/>
    <n v="15"/>
    <m/>
    <s v="Anisha"/>
    <s v="Sood"/>
    <s v="anishasood26@gmail.com"/>
    <s v="WhatsApp"/>
    <s v="GBP"/>
    <n v="18"/>
    <s v="Art Scavenger Hunt in Mayfair @ London Gallery Weekend"/>
    <d v="2024-06-02T00:00:00"/>
    <n v="6"/>
    <s v="WhatsApp"/>
    <s v="Recurrent Customer"/>
    <m/>
    <n v="4"/>
    <m/>
  </r>
  <r>
    <x v="75"/>
    <s v="+44 7518 906811"/>
    <s v="Art Scavenger Hunt in Mayfair @ London Gallery Weekend"/>
    <x v="20"/>
    <x v="19"/>
    <n v="1"/>
    <s v="Early Bird"/>
    <n v="15"/>
    <m/>
    <s v="Maggie"/>
    <s v="Manolova"/>
    <s v="mm.manolova@yahoo.com"/>
    <m/>
    <s v="GBP"/>
    <n v="18"/>
    <s v="Art Scavenger Hunt in Mayfair @ London Gallery Weekend"/>
    <d v="2024-06-02T00:00:00"/>
    <n v="6"/>
    <n v="0"/>
    <s v="Recurrent Customer"/>
    <m/>
    <n v="4"/>
    <m/>
  </r>
  <r>
    <x v="97"/>
    <n v="0"/>
    <s v="Art Scavenger Hunt in Mayfair @ London Gallery Weekend"/>
    <x v="20"/>
    <x v="19"/>
    <n v="1"/>
    <s v="General Admission"/>
    <n v="30"/>
    <m/>
    <s v="Corneliu"/>
    <s v="Civig"/>
    <s v="Corneliu.civig@gmail.com"/>
    <m/>
    <s v="GBP"/>
    <n v="18"/>
    <s v="Art Scavenger Hunt in Mayfair @ London Gallery Weekend"/>
    <d v="2024-06-02T00:00:00"/>
    <n v="6"/>
    <n v="0"/>
    <s v="Recurrent Customer"/>
    <s v="sethi.tanvi@gmail.com"/>
    <n v="4"/>
    <m/>
  </r>
  <r>
    <x v="33"/>
    <n v="7877845663"/>
    <s v="Art Scavenger Hunt in Mayfair @ London Gallery Weekend"/>
    <x v="20"/>
    <x v="19"/>
    <n v="1"/>
    <s v="Early Bird"/>
    <n v="15"/>
    <m/>
    <s v="Claudia"/>
    <s v="Claudia"/>
    <s v="claudiapaicu@yahoo.com"/>
    <s v="oddtdtcreator"/>
    <s v="GBP"/>
    <n v="18"/>
    <s v="Art Scavenger Hunt in Mayfair @ London Gallery Weekend"/>
    <d v="2024-06-02T00:00:00"/>
    <n v="6"/>
    <s v="oddtdtcreator"/>
    <s v="Recurrent Customer"/>
    <m/>
    <n v="4"/>
    <m/>
  </r>
  <r>
    <x v="44"/>
    <s v="+44 7925 774705"/>
    <s v="Art Scavenger Hunt in Mayfair @ London Gallery Weekend"/>
    <x v="20"/>
    <x v="19"/>
    <n v="1"/>
    <s v="Early Bird"/>
    <n v="15"/>
    <m/>
    <s v="Shay"/>
    <s v="Steele"/>
    <s v="shaysteele2017@gmail.com"/>
    <m/>
    <s v="GBP"/>
    <n v="18"/>
    <s v="Art Scavenger Hunt in Mayfair @ London Gallery Weekend"/>
    <d v="2024-06-02T00:00:00"/>
    <n v="6"/>
    <n v="0"/>
    <s v="Recurrent Customer"/>
    <m/>
    <n v="4"/>
    <m/>
  </r>
  <r>
    <x v="76"/>
    <n v="7841262698"/>
    <s v="Hidden Gems: Art Gallery Stroll in South London (Bermondsey)"/>
    <x v="21"/>
    <x v="20"/>
    <n v="1"/>
    <s v="Early Bird"/>
    <n v="15"/>
    <m/>
    <s v="Gil"/>
    <s v="K"/>
    <s v="gilka5@hotmail.com"/>
    <s v="WhatsApp"/>
    <s v="GBP"/>
    <n v="24"/>
    <s v="Hidden Gems: Art Gallery Stroll in South London (Bermondsey)"/>
    <d v="2024-06-08T00:00:00"/>
    <n v="6"/>
    <s v="WhatsApp"/>
    <s v="Recurrent Customer"/>
    <m/>
    <n v="4"/>
    <m/>
  </r>
  <r>
    <x v="98"/>
    <n v="7463715472"/>
    <s v="Hidden Gems: Art Gallery Stroll in South London (Bermondsey)"/>
    <x v="21"/>
    <x v="20"/>
    <n v="1"/>
    <s v="Early Bird"/>
    <n v="15"/>
    <m/>
    <s v="Ella"/>
    <s v="Ngwodo"/>
    <s v="ellangwodo@gmail.com"/>
    <s v="WhatsApp"/>
    <s v="GBP"/>
    <n v="24"/>
    <s v="Hidden Gems: Art Gallery Stroll in South London (Bermondsey)"/>
    <d v="2024-06-08T00:00:00"/>
    <n v="6"/>
    <s v="WhatsApp"/>
    <s v="Recurrent Customer"/>
    <m/>
    <n v="4"/>
    <m/>
  </r>
  <r>
    <x v="99"/>
    <n v="7926962119"/>
    <s v="Hidden Gems: Art Gallery Stroll in South London (Bermondsey)"/>
    <x v="21"/>
    <x v="20"/>
    <n v="1"/>
    <s v="General Admission"/>
    <n v="0"/>
    <m/>
    <s v="Erin"/>
    <s v="Squires"/>
    <s v="e_squires@hotmail.com"/>
    <s v="AV"/>
    <s v="GBP"/>
    <n v="24"/>
    <s v="Hidden Gems: Art Gallery Stroll in South London (Bermondsey)"/>
    <d v="2024-06-08T00:00:00"/>
    <n v="6"/>
    <s v="AV"/>
    <s v="Recurrent Customer"/>
    <m/>
    <n v="4"/>
    <m/>
  </r>
  <r>
    <x v="44"/>
    <m/>
    <s v="Members’ Night at Tate Britain"/>
    <x v="22"/>
    <x v="21"/>
    <n v="1"/>
    <s v="Nimi Member"/>
    <n v="0"/>
    <m/>
    <s v="Shay"/>
    <s v="Steele"/>
    <s v="shaysteele2017@gmail.com"/>
    <m/>
    <s v="GBP"/>
    <n v="28"/>
    <s v="Members’ Night at Tate Britain"/>
    <d v="2024-06-14T00:00:00"/>
    <n v="6"/>
    <n v="0"/>
    <s v="Recurrent Customer"/>
    <m/>
    <n v="1"/>
    <m/>
  </r>
  <r>
    <x v="16"/>
    <m/>
    <s v="Members’ Night at Tate Britain"/>
    <x v="22"/>
    <x v="21"/>
    <n v="1"/>
    <s v="Nimi Member"/>
    <n v="0"/>
    <m/>
    <s v="Tanvi"/>
    <s v="Sethi"/>
    <s v="sethi.tanvi@gmail.com"/>
    <m/>
    <s v="GBP"/>
    <n v="28"/>
    <s v="Members’ Night at Tate Britain"/>
    <d v="2024-06-14T00:00:00"/>
    <n v="6"/>
    <n v="0"/>
    <s v="Recurrent Customer"/>
    <m/>
    <n v="1"/>
    <m/>
  </r>
  <r>
    <x v="11"/>
    <m/>
    <s v="Members’ Night at Tate Britain"/>
    <x v="22"/>
    <x v="21"/>
    <n v="1"/>
    <s v="Nimi Member"/>
    <n v="0"/>
    <m/>
    <s v="Claire"/>
    <s v="Couchman"/>
    <s v="Clairelouisecouchman@hotmail.com"/>
    <m/>
    <s v="GBP"/>
    <n v="28"/>
    <s v="Members’ Night at Tate Britain"/>
    <d v="2024-06-14T00:00:00"/>
    <n v="6"/>
    <n v="0"/>
    <s v="Recurrent Customer"/>
    <m/>
    <n v="1"/>
    <m/>
  </r>
  <r>
    <x v="91"/>
    <n v="7300421972"/>
    <s v="Hidden Gems: Art Gallery Stroll in South London (Bermondsey)"/>
    <x v="21"/>
    <x v="20"/>
    <n v="1"/>
    <s v="Early Bird"/>
    <n v="15"/>
    <m/>
    <s v="Bev"/>
    <s v="McCrory"/>
    <s v="beverly.mccrory@gmail.com"/>
    <s v="ebesessearch"/>
    <s v="GBP"/>
    <n v="24"/>
    <s v="Hidden Gems: Art Gallery Stroll in South London (Bermondsey)"/>
    <d v="2024-06-08T00:00:00"/>
    <n v="6"/>
    <s v="ebesessearch"/>
    <s v="Recurrent Customer"/>
    <m/>
    <n v="4"/>
    <m/>
  </r>
  <r>
    <x v="92"/>
    <n v="7300421972"/>
    <s v="Hidden Gems: Art Gallery Stroll in South London (Bermondsey)"/>
    <x v="21"/>
    <x v="20"/>
    <n v="1"/>
    <s v="Early Bird"/>
    <n v="15"/>
    <m/>
    <s v="Matt"/>
    <s v="Hoza"/>
    <s v="matthew.hoza@gmail.com"/>
    <s v="ebesessearch"/>
    <s v="GBP"/>
    <n v="24"/>
    <s v="Hidden Gems: Art Gallery Stroll in South London (Bermondsey)"/>
    <d v="2024-06-08T00:00:00"/>
    <n v="6"/>
    <s v="ebesessearch"/>
    <s v="Recurrent Customer"/>
    <m/>
    <n v="4"/>
    <m/>
  </r>
  <r>
    <x v="7"/>
    <s v="+44 7717 205862"/>
    <s v="Hidden Gems: Art Gallery Stroll in South London (Bermondsey)"/>
    <x v="21"/>
    <x v="20"/>
    <n v="1"/>
    <s v="Early Bird"/>
    <n v="15"/>
    <m/>
    <s v="Robert"/>
    <s v="Chapman"/>
    <s v="roberthchapman@hotmail.com"/>
    <m/>
    <s v="GBP"/>
    <n v="24"/>
    <s v="Hidden Gems: Art Gallery Stroll in South London (Bermondsey)"/>
    <d v="2024-06-08T00:00:00"/>
    <n v="6"/>
    <n v="0"/>
    <s v="Recurrent Customer"/>
    <m/>
    <n v="4"/>
    <m/>
  </r>
  <r>
    <x v="65"/>
    <m/>
    <s v="Members’ Night at Tate Britain"/>
    <x v="22"/>
    <x v="21"/>
    <n v="1"/>
    <s v="Nimi Member"/>
    <n v="0"/>
    <m/>
    <s v="Ioana"/>
    <s v="Brezeanu"/>
    <s v="io.brezeanu@gmail.com"/>
    <m/>
    <s v="GBP"/>
    <n v="28"/>
    <s v="Members’ Night at Tate Britain"/>
    <d v="2024-06-14T00:00:00"/>
    <n v="6"/>
    <n v="0"/>
    <s v="Recurrent Customer"/>
    <m/>
    <n v="1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e v="#N/A"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n v="0"/>
    <d v="1899-12-30T00:00:00"/>
    <n v="1"/>
    <n v="0"/>
    <s v="Recurrent Customer"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n v="0"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  <r>
    <x v="100"/>
    <m/>
    <m/>
    <x v="23"/>
    <x v="22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B8500-316E-2748-8FEE-FFBCD3A66E3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27" firstHeaderRow="1" firstDataRow="1" firstDataCol="1"/>
  <pivotFields count="25">
    <pivotField showAll="0"/>
    <pivotField showAll="0"/>
    <pivotField showAll="0"/>
    <pivotField axis="axisRow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13"/>
        <item x="14"/>
        <item x="17"/>
        <item x="18"/>
        <item x="20"/>
        <item x="16"/>
        <item x="15"/>
        <item x="19"/>
        <item x="21"/>
        <item x="22"/>
        <item x="23"/>
      </items>
    </pivotField>
    <pivotField axis="axisRow" showAll="0">
      <items count="24">
        <item x="0"/>
        <item x="1"/>
        <item x="2"/>
        <item x="3"/>
        <item x="4"/>
        <item x="5"/>
        <item x="6"/>
        <item x="8"/>
        <item x="7"/>
        <item x="12"/>
        <item x="11"/>
        <item x="9"/>
        <item x="10"/>
        <item x="13"/>
        <item x="14"/>
        <item x="16"/>
        <item x="15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numFmtId="167" showAll="0"/>
    <pivotField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23"/>
    <field x="4"/>
    <field x="3"/>
  </rowFields>
  <rowItems count="24">
    <i>
      <x/>
    </i>
    <i>
      <x v="83"/>
    </i>
    <i>
      <x v="85"/>
    </i>
    <i>
      <x v="90"/>
    </i>
    <i>
      <x v="95"/>
    </i>
    <i>
      <x v="97"/>
    </i>
    <i>
      <x v="102"/>
    </i>
    <i>
      <x v="104"/>
    </i>
    <i>
      <x v="111"/>
    </i>
    <i>
      <x v="112"/>
    </i>
    <i>
      <x v="117"/>
    </i>
    <i>
      <x v="119"/>
    </i>
    <i>
      <x v="123"/>
    </i>
    <i>
      <x v="125"/>
    </i>
    <i>
      <x v="132"/>
    </i>
    <i>
      <x v="139"/>
    </i>
    <i>
      <x v="143"/>
    </i>
    <i>
      <x v="146"/>
    </i>
    <i>
      <x v="147"/>
    </i>
    <i>
      <x v="151"/>
    </i>
    <i>
      <x v="154"/>
    </i>
    <i>
      <x v="160"/>
    </i>
    <i>
      <x v="166"/>
    </i>
    <i t="grand">
      <x/>
    </i>
  </rowItems>
  <colItems count="1">
    <i/>
  </colItems>
  <dataFields count="1">
    <dataField name="Count of Buyer Email" fld="11" subtotal="count" baseField="0" baseItem="0"/>
  </dataFields>
  <formats count="6"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field="23" type="button" dataOnly="0" labelOnly="1" outline="0" axis="axisRow" fieldPosition="0"/>
    </format>
    <format dxfId="4">
      <pivotArea dataOnly="0" labelOnly="1" fieldPosition="0">
        <references count="1">
          <reference field="23" count="23">
            <x v="0"/>
            <x v="83"/>
            <x v="85"/>
            <x v="90"/>
            <x v="95"/>
            <x v="97"/>
            <x v="102"/>
            <x v="104"/>
            <x v="111"/>
            <x v="112"/>
            <x v="117"/>
            <x v="119"/>
            <x v="123"/>
            <x v="125"/>
            <x v="132"/>
            <x v="139"/>
            <x v="143"/>
            <x v="146"/>
            <x v="147"/>
            <x v="151"/>
            <x v="154"/>
            <x v="160"/>
            <x v="166"/>
          </reference>
        </references>
      </pivotArea>
    </format>
    <format dxfId="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F3AC-B0BD-9B48-A5BC-94BEEC0B46A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3:AA136" firstHeaderRow="1" firstDataRow="2" firstDataCol="1"/>
  <pivotFields count="25">
    <pivotField axis="axisRow" showAll="0">
      <items count="104">
        <item x="72"/>
        <item x="1"/>
        <item x="4"/>
        <item x="56"/>
        <item x="88"/>
        <item x="32"/>
        <item x="38"/>
        <item x="80"/>
        <item x="77"/>
        <item x="96"/>
        <item x="48"/>
        <item x="14"/>
        <item x="91"/>
        <item x="64"/>
        <item x="82"/>
        <item x="78"/>
        <item x="11"/>
        <item x="33"/>
        <item x="97"/>
        <item x="39"/>
        <item x="8"/>
        <item x="87"/>
        <item x="55"/>
        <item x="25"/>
        <item x="90"/>
        <item x="99"/>
        <item x="70"/>
        <item x="46"/>
        <item x="85"/>
        <item x="45"/>
        <item x="98"/>
        <item x="29"/>
        <item x="68"/>
        <item x="22"/>
        <item x="59"/>
        <item x="43"/>
        <item x="76"/>
        <item x="35"/>
        <item x="20"/>
        <item x="94"/>
        <item x="65"/>
        <item x="63"/>
        <item x="54"/>
        <item x="36"/>
        <item x="26"/>
        <item x="89"/>
        <item x="53"/>
        <item x="12"/>
        <item x="28"/>
        <item x="51"/>
        <item x="66"/>
        <item x="0"/>
        <item x="79"/>
        <item x="71"/>
        <item x="17"/>
        <item x="2"/>
        <item x="52"/>
        <item x="92"/>
        <item x="75"/>
        <item x="18"/>
        <item x="84"/>
        <item x="27"/>
        <item x="10"/>
        <item x="86"/>
        <item x="50"/>
        <item x="95"/>
        <item x="7"/>
        <item x="37"/>
        <item x="13"/>
        <item x="83"/>
        <item x="34"/>
        <item x="21"/>
        <item x="16"/>
        <item x="44"/>
        <item x="60"/>
        <item x="93"/>
        <item x="24"/>
        <item x="30"/>
        <item x="3"/>
        <item x="6"/>
        <item x="31"/>
        <item x="40"/>
        <item x="74"/>
        <item x="57"/>
        <item x="15"/>
        <item x="62"/>
        <item x="5"/>
        <item x="49"/>
        <item m="1" x="102"/>
        <item x="9"/>
        <item x="81"/>
        <item x="42"/>
        <item x="69"/>
        <item x="58"/>
        <item x="67"/>
        <item x="47"/>
        <item x="41"/>
        <item x="100"/>
        <item m="1" x="101"/>
        <item x="73"/>
        <item x="19"/>
        <item x="23"/>
        <item x="61"/>
        <item t="default"/>
      </items>
    </pivotField>
    <pivotField showAll="0"/>
    <pivotField showAll="0"/>
    <pivotField showAll="0" defaultSubtotal="0"/>
    <pivotField showAll="0">
      <items count="24">
        <item x="0"/>
        <item x="1"/>
        <item x="2"/>
        <item x="3"/>
        <item x="4"/>
        <item x="5"/>
        <item x="6"/>
        <item x="8"/>
        <item x="7"/>
        <item x="12"/>
        <item x="11"/>
        <item x="9"/>
        <item x="10"/>
        <item x="13"/>
        <item x="14"/>
        <item x="16"/>
        <item x="15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numFmtId="167" showAll="0"/>
    <pivotField showAll="0"/>
    <pivotField showAll="0"/>
    <pivotField showAll="0"/>
    <pivotField showAll="0"/>
    <pivotField showAll="0"/>
    <pivotField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2"/>
    </i>
    <i t="grand">
      <x/>
    </i>
  </rowItems>
  <colFields count="1">
    <field x="23"/>
  </colFields>
  <colItems count="24">
    <i>
      <x/>
    </i>
    <i>
      <x v="83"/>
    </i>
    <i>
      <x v="85"/>
    </i>
    <i>
      <x v="90"/>
    </i>
    <i>
      <x v="95"/>
    </i>
    <i>
      <x v="97"/>
    </i>
    <i>
      <x v="102"/>
    </i>
    <i>
      <x v="104"/>
    </i>
    <i>
      <x v="111"/>
    </i>
    <i>
      <x v="112"/>
    </i>
    <i>
      <x v="117"/>
    </i>
    <i>
      <x v="119"/>
    </i>
    <i>
      <x v="123"/>
    </i>
    <i>
      <x v="125"/>
    </i>
    <i>
      <x v="132"/>
    </i>
    <i>
      <x v="139"/>
    </i>
    <i>
      <x v="143"/>
    </i>
    <i>
      <x v="146"/>
    </i>
    <i>
      <x v="147"/>
    </i>
    <i>
      <x v="151"/>
    </i>
    <i>
      <x v="154"/>
    </i>
    <i>
      <x v="160"/>
    </i>
    <i>
      <x v="166"/>
    </i>
    <i t="grand">
      <x/>
    </i>
  </colItems>
  <dataFields count="1">
    <dataField name="Count of Buyer Email" fld="11" subtotal="count" baseField="0" baseItem="0"/>
  </dataFields>
  <formats count="11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3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23" count="23">
            <x v="0"/>
            <x v="83"/>
            <x v="85"/>
            <x v="90"/>
            <x v="95"/>
            <x v="97"/>
            <x v="102"/>
            <x v="104"/>
            <x v="111"/>
            <x v="112"/>
            <x v="117"/>
            <x v="119"/>
            <x v="123"/>
            <x v="125"/>
            <x v="132"/>
            <x v="139"/>
            <x v="143"/>
            <x v="146"/>
            <x v="147"/>
            <x v="151"/>
            <x v="154"/>
            <x v="160"/>
            <x v="166"/>
          </reference>
        </references>
      </pivotArea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fieldPosition="0">
        <references count="1">
          <reference field="0" count="4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</reference>
        </references>
      </pivotArea>
    </format>
    <format dxfId="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4-06-21T21:28:12.47" personId="{A0515248-B460-416F-9EA5-10881E08FE50}" id="{B6B26739-B63C-4726-9D23-8D9B2DDE42E0}">
    <text>I assume the number of visits x Avg. attendees per visit / Avg. number of events per member in the last 3 months (assumed to be 2).
This is a cheat way to ballpark # of unique friends.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64" dT="2024-08-15T23:49:13.82" personId="{37CC79EC-11A9-E944-B761-8752DFD70EBE}" id="{8F9E805A-FC0D-404A-88DA-E0AE69FBBEAA}">
    <text>Members only event</text>
  </threadedComment>
  <threadedComment ref="C270" dT="2024-08-15T23:49:13.82" personId="{37CC79EC-11A9-E944-B761-8752DFD70EBE}" id="{3E577160-7176-F148-A1C5-55506C4B80D0}">
    <text>Members only event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8" dT="2024-08-15T23:04:52.68" personId="{37CC79EC-11A9-E944-B761-8752DFD70EBE}" id="{1F6A1DB6-9061-CB46-8DEE-B7780F24F55E}">
    <text>Ticket booked by Rohini</text>
  </threadedComment>
  <threadedComment ref="C35" dT="2024-08-15T23:04:07.67" personId="{37CC79EC-11A9-E944-B761-8752DFD70EBE}" id="{26DD4CFD-BDA1-1145-A1BB-283C2A114483}">
    <text>Remove one duplicate booking</text>
  </threadedComment>
  <threadedComment ref="C51" dT="2024-08-15T23:04:19.87" personId="{37CC79EC-11A9-E944-B761-8752DFD70EBE}" id="{2EB6B8E1-4886-854E-BC01-8B847A127464}">
    <text>Ticket booked by Samed</text>
  </threadedComment>
  <threadedComment ref="B64" dT="2024-04-15T12:25:02.33" personId="{D055E2D8-6AEA-EA4B-B3FC-C1F46DA06075}" id="{E79DE493-36EC-9B43-9DCF-330A935160BF}">
    <text>@Anh Nguyen apparently we didn’t sign anyone in on eventbrite on this last event. Can you confirm if everyone attended the event so I can update the list?</text>
    <mentions>
      <mention mentionpersonId="{33147329-19C4-114A-87E9-686858BCF773}" mentionId="{4B8F6767-222F-A646-AE44-5AD8E1F1C56B}" startIndex="0" length="11"/>
    </mentions>
  </threadedComment>
  <threadedComment ref="C193" dT="2024-08-15T23:05:20.84" personId="{37CC79EC-11A9-E944-B761-8752DFD70EBE}" id="{BD945E9B-90F8-8F4F-8A51-8100526F6B25}">
    <text>Removed duplicate of 2x Ana name</text>
  </threadedComment>
  <threadedComment ref="C197" dT="2024-08-15T23:07:24.12" personId="{37CC79EC-11A9-E944-B761-8752DFD70EBE}" id="{CFD51840-00FD-D44E-8154-1E47DF7093B7}">
    <text>Booked by Bev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hchapman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binahaytbaeva@gmail.com" TargetMode="External"/><Relationship Id="rId13" Type="http://schemas.openxmlformats.org/officeDocument/2006/relationships/hyperlink" Target="mailto:Richard_segal@yahoo.com" TargetMode="External"/><Relationship Id="rId18" Type="http://schemas.openxmlformats.org/officeDocument/2006/relationships/hyperlink" Target="mailto:kezheneva@gmail.com" TargetMode="External"/><Relationship Id="rId3" Type="http://schemas.openxmlformats.org/officeDocument/2006/relationships/hyperlink" Target="mailto:Anishasood26@gmail.com" TargetMode="External"/><Relationship Id="rId7" Type="http://schemas.openxmlformats.org/officeDocument/2006/relationships/hyperlink" Target="mailto:ejike.onuchukwu@gmail.com" TargetMode="External"/><Relationship Id="rId12" Type="http://schemas.openxmlformats.org/officeDocument/2006/relationships/hyperlink" Target="mailto:imanbudget@yahoo.co.uk" TargetMode="External"/><Relationship Id="rId17" Type="http://schemas.openxmlformats.org/officeDocument/2006/relationships/hyperlink" Target="mailto:Angelov.Konstantin@gmail.com" TargetMode="External"/><Relationship Id="rId2" Type="http://schemas.openxmlformats.org/officeDocument/2006/relationships/hyperlink" Target="mailto:scottrgilbert@hotmail.com" TargetMode="External"/><Relationship Id="rId16" Type="http://schemas.openxmlformats.org/officeDocument/2006/relationships/hyperlink" Target="mailto:u.gaukhar@gmail.com" TargetMode="External"/><Relationship Id="rId1" Type="http://schemas.openxmlformats.org/officeDocument/2006/relationships/hyperlink" Target="mailto:mm.manolova@yahoo.com" TargetMode="External"/><Relationship Id="rId6" Type="http://schemas.openxmlformats.org/officeDocument/2006/relationships/hyperlink" Target="mailto:Nataliokolie@gmail.com" TargetMode="External"/><Relationship Id="rId11" Type="http://schemas.openxmlformats.org/officeDocument/2006/relationships/hyperlink" Target="mailto:camilla@sphero.network" TargetMode="External"/><Relationship Id="rId5" Type="http://schemas.openxmlformats.org/officeDocument/2006/relationships/hyperlink" Target="mailto:wil_akanno@hotmail.com" TargetMode="External"/><Relationship Id="rId15" Type="http://schemas.openxmlformats.org/officeDocument/2006/relationships/hyperlink" Target="mailto:Shulliclintondavis@gmail.com" TargetMode="External"/><Relationship Id="rId10" Type="http://schemas.openxmlformats.org/officeDocument/2006/relationships/hyperlink" Target="mailto:alina.flatscher@gmail.com" TargetMode="External"/><Relationship Id="rId4" Type="http://schemas.openxmlformats.org/officeDocument/2006/relationships/hyperlink" Target="mailto:C.Emily.white@gmail.com" TargetMode="External"/><Relationship Id="rId9" Type="http://schemas.openxmlformats.org/officeDocument/2006/relationships/hyperlink" Target="mailto:david.flatscher@gmail.com" TargetMode="External"/><Relationship Id="rId14" Type="http://schemas.openxmlformats.org/officeDocument/2006/relationships/hyperlink" Target="mailto:Corneliu.civig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6.saracchi@gmail.com-friend" TargetMode="External"/><Relationship Id="rId13" Type="http://schemas.openxmlformats.org/officeDocument/2006/relationships/hyperlink" Target="mailto:roberthchapman@hotmail.com-friend2" TargetMode="External"/><Relationship Id="rId3" Type="http://schemas.openxmlformats.org/officeDocument/2006/relationships/hyperlink" Target="mailto:blattnerj@gmail.com" TargetMode="External"/><Relationship Id="rId7" Type="http://schemas.openxmlformats.org/officeDocument/2006/relationships/hyperlink" Target="mailto:6.saracchi@gmail.com-friend" TargetMode="External"/><Relationship Id="rId12" Type="http://schemas.openxmlformats.org/officeDocument/2006/relationships/hyperlink" Target="mailto:roberthchapman@hotmail.com-friend2" TargetMode="External"/><Relationship Id="rId17" Type="http://schemas.microsoft.com/office/2019/04/relationships/documenttask" Target="../documenttasks/documenttask1.xml"/><Relationship Id="rId2" Type="http://schemas.openxmlformats.org/officeDocument/2006/relationships/hyperlink" Target="mailto:teodor.rd27@gmail.com" TargetMode="External"/><Relationship Id="rId16" Type="http://schemas.microsoft.com/office/2017/10/relationships/threadedComment" Target="../threadedComments/threadedComment3.xml"/><Relationship Id="rId1" Type="http://schemas.openxmlformats.org/officeDocument/2006/relationships/hyperlink" Target="mailto:blattnerj@gmail.com" TargetMode="External"/><Relationship Id="rId6" Type="http://schemas.openxmlformats.org/officeDocument/2006/relationships/hyperlink" Target="mailto:celia.sattamino@gmail.com" TargetMode="External"/><Relationship Id="rId11" Type="http://schemas.openxmlformats.org/officeDocument/2006/relationships/hyperlink" Target="mailto:roberthchapman@hotmail.com-friend" TargetMode="External"/><Relationship Id="rId5" Type="http://schemas.openxmlformats.org/officeDocument/2006/relationships/hyperlink" Target="mailto:isisding@gmail.com" TargetMode="External"/><Relationship Id="rId15" Type="http://schemas.openxmlformats.org/officeDocument/2006/relationships/comments" Target="../comments3.xml"/><Relationship Id="rId10" Type="http://schemas.openxmlformats.org/officeDocument/2006/relationships/hyperlink" Target="mailto:roberthchapman@hotmail.com-friend" TargetMode="External"/><Relationship Id="rId4" Type="http://schemas.openxmlformats.org/officeDocument/2006/relationships/hyperlink" Target="mailto:isisding@gmail.com" TargetMode="External"/><Relationship Id="rId9" Type="http://schemas.openxmlformats.org/officeDocument/2006/relationships/hyperlink" Target="mailto:tendulkar.rohini@gmail.com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104-4637-4AB2-B322-08E532C0F905}">
  <sheetPr>
    <tabColor rgb="FF0070C0"/>
  </sheetPr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FCA4-785E-41BF-8453-0B163F8FB249}">
  <sheetPr>
    <tabColor rgb="FF0070C0"/>
  </sheetPr>
  <dimension ref="A1:O119"/>
  <sheetViews>
    <sheetView topLeftCell="A93" workbookViewId="0">
      <selection activeCell="F109" sqref="F109"/>
    </sheetView>
  </sheetViews>
  <sheetFormatPr baseColWidth="10" defaultColWidth="8.83203125" defaultRowHeight="15.75" customHeight="1" x14ac:dyDescent="0.2"/>
  <cols>
    <col min="1" max="1" width="10.83203125" customWidth="1"/>
    <col min="2" max="2" width="14.33203125" style="31" customWidth="1"/>
    <col min="3" max="3" width="27.33203125" style="51" customWidth="1"/>
    <col min="4" max="4" width="8.33203125" style="36" customWidth="1"/>
    <col min="5" max="5" width="15.6640625" style="36" customWidth="1"/>
    <col min="6" max="6" width="43.6640625" style="34" customWidth="1"/>
    <col min="7" max="7" width="14.83203125" style="35" customWidth="1"/>
    <col min="8" max="8" width="12.1640625" style="34" customWidth="1"/>
    <col min="9" max="10" width="10.1640625" style="44" customWidth="1"/>
    <col min="11" max="12" width="9" style="46"/>
    <col min="13" max="13" width="24.83203125" style="48" customWidth="1"/>
    <col min="15" max="15" width="0" hidden="1" customWidth="1"/>
  </cols>
  <sheetData>
    <row r="1" spans="1:15" s="37" customFormat="1" ht="43.5" customHeight="1" x14ac:dyDescent="0.2">
      <c r="A1" s="84"/>
      <c r="B1" s="184" t="s">
        <v>0</v>
      </c>
      <c r="C1" s="185"/>
      <c r="D1" s="186"/>
      <c r="E1" s="126"/>
      <c r="F1" s="180" t="s">
        <v>1</v>
      </c>
      <c r="G1" s="181"/>
      <c r="H1" s="181"/>
      <c r="I1" s="181"/>
      <c r="J1" s="182"/>
      <c r="K1" s="183" t="s">
        <v>0</v>
      </c>
      <c r="L1" s="183"/>
      <c r="M1" s="49" t="s">
        <v>2</v>
      </c>
      <c r="O1" s="37" t="s">
        <v>3</v>
      </c>
    </row>
    <row r="2" spans="1:15" s="42" customFormat="1" ht="34" x14ac:dyDescent="0.2">
      <c r="A2" s="38" t="s">
        <v>4</v>
      </c>
      <c r="B2" s="38" t="s">
        <v>5</v>
      </c>
      <c r="C2" s="50" t="s">
        <v>6</v>
      </c>
      <c r="D2" s="39" t="s">
        <v>7</v>
      </c>
      <c r="E2" s="39" t="s">
        <v>8</v>
      </c>
      <c r="F2" s="40" t="s">
        <v>9</v>
      </c>
      <c r="G2" s="41" t="s">
        <v>10</v>
      </c>
      <c r="H2" s="40" t="s">
        <v>11</v>
      </c>
      <c r="I2" s="43" t="s">
        <v>12</v>
      </c>
      <c r="J2" s="43" t="s">
        <v>13</v>
      </c>
      <c r="K2" s="45" t="s">
        <v>14</v>
      </c>
      <c r="L2" s="45" t="s">
        <v>15</v>
      </c>
      <c r="M2" s="47" t="s">
        <v>16</v>
      </c>
      <c r="O2" s="42" t="s">
        <v>17</v>
      </c>
    </row>
    <row r="3" spans="1:15" ht="18.75" customHeight="1" x14ac:dyDescent="0.2">
      <c r="A3" s="52"/>
      <c r="B3" s="52">
        <v>45509</v>
      </c>
      <c r="C3" s="51" t="s">
        <v>18</v>
      </c>
      <c r="D3" s="36">
        <v>14</v>
      </c>
      <c r="F3" s="32" t="str">
        <f>IFERROR(VLOOKUP(D3,Sessions!A:G,2,FALSE),"")</f>
        <v>[Hidden Gem] Gallery Stroll in Central London</v>
      </c>
      <c r="G3" s="33">
        <f>IFERROR(VLOOKUP(D3,Sessions!A:G,3,FALSE),"")</f>
        <v>45423</v>
      </c>
      <c r="H3" s="32" t="str">
        <f>IFERROR(VLOOKUP(D3,Sessions!A:G,4,FALSE),"")</f>
        <v>2:00pm</v>
      </c>
      <c r="I3" s="44">
        <f>IFERROR(VLOOKUP(D3,Sessions!A:G,5,FALSE),"")</f>
        <v>6</v>
      </c>
      <c r="J3" s="44">
        <f>IFERROR(VLOOKUP(D3,Sessions!A:G,6,FALSE),"")</f>
        <v>15</v>
      </c>
      <c r="K3" s="46">
        <v>15</v>
      </c>
      <c r="L3" s="46" t="s">
        <v>17</v>
      </c>
      <c r="M3" s="48" t="str">
        <f t="shared" ref="M3:M34" si="0">"It's all set! 🎉 Here is a summary of your order:
*Number of Tickets*: 1
*Experience*: "&amp;F3&amp;"
*Date*: "&amp;TEXT(G3,"dd/mm/yy")&amp;"
*Time*: "&amp;H3&amp;"
*Price*: "&amp;K3&amp;" "&amp;L3&amp;"
We will issue your tickets on Evenbrite soon.
*Cancelation Policy*: 100% refund for cancelations 24h prior to event."</f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4" spans="1:15" ht="16" x14ac:dyDescent="0.2">
      <c r="A4" s="52"/>
      <c r="B4" s="52">
        <v>45509</v>
      </c>
      <c r="C4" s="51" t="s">
        <v>19</v>
      </c>
      <c r="D4" s="36">
        <v>14</v>
      </c>
      <c r="F4" s="32" t="str">
        <f>IFERROR(VLOOKUP(D4,Sessions!A:G,2,FALSE),"")</f>
        <v>[Hidden Gem] Gallery Stroll in Central London</v>
      </c>
      <c r="G4" s="33">
        <f>IFERROR(VLOOKUP(D4,Sessions!A:G,3,FALSE),"")</f>
        <v>45423</v>
      </c>
      <c r="H4" s="32" t="str">
        <f>IFERROR(VLOOKUP(D4,Sessions!A:G,4,FALSE),"")</f>
        <v>2:00pm</v>
      </c>
      <c r="I4" s="44">
        <f>IFERROR(VLOOKUP(D4,Sessions!A:G,5,FALSE),"")</f>
        <v>6</v>
      </c>
      <c r="J4" s="44">
        <f>IFERROR(VLOOKUP(D4,Sessions!A:G,6,FALSE),"")</f>
        <v>15</v>
      </c>
      <c r="K4" s="46">
        <v>10</v>
      </c>
      <c r="L4" s="46" t="s">
        <v>17</v>
      </c>
      <c r="M4" s="48" t="str">
        <f t="shared" si="0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5" spans="1:15" ht="16" x14ac:dyDescent="0.2">
      <c r="A5" s="52"/>
      <c r="B5" s="52">
        <v>45420</v>
      </c>
      <c r="C5" s="51" t="s">
        <v>20</v>
      </c>
      <c r="D5" s="71">
        <v>14</v>
      </c>
      <c r="E5" s="71"/>
      <c r="F5" s="32" t="str">
        <f>IFERROR(VLOOKUP(D5,Sessions!A:G,2,FALSE),"")</f>
        <v>[Hidden Gem] Gallery Stroll in Central London</v>
      </c>
      <c r="G5" s="33">
        <f>IFERROR(VLOOKUP(D5,Sessions!A:G,3,FALSE),"")</f>
        <v>45423</v>
      </c>
      <c r="H5" s="32" t="str">
        <f>IFERROR(VLOOKUP(D5,Sessions!A:G,4,FALSE),"")</f>
        <v>2:00pm</v>
      </c>
      <c r="I5" s="44">
        <f>IFERROR(VLOOKUP(D5,Sessions!A:G,5,FALSE),"")</f>
        <v>6</v>
      </c>
      <c r="J5" s="44">
        <f>IFERROR(VLOOKUP(D5,Sessions!A:G,6,FALSE),"")</f>
        <v>15</v>
      </c>
      <c r="K5" s="46">
        <v>15</v>
      </c>
      <c r="L5" s="46" t="s">
        <v>17</v>
      </c>
      <c r="M5" s="48" t="str">
        <f t="shared" si="0"/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6" spans="1:15" ht="16" x14ac:dyDescent="0.2">
      <c r="A6" s="52"/>
      <c r="B6" s="52">
        <v>45509</v>
      </c>
      <c r="C6" s="51" t="s">
        <v>21</v>
      </c>
      <c r="D6" s="36">
        <v>14</v>
      </c>
      <c r="F6" s="32" t="str">
        <f>IFERROR(VLOOKUP(D6,Sessions!A:G,2,FALSE),"")</f>
        <v>[Hidden Gem] Gallery Stroll in Central London</v>
      </c>
      <c r="G6" s="33">
        <f>IFERROR(VLOOKUP(D6,Sessions!A:G,3,FALSE),"")</f>
        <v>45423</v>
      </c>
      <c r="H6" s="32" t="str">
        <f>IFERROR(VLOOKUP(D6,Sessions!A:G,4,FALSE),"")</f>
        <v>2:00pm</v>
      </c>
      <c r="I6" s="44">
        <f>IFERROR(VLOOKUP(D6,Sessions!A:G,5,FALSE),"")</f>
        <v>6</v>
      </c>
      <c r="J6" s="44">
        <f>IFERROR(VLOOKUP(D6,Sessions!A:G,6,FALSE),"")</f>
        <v>15</v>
      </c>
      <c r="K6" s="46">
        <v>10</v>
      </c>
      <c r="L6" s="46" t="s">
        <v>17</v>
      </c>
      <c r="M6" s="48" t="str">
        <f t="shared" si="0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7" spans="1:15" ht="16" x14ac:dyDescent="0.2">
      <c r="A7" s="52"/>
      <c r="B7" s="52">
        <v>45509</v>
      </c>
      <c r="C7" s="51" t="s">
        <v>22</v>
      </c>
      <c r="D7" s="36">
        <v>14</v>
      </c>
      <c r="F7" s="32" t="str">
        <f>IFERROR(VLOOKUP(D7,Sessions!A:G,2,FALSE),"")</f>
        <v>[Hidden Gem] Gallery Stroll in Central London</v>
      </c>
      <c r="G7" s="33">
        <f>IFERROR(VLOOKUP(D7,Sessions!A:G,3,FALSE),"")</f>
        <v>45423</v>
      </c>
      <c r="H7" s="32" t="str">
        <f>IFERROR(VLOOKUP(D7,Sessions!A:G,4,FALSE),"")</f>
        <v>2:00pm</v>
      </c>
      <c r="I7" s="44">
        <f>IFERROR(VLOOKUP(D7,Sessions!A:G,5,FALSE),"")</f>
        <v>6</v>
      </c>
      <c r="J7" s="44">
        <f>IFERROR(VLOOKUP(D7,Sessions!A:G,6,FALSE),"")</f>
        <v>15</v>
      </c>
      <c r="K7" s="46">
        <v>10</v>
      </c>
      <c r="L7" s="46" t="s">
        <v>17</v>
      </c>
      <c r="M7" s="48" t="str">
        <f t="shared" si="0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8" spans="1:15" ht="16" x14ac:dyDescent="0.2">
      <c r="A8" s="52"/>
      <c r="B8" s="52">
        <v>45422</v>
      </c>
      <c r="C8" s="51" t="s">
        <v>23</v>
      </c>
      <c r="D8" s="36">
        <v>14</v>
      </c>
      <c r="F8" s="32" t="str">
        <f>IFERROR(VLOOKUP(D8,Sessions!A:G,2,FALSE),"")</f>
        <v>[Hidden Gem] Gallery Stroll in Central London</v>
      </c>
      <c r="G8" s="33">
        <f>IFERROR(VLOOKUP(D8,Sessions!A:G,3,FALSE),"")</f>
        <v>45423</v>
      </c>
      <c r="H8" s="32" t="str">
        <f>IFERROR(VLOOKUP(D8,Sessions!A:G,4,FALSE),"")</f>
        <v>2:00pm</v>
      </c>
      <c r="I8" s="44">
        <f>IFERROR(VLOOKUP(D8,Sessions!A:G,5,FALSE),"")</f>
        <v>6</v>
      </c>
      <c r="J8" s="44">
        <f>IFERROR(VLOOKUP(D8,Sessions!A:G,6,FALSE),"")</f>
        <v>15</v>
      </c>
      <c r="K8" s="46">
        <v>15</v>
      </c>
      <c r="L8" s="46" t="s">
        <v>17</v>
      </c>
      <c r="M8" s="48" t="str">
        <f t="shared" si="0"/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9" spans="1:15" ht="16" x14ac:dyDescent="0.2">
      <c r="A9" s="52"/>
      <c r="B9" s="52">
        <v>45426</v>
      </c>
      <c r="C9" s="51" t="s">
        <v>24</v>
      </c>
      <c r="D9" s="36">
        <v>15</v>
      </c>
      <c r="F9" s="32" t="str">
        <f>IFERROR(VLOOKUP(D9,Sessions!A:G,2,FALSE),"")</f>
        <v>[Hidden Gem] Gallery Stroll in Central London</v>
      </c>
      <c r="G9" s="33">
        <f>IFERROR(VLOOKUP(D9,Sessions!A:G,3,FALSE),"")</f>
        <v>45430</v>
      </c>
      <c r="H9" s="32" t="str">
        <f>IFERROR(VLOOKUP(D9,Sessions!A:G,4,FALSE),"")</f>
        <v>1:00pm</v>
      </c>
      <c r="I9" s="44">
        <f>IFERROR(VLOOKUP(D9,Sessions!A:G,5,FALSE),"")</f>
        <v>6</v>
      </c>
      <c r="J9" s="44">
        <f>IFERROR(VLOOKUP(D9,Sessions!A:G,6,FALSE),"")</f>
        <v>15</v>
      </c>
      <c r="K9" s="46">
        <v>6</v>
      </c>
      <c r="L9" s="46" t="s">
        <v>3</v>
      </c>
      <c r="M9" s="48" t="str">
        <f t="shared" si="0"/>
        <v>It's all set! 🎉 Here is a summary of your order:
*Number of Tickets*: 1
*Experience*: [Hidden Gem] Gallery Stroll in Central London
*Date*: 18/05/24
*Time*: 1:00pm
*Price*: 6 credits
We will issue your tickets on Evenbrite soon.
*Cancelation Policy*: 100% refund for cancelations 24h prior to event.</v>
      </c>
    </row>
    <row r="10" spans="1:15" ht="16" x14ac:dyDescent="0.2">
      <c r="A10" s="52"/>
      <c r="B10" s="52">
        <v>45428</v>
      </c>
      <c r="C10" s="51" t="s">
        <v>25</v>
      </c>
      <c r="D10" s="36">
        <v>15</v>
      </c>
      <c r="F10" s="32" t="str">
        <f>IFERROR(VLOOKUP(D10,Sessions!A:G,2,FALSE),"")</f>
        <v>[Hidden Gem] Gallery Stroll in Central London</v>
      </c>
      <c r="G10" s="33">
        <f>IFERROR(VLOOKUP(D10,Sessions!A:G,3,FALSE),"")</f>
        <v>45430</v>
      </c>
      <c r="H10" s="32" t="str">
        <f>IFERROR(VLOOKUP(D10,Sessions!A:G,4,FALSE),"")</f>
        <v>1:00pm</v>
      </c>
      <c r="I10" s="44">
        <f>IFERROR(VLOOKUP(D10,Sessions!A:G,5,FALSE),"")</f>
        <v>6</v>
      </c>
      <c r="J10" s="44">
        <f>IFERROR(VLOOKUP(D10,Sessions!A:G,6,FALSE),"")</f>
        <v>15</v>
      </c>
      <c r="K10" s="46">
        <v>15</v>
      </c>
      <c r="L10" s="46" t="s">
        <v>17</v>
      </c>
      <c r="M10" s="48" t="str">
        <f t="shared" si="0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11" spans="1:15" ht="16" x14ac:dyDescent="0.2">
      <c r="A11" s="52"/>
      <c r="B11" s="52">
        <v>45428</v>
      </c>
      <c r="C11" s="51" t="s">
        <v>26</v>
      </c>
      <c r="D11" s="36">
        <v>15</v>
      </c>
      <c r="F11" s="32" t="str">
        <f>IFERROR(VLOOKUP(D11,Sessions!A:G,2,FALSE),"")</f>
        <v>[Hidden Gem] Gallery Stroll in Central London</v>
      </c>
      <c r="G11" s="33">
        <f>IFERROR(VLOOKUP(D11,Sessions!A:G,3,FALSE),"")</f>
        <v>45430</v>
      </c>
      <c r="H11" s="32" t="str">
        <f>IFERROR(VLOOKUP(D11,Sessions!A:G,4,FALSE),"")</f>
        <v>1:00pm</v>
      </c>
      <c r="I11" s="44">
        <f>IFERROR(VLOOKUP(D11,Sessions!A:G,5,FALSE),"")</f>
        <v>6</v>
      </c>
      <c r="J11" s="44">
        <f>IFERROR(VLOOKUP(D11,Sessions!A:G,6,FALSE),"")</f>
        <v>15</v>
      </c>
      <c r="K11" s="46">
        <v>6</v>
      </c>
      <c r="L11" s="46" t="s">
        <v>3</v>
      </c>
      <c r="M11" s="48" t="str">
        <f t="shared" si="0"/>
        <v>It's all set! 🎉 Here is a summary of your order:
*Number of Tickets*: 1
*Experience*: [Hidden Gem] Gallery Stroll in Central London
*Date*: 18/05/24
*Time*: 1:00pm
*Price*: 6 credits
We will issue your tickets on Evenbrite soon.
*Cancelation Policy*: 100% refund for cancelations 24h prior to event.</v>
      </c>
    </row>
    <row r="12" spans="1:15" ht="16" x14ac:dyDescent="0.2">
      <c r="A12" s="52"/>
      <c r="B12" s="52">
        <v>45430</v>
      </c>
      <c r="C12" s="51" t="s">
        <v>27</v>
      </c>
      <c r="D12" s="36">
        <v>15</v>
      </c>
      <c r="F12" s="32" t="str">
        <f>IFERROR(VLOOKUP(D12,Sessions!A:G,2,FALSE),"")</f>
        <v>[Hidden Gem] Gallery Stroll in Central London</v>
      </c>
      <c r="G12" s="33">
        <f>IFERROR(VLOOKUP(D12,Sessions!A:G,3,FALSE),"")</f>
        <v>45430</v>
      </c>
      <c r="H12" s="32" t="str">
        <f>IFERROR(VLOOKUP(D12,Sessions!A:G,4,FALSE),"")</f>
        <v>1:00pm</v>
      </c>
      <c r="I12" s="44">
        <f>IFERROR(VLOOKUP(D12,Sessions!A:G,5,FALSE),"")</f>
        <v>6</v>
      </c>
      <c r="J12" s="44">
        <f>IFERROR(VLOOKUP(D12,Sessions!A:G,6,FALSE),"")</f>
        <v>15</v>
      </c>
      <c r="K12" s="46">
        <v>15</v>
      </c>
      <c r="L12" s="46" t="s">
        <v>17</v>
      </c>
      <c r="M12" s="48" t="str">
        <f t="shared" si="0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13" spans="1:15" ht="16" x14ac:dyDescent="0.2">
      <c r="A13" s="52"/>
      <c r="B13" s="52">
        <v>45427</v>
      </c>
      <c r="C13" s="51" t="s">
        <v>28</v>
      </c>
      <c r="D13" s="71">
        <v>15</v>
      </c>
      <c r="E13" s="71"/>
      <c r="F13" s="32" t="str">
        <f>IFERROR(VLOOKUP(D13,Sessions!A:G,2,FALSE),"")</f>
        <v>[Hidden Gem] Gallery Stroll in Central London</v>
      </c>
      <c r="G13" s="33">
        <f>IFERROR(VLOOKUP(D13,Sessions!A:G,3,FALSE),"")</f>
        <v>45430</v>
      </c>
      <c r="H13" s="32" t="str">
        <f>IFERROR(VLOOKUP(D13,Sessions!A:G,4,FALSE),"")</f>
        <v>1:00pm</v>
      </c>
      <c r="I13" s="44">
        <f>IFERROR(VLOOKUP(D13,Sessions!A:G,5,FALSE),"")</f>
        <v>6</v>
      </c>
      <c r="J13" s="44">
        <f>IFERROR(VLOOKUP(D13,Sessions!A:G,6,FALSE),"")</f>
        <v>15</v>
      </c>
      <c r="K13" s="46">
        <v>0</v>
      </c>
      <c r="L13" s="46" t="s">
        <v>17</v>
      </c>
      <c r="M13" s="48" t="str">
        <f t="shared" si="0"/>
        <v>It's all set! 🎉 Here is a summary of your order:
*Number of Tickets*: 1
*Experience*: [Hidden Gem] Gallery Stroll in Central London
*Date*: 18/05/24
*Time*: 1:00pm
*Price*: 0 pounds
We will issue your tickets on Evenbrite soon.
*Cancelation Policy*: 100% refund for cancelations 24h prior to event.</v>
      </c>
    </row>
    <row r="14" spans="1:15" ht="16" x14ac:dyDescent="0.2">
      <c r="A14" s="52"/>
      <c r="B14" s="52">
        <v>45426</v>
      </c>
      <c r="C14" s="51" t="s">
        <v>29</v>
      </c>
      <c r="D14" s="36">
        <v>15</v>
      </c>
      <c r="F14" s="32" t="str">
        <f>IFERROR(VLOOKUP(D14,Sessions!A:G,2,FALSE),"")</f>
        <v>[Hidden Gem] Gallery Stroll in Central London</v>
      </c>
      <c r="G14" s="33">
        <f>IFERROR(VLOOKUP(D14,Sessions!A:G,3,FALSE),"")</f>
        <v>45430</v>
      </c>
      <c r="H14" s="32" t="str">
        <f>IFERROR(VLOOKUP(D14,Sessions!A:G,4,FALSE),"")</f>
        <v>1:00pm</v>
      </c>
      <c r="I14" s="44">
        <f>IFERROR(VLOOKUP(D14,Sessions!A:G,5,FALSE),"")</f>
        <v>6</v>
      </c>
      <c r="J14" s="44">
        <f>IFERROR(VLOOKUP(D14,Sessions!A:G,6,FALSE),"")</f>
        <v>15</v>
      </c>
      <c r="K14" s="46">
        <v>15</v>
      </c>
      <c r="L14" s="46" t="s">
        <v>17</v>
      </c>
      <c r="M14" s="48" t="str">
        <f t="shared" si="0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15" spans="1:15" ht="16.5" customHeight="1" x14ac:dyDescent="0.2">
      <c r="A15" s="31"/>
      <c r="B15" s="52">
        <v>45437</v>
      </c>
      <c r="C15" s="51" t="s">
        <v>30</v>
      </c>
      <c r="D15" s="36">
        <v>16</v>
      </c>
      <c r="F15" s="32" t="str">
        <f>IFERROR(VLOOKUP(D15,Sessions!A:G,2,FALSE),"")</f>
        <v>[Hidden Gem] Gallery Stroll in Central London</v>
      </c>
      <c r="G15" s="33">
        <f>IFERROR(VLOOKUP(D15,Sessions!A:G,3,FALSE),"")</f>
        <v>45437</v>
      </c>
      <c r="H15" s="32" t="str">
        <f>IFERROR(VLOOKUP(D15,Sessions!A:G,4,FALSE),"")</f>
        <v>2:00pm</v>
      </c>
      <c r="I15" s="44">
        <f>IFERROR(VLOOKUP(D15,Sessions!A:G,5,FALSE),"")</f>
        <v>6</v>
      </c>
      <c r="J15" s="44">
        <f>IFERROR(VLOOKUP(D15,Sessions!A:G,6,FALSE),"")</f>
        <v>15</v>
      </c>
      <c r="K15" s="46">
        <v>15</v>
      </c>
      <c r="L15" s="46" t="s">
        <v>17</v>
      </c>
      <c r="M15" s="48" t="str">
        <f t="shared" si="0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16" spans="1:15" ht="16" x14ac:dyDescent="0.2">
      <c r="A16" s="52"/>
      <c r="B16" s="52">
        <v>45509</v>
      </c>
      <c r="C16" s="51" t="s">
        <v>31</v>
      </c>
      <c r="D16" s="36">
        <v>16</v>
      </c>
      <c r="F16" s="32" t="str">
        <f>IFERROR(VLOOKUP(D16,Sessions!A:G,2,FALSE),"")</f>
        <v>[Hidden Gem] Gallery Stroll in Central London</v>
      </c>
      <c r="G16" s="33">
        <f>IFERROR(VLOOKUP(D16,Sessions!A:G,3,FALSE),"")</f>
        <v>45437</v>
      </c>
      <c r="H16" s="32" t="str">
        <f>IFERROR(VLOOKUP(D16,Sessions!A:G,4,FALSE),"")</f>
        <v>2:00pm</v>
      </c>
      <c r="I16" s="44">
        <f>IFERROR(VLOOKUP(D16,Sessions!A:G,5,FALSE),"")</f>
        <v>6</v>
      </c>
      <c r="J16" s="44">
        <f>IFERROR(VLOOKUP(D16,Sessions!A:G,6,FALSE),"")</f>
        <v>15</v>
      </c>
      <c r="K16" s="46">
        <v>15</v>
      </c>
      <c r="L16" s="46" t="s">
        <v>17</v>
      </c>
      <c r="M16" s="48" t="str">
        <f t="shared" si="0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17" spans="1:13" ht="16" x14ac:dyDescent="0.2">
      <c r="A17" s="31"/>
      <c r="B17" s="52">
        <v>45437</v>
      </c>
      <c r="C17" s="51" t="s">
        <v>32</v>
      </c>
      <c r="D17" s="36">
        <v>16</v>
      </c>
      <c r="F17" s="32" t="str">
        <f>IFERROR(VLOOKUP(D17,Sessions!A:G,2,FALSE),"")</f>
        <v>[Hidden Gem] Gallery Stroll in Central London</v>
      </c>
      <c r="G17" s="33">
        <f>IFERROR(VLOOKUP(D17,Sessions!A:G,3,FALSE),"")</f>
        <v>45437</v>
      </c>
      <c r="H17" s="32" t="str">
        <f>IFERROR(VLOOKUP(D17,Sessions!A:G,4,FALSE),"")</f>
        <v>2:00pm</v>
      </c>
      <c r="I17" s="44">
        <f>IFERROR(VLOOKUP(D17,Sessions!A:G,5,FALSE),"")</f>
        <v>6</v>
      </c>
      <c r="J17" s="44">
        <f>IFERROR(VLOOKUP(D17,Sessions!A:G,6,FALSE),"")</f>
        <v>15</v>
      </c>
      <c r="K17" s="46">
        <v>15</v>
      </c>
      <c r="L17" s="46" t="s">
        <v>17</v>
      </c>
      <c r="M17" s="48" t="str">
        <f t="shared" si="0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18" spans="1:13" ht="16" x14ac:dyDescent="0.2">
      <c r="A18" s="31"/>
      <c r="B18" s="52">
        <v>45437</v>
      </c>
      <c r="C18" s="51" t="s">
        <v>33</v>
      </c>
      <c r="D18" s="36">
        <v>16</v>
      </c>
      <c r="F18" s="32" t="str">
        <f>IFERROR(VLOOKUP(D18,Sessions!A:G,2,FALSE),"")</f>
        <v>[Hidden Gem] Gallery Stroll in Central London</v>
      </c>
      <c r="G18" s="33">
        <f>IFERROR(VLOOKUP(D18,Sessions!A:G,3,FALSE),"")</f>
        <v>45437</v>
      </c>
      <c r="H18" s="32" t="str">
        <f>IFERROR(VLOOKUP(D18,Sessions!A:G,4,FALSE),"")</f>
        <v>2:00pm</v>
      </c>
      <c r="I18" s="44">
        <f>IFERROR(VLOOKUP(D18,Sessions!A:G,5,FALSE),"")</f>
        <v>6</v>
      </c>
      <c r="J18" s="44">
        <f>IFERROR(VLOOKUP(D18,Sessions!A:G,6,FALSE),"")</f>
        <v>15</v>
      </c>
      <c r="K18" s="46">
        <v>15</v>
      </c>
      <c r="L18" s="46" t="s">
        <v>17</v>
      </c>
      <c r="M18" s="48" t="str">
        <f t="shared" si="0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19" spans="1:13" ht="16" x14ac:dyDescent="0.2">
      <c r="A19" s="52"/>
      <c r="B19" s="52">
        <v>45420</v>
      </c>
      <c r="C19" s="51" t="s">
        <v>34</v>
      </c>
      <c r="D19" s="36">
        <v>16</v>
      </c>
      <c r="F19" s="32" t="str">
        <f>IFERROR(VLOOKUP(D19,Sessions!A:G,2,FALSE),"")</f>
        <v>[Hidden Gem] Gallery Stroll in Central London</v>
      </c>
      <c r="G19" s="33">
        <f>IFERROR(VLOOKUP(D19,Sessions!A:G,3,FALSE),"")</f>
        <v>45437</v>
      </c>
      <c r="H19" s="32" t="str">
        <f>IFERROR(VLOOKUP(D19,Sessions!A:G,4,FALSE),"")</f>
        <v>2:00pm</v>
      </c>
      <c r="I19" s="44">
        <f>IFERROR(VLOOKUP(D19,Sessions!A:G,5,FALSE),"")</f>
        <v>6</v>
      </c>
      <c r="J19" s="44">
        <f>IFERROR(VLOOKUP(D19,Sessions!A:G,6,FALSE),"")</f>
        <v>15</v>
      </c>
      <c r="K19" s="68">
        <v>10</v>
      </c>
      <c r="L19" s="46" t="s">
        <v>17</v>
      </c>
      <c r="M19" s="48" t="str">
        <f t="shared" si="0"/>
        <v>It's all set! 🎉 Here is a summary of your order:
*Number of Tickets*: 1
*Experience*: [Hidden Gem] Gallery Stroll in Central London
*Date*: 25/05/24
*Time*: 2:00pm
*Price*: 10 pounds
We will issue your tickets on Evenbrite soon.
*Cancelation Policy*: 100% refund for cancelations 24h prior to event.</v>
      </c>
    </row>
    <row r="20" spans="1:13" ht="16" x14ac:dyDescent="0.2">
      <c r="A20" s="31"/>
      <c r="B20" s="52">
        <v>45436</v>
      </c>
      <c r="C20" s="51" t="s">
        <v>35</v>
      </c>
      <c r="D20" s="71">
        <v>16</v>
      </c>
      <c r="E20" s="71"/>
      <c r="F20" s="32" t="str">
        <f>IFERROR(VLOOKUP(D20,Sessions!A:G,2,FALSE),"")</f>
        <v>[Hidden Gem] Gallery Stroll in Central London</v>
      </c>
      <c r="G20" s="33">
        <f>IFERROR(VLOOKUP(D20,Sessions!A:G,3,FALSE),"")</f>
        <v>45437</v>
      </c>
      <c r="H20" s="32" t="str">
        <f>IFERROR(VLOOKUP(D20,Sessions!A:G,4,FALSE),"")</f>
        <v>2:00pm</v>
      </c>
      <c r="I20" s="44">
        <f>IFERROR(VLOOKUP(D20,Sessions!A:G,5,FALSE),"")</f>
        <v>6</v>
      </c>
      <c r="J20" s="44">
        <f>IFERROR(VLOOKUP(D20,Sessions!A:G,6,FALSE),"")</f>
        <v>15</v>
      </c>
      <c r="K20" s="46">
        <v>15</v>
      </c>
      <c r="L20" s="46" t="s">
        <v>17</v>
      </c>
      <c r="M20" s="48" t="str">
        <f t="shared" si="0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21" spans="1:13" ht="16" x14ac:dyDescent="0.2">
      <c r="A21" s="31"/>
      <c r="B21" s="52">
        <v>45432</v>
      </c>
      <c r="C21" s="51" t="s">
        <v>22</v>
      </c>
      <c r="D21" s="36">
        <v>16</v>
      </c>
      <c r="F21" s="32" t="str">
        <f>IFERROR(VLOOKUP(D21,Sessions!A:G,2,FALSE),"")</f>
        <v>[Hidden Gem] Gallery Stroll in Central London</v>
      </c>
      <c r="G21" s="33">
        <f>IFERROR(VLOOKUP(D21,Sessions!A:G,3,FALSE),"")</f>
        <v>45437</v>
      </c>
      <c r="H21" s="32" t="str">
        <f>IFERROR(VLOOKUP(D21,Sessions!A:G,4,FALSE),"")</f>
        <v>2:00pm</v>
      </c>
      <c r="I21" s="44">
        <f>IFERROR(VLOOKUP(D21,Sessions!A:G,5,FALSE),"")</f>
        <v>6</v>
      </c>
      <c r="J21" s="44">
        <f>IFERROR(VLOOKUP(D21,Sessions!A:G,6,FALSE),"")</f>
        <v>15</v>
      </c>
      <c r="K21" s="46">
        <v>6</v>
      </c>
      <c r="L21" s="46" t="s">
        <v>3</v>
      </c>
      <c r="M21" s="48" t="str">
        <f t="shared" si="0"/>
        <v>It's all set! 🎉 Here is a summary of your order:
*Number of Tickets*: 1
*Experience*: [Hidden Gem] Gallery Stroll in Central London
*Date*: 25/05/24
*Time*: 2:00pm
*Price*: 6 credits
We will issue your tickets on Evenbrite soon.
*Cancelation Policy*: 100% refund for cancelations 24h prior to event.</v>
      </c>
    </row>
    <row r="22" spans="1:13" ht="16" x14ac:dyDescent="0.2">
      <c r="A22" s="52" t="s">
        <v>36</v>
      </c>
      <c r="B22" s="52">
        <v>45421</v>
      </c>
      <c r="C22" s="51" t="s">
        <v>37</v>
      </c>
      <c r="D22" s="36">
        <v>17</v>
      </c>
      <c r="F22" s="32" t="str">
        <f>IFERROR(VLOOKUP(D22,Sessions!A:G,2,FALSE),"")</f>
        <v>[Blockbuster] Frank Auerbach at Courtauld Gallery</v>
      </c>
      <c r="G22" s="33">
        <f>IFERROR(VLOOKUP(D22,Sessions!A:G,3,FALSE),"")</f>
        <v>45438</v>
      </c>
      <c r="H22" s="32" t="str">
        <f>IFERROR(VLOOKUP(D22,Sessions!A:G,4,FALSE),"")</f>
        <v>2:00pm</v>
      </c>
      <c r="I22" s="44">
        <f>IFERROR(VLOOKUP(D22,Sessions!A:G,5,FALSE),"")</f>
        <v>6</v>
      </c>
      <c r="J22" s="44">
        <f>IFERROR(VLOOKUP(D22,Sessions!A:G,6,FALSE),"")</f>
        <v>19</v>
      </c>
      <c r="K22" s="46">
        <v>15</v>
      </c>
      <c r="L22" s="46" t="s">
        <v>17</v>
      </c>
      <c r="M22" s="48" t="str">
        <f t="shared" si="0"/>
        <v>It's all set! 🎉 Here is a summary of your order:
*Number of Tickets*: 1
*Experience*: [Blockbuster] Frank Auerbach at Courtauld Gallery
*Date*: 26/05/24
*Time*: 2:00pm
*Price*: 15 pounds
We will issue your tickets on Evenbrite soon.
*Cancelation Policy*: 100% refund for cancelations 24h prior to event.</v>
      </c>
    </row>
    <row r="23" spans="1:13" ht="16" x14ac:dyDescent="0.2">
      <c r="A23" s="52"/>
      <c r="B23" s="52">
        <v>45420</v>
      </c>
      <c r="C23" s="51" t="s">
        <v>31</v>
      </c>
      <c r="D23" s="36">
        <v>17</v>
      </c>
      <c r="F23" s="32" t="str">
        <f>IFERROR(VLOOKUP(D23,Sessions!A:G,2,FALSE),"")</f>
        <v>[Blockbuster] Frank Auerbach at Courtauld Gallery</v>
      </c>
      <c r="G23" s="33">
        <f>IFERROR(VLOOKUP(D23,Sessions!A:G,3,FALSE),"")</f>
        <v>45438</v>
      </c>
      <c r="H23" s="32" t="str">
        <f>IFERROR(VLOOKUP(D23,Sessions!A:G,4,FALSE),"")</f>
        <v>2:00pm</v>
      </c>
      <c r="I23" s="44">
        <f>IFERROR(VLOOKUP(D23,Sessions!A:G,5,FALSE),"")</f>
        <v>6</v>
      </c>
      <c r="J23" s="44">
        <f>IFERROR(VLOOKUP(D23,Sessions!A:G,6,FALSE),"")</f>
        <v>19</v>
      </c>
      <c r="K23" s="46">
        <v>6</v>
      </c>
      <c r="L23" s="46" t="s">
        <v>3</v>
      </c>
      <c r="M23" s="48" t="str">
        <f t="shared" si="0"/>
        <v>It's all set! 🎉 Here is a summary of your order:
*Number of Tickets*: 1
*Experience*: [Blockbuster] Frank Auerbach at Courtauld Gallery
*Date*: 26/05/24
*Time*: 2:00pm
*Price*: 6 credits
We will issue your tickets on Evenbrite soon.
*Cancelation Policy*: 100% refund for cancelations 24h prior to event.</v>
      </c>
    </row>
    <row r="24" spans="1:13" ht="16" x14ac:dyDescent="0.2">
      <c r="A24" s="31"/>
      <c r="B24" s="52">
        <v>45442</v>
      </c>
      <c r="C24" s="51" t="s">
        <v>38</v>
      </c>
      <c r="D24" s="36">
        <v>18</v>
      </c>
      <c r="F24" s="32" t="str">
        <f>IFERROR(VLOOKUP(D24,Sessions!A:G,2,FALSE),"")</f>
        <v>[Special] London Gallery Weekend</v>
      </c>
      <c r="G24" s="33">
        <f>IFERROR(VLOOKUP(D24,Sessions!A:G,3,FALSE),"")</f>
        <v>45445</v>
      </c>
      <c r="H24" s="32" t="str">
        <f>IFERROR(VLOOKUP(D24,Sessions!A:G,4,FALSE),"")</f>
        <v>11am</v>
      </c>
      <c r="I24" s="44">
        <f>IFERROR(VLOOKUP(D24,Sessions!A:G,5,FALSE),"")</f>
        <v>6</v>
      </c>
      <c r="J24" s="44">
        <f>IFERROR(VLOOKUP(D24,Sessions!A:G,6,FALSE),"")</f>
        <v>15</v>
      </c>
      <c r="M24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25" spans="1:13" ht="16" x14ac:dyDescent="0.2">
      <c r="A25" s="31"/>
      <c r="B25" s="52">
        <v>45442</v>
      </c>
      <c r="C25" s="51" t="s">
        <v>39</v>
      </c>
      <c r="D25" s="36">
        <v>18</v>
      </c>
      <c r="F25" s="32" t="str">
        <f>IFERROR(VLOOKUP(D25,Sessions!A:G,2,FALSE),"")</f>
        <v>[Special] London Gallery Weekend</v>
      </c>
      <c r="G25" s="33">
        <f>IFERROR(VLOOKUP(D25,Sessions!A:G,3,FALSE),"")</f>
        <v>45445</v>
      </c>
      <c r="H25" s="32" t="str">
        <f>IFERROR(VLOOKUP(D25,Sessions!A:G,4,FALSE),"")</f>
        <v>11am</v>
      </c>
      <c r="I25" s="44">
        <f>IFERROR(VLOOKUP(D25,Sessions!A:G,5,FALSE),"")</f>
        <v>6</v>
      </c>
      <c r="J25" s="44">
        <f>IFERROR(VLOOKUP(D25,Sessions!A:G,6,FALSE),"")</f>
        <v>15</v>
      </c>
      <c r="M25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26" spans="1:13" ht="16" x14ac:dyDescent="0.2">
      <c r="A26" s="31"/>
      <c r="B26" s="52">
        <v>45442</v>
      </c>
      <c r="C26" s="51" t="s">
        <v>40</v>
      </c>
      <c r="D26" s="36">
        <v>18</v>
      </c>
      <c r="F26" s="32" t="str">
        <f>IFERROR(VLOOKUP(D26,Sessions!A:G,2,FALSE),"")</f>
        <v>[Special] London Gallery Weekend</v>
      </c>
      <c r="G26" s="33">
        <f>IFERROR(VLOOKUP(D26,Sessions!A:G,3,FALSE),"")</f>
        <v>45445</v>
      </c>
      <c r="H26" s="32" t="str">
        <f>IFERROR(VLOOKUP(D26,Sessions!A:G,4,FALSE),"")</f>
        <v>11am</v>
      </c>
      <c r="I26" s="44">
        <f>IFERROR(VLOOKUP(D26,Sessions!A:G,5,FALSE),"")</f>
        <v>6</v>
      </c>
      <c r="J26" s="44">
        <f>IFERROR(VLOOKUP(D26,Sessions!A:G,6,FALSE),"")</f>
        <v>15</v>
      </c>
      <c r="M26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27" spans="1:13" ht="16" x14ac:dyDescent="0.2">
      <c r="A27" s="52"/>
      <c r="B27" s="52">
        <v>45421</v>
      </c>
      <c r="C27" s="51" t="s">
        <v>37</v>
      </c>
      <c r="D27" s="36">
        <v>18</v>
      </c>
      <c r="F27" s="32" t="str">
        <f>IFERROR(VLOOKUP(D27,Sessions!A:G,2,FALSE),"")</f>
        <v>[Special] London Gallery Weekend</v>
      </c>
      <c r="G27" s="33">
        <f>IFERROR(VLOOKUP(D27,Sessions!A:G,3,FALSE),"")</f>
        <v>45445</v>
      </c>
      <c r="H27" s="32" t="str">
        <f>IFERROR(VLOOKUP(D27,Sessions!A:G,4,FALSE),"")</f>
        <v>11am</v>
      </c>
      <c r="I27" s="44">
        <f>IFERROR(VLOOKUP(D27,Sessions!A:G,5,FALSE),"")</f>
        <v>6</v>
      </c>
      <c r="J27" s="44">
        <f>IFERROR(VLOOKUP(D27,Sessions!A:G,6,FALSE),"")</f>
        <v>15</v>
      </c>
      <c r="K27" s="46">
        <v>6</v>
      </c>
      <c r="L27" s="46" t="s">
        <v>3</v>
      </c>
      <c r="M27" s="48" t="str">
        <f t="shared" si="0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28" spans="1:13" ht="16" x14ac:dyDescent="0.2">
      <c r="A28" s="124"/>
      <c r="B28" s="52">
        <v>45425</v>
      </c>
      <c r="C28" s="51" t="s">
        <v>41</v>
      </c>
      <c r="D28" s="36">
        <v>18</v>
      </c>
      <c r="E28" s="124" t="s">
        <v>42</v>
      </c>
      <c r="F28" s="32" t="str">
        <f>IFERROR(VLOOKUP(D28,Sessions!A:G,2,FALSE),"")</f>
        <v>[Special] London Gallery Weekend</v>
      </c>
      <c r="G28" s="33">
        <f>IFERROR(VLOOKUP(D28,Sessions!A:G,3,FALSE),"")</f>
        <v>45445</v>
      </c>
      <c r="H28" s="32" t="str">
        <f>IFERROR(VLOOKUP(D28,Sessions!A:G,4,FALSE),"")</f>
        <v>11am</v>
      </c>
      <c r="I28" s="44">
        <f>IFERROR(VLOOKUP(D28,Sessions!A:G,5,FALSE),"")</f>
        <v>6</v>
      </c>
      <c r="J28" s="44">
        <f>IFERROR(VLOOKUP(D28,Sessions!A:G,6,FALSE),"")</f>
        <v>15</v>
      </c>
      <c r="K28" s="46">
        <v>0</v>
      </c>
      <c r="L28" s="46" t="s">
        <v>17</v>
      </c>
      <c r="M28" s="48" t="str">
        <f t="shared" si="0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29" spans="1:13" ht="16" x14ac:dyDescent="0.2">
      <c r="A29" s="31"/>
      <c r="B29" s="52">
        <v>45442</v>
      </c>
      <c r="C29" s="51" t="s">
        <v>43</v>
      </c>
      <c r="D29" s="36">
        <v>18</v>
      </c>
      <c r="F29" s="32" t="str">
        <f>IFERROR(VLOOKUP(D29,Sessions!A:G,2,FALSE),"")</f>
        <v>[Special] London Gallery Weekend</v>
      </c>
      <c r="G29" s="33">
        <f>IFERROR(VLOOKUP(D29,Sessions!A:G,3,FALSE),"")</f>
        <v>45445</v>
      </c>
      <c r="H29" s="32" t="str">
        <f>IFERROR(VLOOKUP(D29,Sessions!A:G,4,FALSE),"")</f>
        <v>11am</v>
      </c>
      <c r="I29" s="44">
        <f>IFERROR(VLOOKUP(D29,Sessions!A:G,5,FALSE),"")</f>
        <v>6</v>
      </c>
      <c r="J29" s="44">
        <f>IFERROR(VLOOKUP(D29,Sessions!A:G,6,FALSE),"")</f>
        <v>15</v>
      </c>
      <c r="M29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30" spans="1:13" ht="16" x14ac:dyDescent="0.2">
      <c r="A30" s="52"/>
      <c r="B30" s="52">
        <v>45428</v>
      </c>
      <c r="C30" s="51" t="s">
        <v>31</v>
      </c>
      <c r="D30" s="36">
        <v>18</v>
      </c>
      <c r="F30" s="32" t="str">
        <f>IFERROR(VLOOKUP(D30,Sessions!A:G,2,FALSE),"")</f>
        <v>[Special] London Gallery Weekend</v>
      </c>
      <c r="G30" s="33">
        <f>IFERROR(VLOOKUP(D30,Sessions!A:G,3,FALSE),"")</f>
        <v>45445</v>
      </c>
      <c r="H30" s="32" t="str">
        <f>IFERROR(VLOOKUP(D30,Sessions!A:G,4,FALSE),"")</f>
        <v>11am</v>
      </c>
      <c r="I30" s="44">
        <f>IFERROR(VLOOKUP(D30,Sessions!A:G,5,FALSE),"")</f>
        <v>6</v>
      </c>
      <c r="J30" s="44">
        <f>IFERROR(VLOOKUP(D30,Sessions!A:G,6,FALSE),"")</f>
        <v>15</v>
      </c>
      <c r="K30" s="46">
        <v>6</v>
      </c>
      <c r="L30" s="46" t="s">
        <v>3</v>
      </c>
      <c r="M30" s="48" t="str">
        <f t="shared" si="0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31" spans="1:13" ht="16" x14ac:dyDescent="0.2">
      <c r="A31" s="31"/>
      <c r="B31" s="52">
        <v>45437</v>
      </c>
      <c r="C31" s="51" t="s">
        <v>44</v>
      </c>
      <c r="D31" s="36">
        <v>18</v>
      </c>
      <c r="F31" s="32" t="str">
        <f>IFERROR(VLOOKUP(D31,Sessions!A:G,2,FALSE),"")</f>
        <v>[Special] London Gallery Weekend</v>
      </c>
      <c r="G31" s="33">
        <f>IFERROR(VLOOKUP(D31,Sessions!A:G,3,FALSE),"")</f>
        <v>45445</v>
      </c>
      <c r="H31" s="32" t="str">
        <f>IFERROR(VLOOKUP(D31,Sessions!A:G,4,FALSE),"")</f>
        <v>11am</v>
      </c>
      <c r="I31" s="44">
        <f>IFERROR(VLOOKUP(D31,Sessions!A:G,5,FALSE),"")</f>
        <v>6</v>
      </c>
      <c r="J31" s="44">
        <f>IFERROR(VLOOKUP(D31,Sessions!A:G,6,FALSE),"")</f>
        <v>15</v>
      </c>
      <c r="K31" s="68">
        <v>0</v>
      </c>
      <c r="L31" s="46" t="s">
        <v>17</v>
      </c>
      <c r="M31" s="48" t="str">
        <f t="shared" si="0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32" spans="1:13" ht="16" x14ac:dyDescent="0.2">
      <c r="A32" s="31"/>
      <c r="B32" s="52">
        <v>45442</v>
      </c>
      <c r="C32" s="51" t="s">
        <v>45</v>
      </c>
      <c r="D32" s="36">
        <v>18</v>
      </c>
      <c r="F32" s="32" t="str">
        <f>IFERROR(VLOOKUP(D32,Sessions!A:G,2,FALSE),"")</f>
        <v>[Special] London Gallery Weekend</v>
      </c>
      <c r="G32" s="33">
        <f>IFERROR(VLOOKUP(D32,Sessions!A:G,3,FALSE),"")</f>
        <v>45445</v>
      </c>
      <c r="H32" s="32" t="str">
        <f>IFERROR(VLOOKUP(D32,Sessions!A:G,4,FALSE),"")</f>
        <v>11am</v>
      </c>
      <c r="I32" s="44">
        <f>IFERROR(VLOOKUP(D32,Sessions!A:G,5,FALSE),"")</f>
        <v>6</v>
      </c>
      <c r="J32" s="44">
        <f>IFERROR(VLOOKUP(D32,Sessions!A:G,6,FALSE),"")</f>
        <v>15</v>
      </c>
      <c r="M32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33" spans="1:13" ht="16" x14ac:dyDescent="0.2">
      <c r="A33" s="124"/>
      <c r="B33" s="52">
        <v>45443</v>
      </c>
      <c r="C33" s="51" t="s">
        <v>46</v>
      </c>
      <c r="D33" s="36">
        <v>18</v>
      </c>
      <c r="F33" s="32" t="str">
        <f>IFERROR(VLOOKUP(D33,Sessions!A:G,2,FALSE),"")</f>
        <v>[Special] London Gallery Weekend</v>
      </c>
      <c r="G33" s="33">
        <f>IFERROR(VLOOKUP(D33,Sessions!A:G,3,FALSE),"")</f>
        <v>45445</v>
      </c>
      <c r="H33" s="32" t="str">
        <f>IFERROR(VLOOKUP(D33,Sessions!A:G,4,FALSE),"")</f>
        <v>11am</v>
      </c>
      <c r="I33" s="44">
        <f>IFERROR(VLOOKUP(D33,Sessions!A:G,5,FALSE),"")</f>
        <v>6</v>
      </c>
      <c r="J33" s="44">
        <f>IFERROR(VLOOKUP(D33,Sessions!A:G,6,FALSE),"")</f>
        <v>15</v>
      </c>
      <c r="K33" s="46">
        <v>6</v>
      </c>
      <c r="L33" s="46" t="s">
        <v>3</v>
      </c>
      <c r="M33" s="48" t="str">
        <f t="shared" si="0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34" spans="1:13" ht="16" x14ac:dyDescent="0.2">
      <c r="A34" s="31"/>
      <c r="B34" s="52">
        <v>45442</v>
      </c>
      <c r="C34" s="51" t="s">
        <v>47</v>
      </c>
      <c r="D34" s="36">
        <v>18</v>
      </c>
      <c r="F34" s="32" t="str">
        <f>IFERROR(VLOOKUP(D34,Sessions!A:G,2,FALSE),"")</f>
        <v>[Special] London Gallery Weekend</v>
      </c>
      <c r="G34" s="33">
        <f>IFERROR(VLOOKUP(D34,Sessions!A:G,3,FALSE),"")</f>
        <v>45445</v>
      </c>
      <c r="H34" s="32" t="str">
        <f>IFERROR(VLOOKUP(D34,Sessions!A:G,4,FALSE),"")</f>
        <v>11am</v>
      </c>
      <c r="I34" s="44">
        <f>IFERROR(VLOOKUP(D34,Sessions!A:G,5,FALSE),"")</f>
        <v>6</v>
      </c>
      <c r="J34" s="44">
        <f>IFERROR(VLOOKUP(D34,Sessions!A:G,6,FALSE),"")</f>
        <v>15</v>
      </c>
      <c r="M34" s="48" t="str">
        <f t="shared" si="0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35" spans="1:13" ht="16" x14ac:dyDescent="0.2">
      <c r="A35" s="52"/>
      <c r="B35" s="52">
        <v>45421</v>
      </c>
      <c r="C35" s="51" t="s">
        <v>34</v>
      </c>
      <c r="D35" s="36">
        <v>18</v>
      </c>
      <c r="F35" s="32" t="str">
        <f>IFERROR(VLOOKUP(D35,Sessions!A:G,2,FALSE),"")</f>
        <v>[Special] London Gallery Weekend</v>
      </c>
      <c r="G35" s="33">
        <f>IFERROR(VLOOKUP(D35,Sessions!A:G,3,FALSE),"")</f>
        <v>45445</v>
      </c>
      <c r="H35" s="32" t="str">
        <f>IFERROR(VLOOKUP(D35,Sessions!A:G,4,FALSE),"")</f>
        <v>11am</v>
      </c>
      <c r="I35" s="44">
        <f>IFERROR(VLOOKUP(D35,Sessions!A:G,5,FALSE),"")</f>
        <v>6</v>
      </c>
      <c r="J35" s="44">
        <f>IFERROR(VLOOKUP(D35,Sessions!A:G,6,FALSE),"")</f>
        <v>15</v>
      </c>
      <c r="K35" s="46">
        <v>6</v>
      </c>
      <c r="L35" s="46" t="s">
        <v>3</v>
      </c>
      <c r="M35" s="48" t="str">
        <f t="shared" ref="M35:M66" si="1">"It's all set! 🎉 Here is a summary of your order:
*Number of Tickets*: 1
*Experience*: "&amp;F35&amp;"
*Date*: "&amp;TEXT(G35,"dd/mm/yy")&amp;"
*Time*: "&amp;H35&amp;"
*Price*: "&amp;K35&amp;" "&amp;L35&amp;"
We will issue your tickets on Evenbrite soon.
*Cancelation Policy*: 100% refund for cancelations 24h prior to event."</f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36" spans="1:13" ht="16" x14ac:dyDescent="0.2">
      <c r="A36" s="31"/>
      <c r="B36" s="52">
        <v>45442</v>
      </c>
      <c r="C36" s="51" t="s">
        <v>48</v>
      </c>
      <c r="D36" s="36">
        <v>18</v>
      </c>
      <c r="F36" s="32" t="str">
        <f>IFERROR(VLOOKUP(D36,Sessions!A:G,2,FALSE),"")</f>
        <v>[Special] London Gallery Weekend</v>
      </c>
      <c r="G36" s="33">
        <f>IFERROR(VLOOKUP(D36,Sessions!A:G,3,FALSE),"")</f>
        <v>45445</v>
      </c>
      <c r="H36" s="32" t="str">
        <f>IFERROR(VLOOKUP(D36,Sessions!A:G,4,FALSE),"")</f>
        <v>11am</v>
      </c>
      <c r="I36" s="44">
        <f>IFERROR(VLOOKUP(D36,Sessions!A:G,5,FALSE),"")</f>
        <v>6</v>
      </c>
      <c r="J36" s="44">
        <f>IFERROR(VLOOKUP(D36,Sessions!A:G,6,FALSE),"")</f>
        <v>15</v>
      </c>
      <c r="K36" s="46">
        <v>15</v>
      </c>
      <c r="L36" s="46" t="s">
        <v>17</v>
      </c>
      <c r="M36" s="48" t="str">
        <f t="shared" si="1"/>
        <v>It's all set! 🎉 Here is a summary of your order:
*Number of Tickets*: 1
*Experience*: [Special] London Gallery Weekend
*Date*: 02/06/24
*Time*: 11am
*Price*: 15 pounds
We will issue your tickets on Evenbrite soon.
*Cancelation Policy*: 100% refund for cancelations 24h prior to event.</v>
      </c>
    </row>
    <row r="37" spans="1:13" ht="16" x14ac:dyDescent="0.2">
      <c r="A37" s="31"/>
      <c r="B37" s="52">
        <v>45435</v>
      </c>
      <c r="C37" s="51" t="s">
        <v>19</v>
      </c>
      <c r="D37" s="36">
        <v>18</v>
      </c>
      <c r="F37" s="32" t="str">
        <f>IFERROR(VLOOKUP(D37,Sessions!A:G,2,FALSE),"")</f>
        <v>[Special] London Gallery Weekend</v>
      </c>
      <c r="G37" s="33">
        <f>IFERROR(VLOOKUP(D37,Sessions!A:G,3,FALSE),"")</f>
        <v>45445</v>
      </c>
      <c r="H37" s="32" t="str">
        <f>IFERROR(VLOOKUP(D37,Sessions!A:G,4,FALSE),"")</f>
        <v>11am</v>
      </c>
      <c r="I37" s="44">
        <f>IFERROR(VLOOKUP(D37,Sessions!A:G,5,FALSE),"")</f>
        <v>6</v>
      </c>
      <c r="J37" s="44">
        <f>IFERROR(VLOOKUP(D37,Sessions!A:G,6,FALSE),"")</f>
        <v>15</v>
      </c>
      <c r="K37" s="46">
        <v>6</v>
      </c>
      <c r="L37" s="46" t="s">
        <v>3</v>
      </c>
      <c r="M37" s="48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38" spans="1:13" ht="16" x14ac:dyDescent="0.2">
      <c r="A38" s="124"/>
      <c r="C38" s="51" t="s">
        <v>29</v>
      </c>
      <c r="D38" s="36">
        <v>18</v>
      </c>
      <c r="F38" s="32" t="str">
        <f>IFERROR(VLOOKUP(D38,Sessions!A:G,2,FALSE),"")</f>
        <v>[Special] London Gallery Weekend</v>
      </c>
      <c r="G38" s="33">
        <f>IFERROR(VLOOKUP(D38,Sessions!A:G,3,FALSE),"")</f>
        <v>45445</v>
      </c>
      <c r="H38" s="32" t="str">
        <f>IFERROR(VLOOKUP(D38,Sessions!A:G,4,FALSE),"")</f>
        <v>11am</v>
      </c>
      <c r="I38" s="44">
        <f>IFERROR(VLOOKUP(D38,Sessions!A:G,5,FALSE),"")</f>
        <v>6</v>
      </c>
      <c r="J38" s="44">
        <f>IFERROR(VLOOKUP(D38,Sessions!A:G,6,FALSE),"")</f>
        <v>15</v>
      </c>
      <c r="M38" s="48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39" spans="1:13" ht="16" x14ac:dyDescent="0.2">
      <c r="A39" s="31"/>
      <c r="B39" s="52">
        <v>45442</v>
      </c>
      <c r="C39" s="51" t="s">
        <v>49</v>
      </c>
      <c r="D39" s="36">
        <v>18</v>
      </c>
      <c r="F39" s="32" t="str">
        <f>IFERROR(VLOOKUP(D39,Sessions!A:G,2,FALSE),"")</f>
        <v>[Special] London Gallery Weekend</v>
      </c>
      <c r="G39" s="33">
        <f>IFERROR(VLOOKUP(D39,Sessions!A:G,3,FALSE),"")</f>
        <v>45445</v>
      </c>
      <c r="H39" s="32" t="str">
        <f>IFERROR(VLOOKUP(D39,Sessions!A:G,4,FALSE),"")</f>
        <v>11am</v>
      </c>
      <c r="I39" s="44">
        <f>IFERROR(VLOOKUP(D39,Sessions!A:G,5,FALSE),"")</f>
        <v>6</v>
      </c>
      <c r="J39" s="44">
        <f>IFERROR(VLOOKUP(D39,Sessions!A:G,6,FALSE),"")</f>
        <v>15</v>
      </c>
      <c r="M39" s="48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40" spans="1:13" ht="16" x14ac:dyDescent="0.2">
      <c r="A40" s="31"/>
      <c r="B40" s="52">
        <v>45435</v>
      </c>
      <c r="C40" s="51" t="s">
        <v>22</v>
      </c>
      <c r="D40" s="36">
        <v>18</v>
      </c>
      <c r="F40" s="32" t="str">
        <f>IFERROR(VLOOKUP(D40,Sessions!A:G,2,FALSE),"")</f>
        <v>[Special] London Gallery Weekend</v>
      </c>
      <c r="G40" s="33">
        <f>IFERROR(VLOOKUP(D40,Sessions!A:G,3,FALSE),"")</f>
        <v>45445</v>
      </c>
      <c r="H40" s="32" t="str">
        <f>IFERROR(VLOOKUP(D40,Sessions!A:G,4,FALSE),"")</f>
        <v>11am</v>
      </c>
      <c r="I40" s="44">
        <f>IFERROR(VLOOKUP(D40,Sessions!A:G,5,FALSE),"")</f>
        <v>6</v>
      </c>
      <c r="J40" s="44">
        <f>IFERROR(VLOOKUP(D40,Sessions!A:G,6,FALSE),"")</f>
        <v>15</v>
      </c>
      <c r="K40" s="46">
        <v>6</v>
      </c>
      <c r="L40" s="46" t="s">
        <v>3</v>
      </c>
      <c r="M40" s="48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41" spans="1:13" ht="16" x14ac:dyDescent="0.2">
      <c r="A41" s="31"/>
      <c r="B41" s="52">
        <v>45441</v>
      </c>
      <c r="C41" s="51" t="s">
        <v>50</v>
      </c>
      <c r="D41" s="36">
        <v>18</v>
      </c>
      <c r="E41" s="31" t="s">
        <v>51</v>
      </c>
      <c r="F41" s="32" t="str">
        <f>IFERROR(VLOOKUP(D41,Sessions!A:G,2,FALSE),"")</f>
        <v>[Special] London Gallery Weekend</v>
      </c>
      <c r="G41" s="33">
        <f>IFERROR(VLOOKUP(D41,Sessions!A:G,3,FALSE),"")</f>
        <v>45445</v>
      </c>
      <c r="H41" s="32" t="str">
        <f>IFERROR(VLOOKUP(D41,Sessions!A:G,4,FALSE),"")</f>
        <v>11am</v>
      </c>
      <c r="I41" s="44">
        <f>IFERROR(VLOOKUP(D41,Sessions!A:G,5,FALSE),"")</f>
        <v>6</v>
      </c>
      <c r="J41" s="44">
        <f>IFERROR(VLOOKUP(D41,Sessions!A:G,6,FALSE),"")</f>
        <v>15</v>
      </c>
      <c r="K41" s="46">
        <v>0</v>
      </c>
      <c r="L41" s="46" t="s">
        <v>17</v>
      </c>
      <c r="M41" s="48" t="str">
        <f t="shared" si="1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42" spans="1:13" ht="16" x14ac:dyDescent="0.2">
      <c r="A42" s="124"/>
      <c r="B42" s="52">
        <v>45445</v>
      </c>
      <c r="C42" s="51" t="s">
        <v>52</v>
      </c>
      <c r="D42" s="71">
        <v>18</v>
      </c>
      <c r="F42" s="32" t="str">
        <f>IFERROR(VLOOKUP(D42,Sessions!A:G,2,FALSE),"")</f>
        <v>[Special] London Gallery Weekend</v>
      </c>
      <c r="G42" s="33">
        <f>IFERROR(VLOOKUP(D42,Sessions!A:G,3,FALSE),"")</f>
        <v>45445</v>
      </c>
      <c r="H42" s="32" t="str">
        <f>IFERROR(VLOOKUP(D42,Sessions!A:G,4,FALSE),"")</f>
        <v>11am</v>
      </c>
      <c r="I42" s="44">
        <f>IFERROR(VLOOKUP(D42,Sessions!A:G,5,FALSE),"")</f>
        <v>6</v>
      </c>
      <c r="J42" s="44">
        <f>IFERROR(VLOOKUP(D42,Sessions!A:G,6,FALSE),"")</f>
        <v>15</v>
      </c>
      <c r="M42" s="48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43" spans="1:13" ht="16" x14ac:dyDescent="0.2">
      <c r="A43" s="52"/>
      <c r="B43" s="52">
        <v>45425</v>
      </c>
      <c r="C43" s="51" t="s">
        <v>53</v>
      </c>
      <c r="D43" s="36">
        <v>19</v>
      </c>
      <c r="F43" s="32" t="str">
        <f>IFERROR(VLOOKUP(D43,Sessions!A:G,2,FALSE),"")</f>
        <v>[Curator's Tour] Leo Robinson's at London Mithraeum</v>
      </c>
      <c r="G43" s="33">
        <f>IFERROR(VLOOKUP(D43,Sessions!A:G,3,FALSE),"")</f>
        <v>45463</v>
      </c>
      <c r="H43" s="32" t="str">
        <f>IFERROR(VLOOKUP(D43,Sessions!A:G,4,FALSE),"")</f>
        <v>4:30pm</v>
      </c>
      <c r="I43" s="44">
        <f>IFERROR(VLOOKUP(D43,Sessions!A:G,5,FALSE),"")</f>
        <v>6</v>
      </c>
      <c r="J43" s="44">
        <f>IFERROR(VLOOKUP(D43,Sessions!A:G,6,FALSE),"")</f>
        <v>15</v>
      </c>
      <c r="K43" s="46">
        <v>15</v>
      </c>
      <c r="L43" s="46" t="s">
        <v>17</v>
      </c>
      <c r="M43" s="48" t="str">
        <f t="shared" si="1"/>
        <v>It's all set! 🎉 Here is a summary of your order:
*Number of Tickets*: 1
*Experience*: [Curator's Tour] Leo Robinson's at London Mithraeum
*Date*: 20/06/24
*Time*: 4:30pm
*Price*: 15 pounds
We will issue your tickets on Evenbrite soon.
*Cancelation Policy*: 100% refund for cancelations 24h prior to event.</v>
      </c>
    </row>
    <row r="44" spans="1:13" ht="16" x14ac:dyDescent="0.2">
      <c r="A44" s="124" t="s">
        <v>54</v>
      </c>
      <c r="B44" s="52">
        <v>45447</v>
      </c>
      <c r="C44" s="51" t="s">
        <v>31</v>
      </c>
      <c r="D44" s="36">
        <v>19</v>
      </c>
      <c r="F44" s="32" t="str">
        <f>IFERROR(VLOOKUP(D44,Sessions!A:G,2,FALSE),"")</f>
        <v>[Curator's Tour] Leo Robinson's at London Mithraeum</v>
      </c>
      <c r="G44" s="33">
        <f>IFERROR(VLOOKUP(D44,Sessions!A:G,3,FALSE),"")</f>
        <v>45463</v>
      </c>
      <c r="H44" s="32" t="str">
        <f>IFERROR(VLOOKUP(D44,Sessions!A:G,4,FALSE),"")</f>
        <v>4:30pm</v>
      </c>
      <c r="I44" s="44">
        <f>IFERROR(VLOOKUP(D44,Sessions!A:G,5,FALSE),"")</f>
        <v>6</v>
      </c>
      <c r="J44" s="44">
        <f>IFERROR(VLOOKUP(D44,Sessions!A:G,6,FALSE),"")</f>
        <v>15</v>
      </c>
      <c r="K44" s="46">
        <v>6</v>
      </c>
      <c r="L44" s="46" t="s">
        <v>3</v>
      </c>
      <c r="M44" s="48" t="str">
        <f t="shared" si="1"/>
        <v>It's all set! 🎉 Here is a summary of your order:
*Number of Tickets*: 1
*Experience*: [Curator's Tour] Leo Robinson's at London Mithraeum
*Date*: 20/06/24
*Time*: 4:30pm
*Price*: 6 credits
We will issue your tickets on Evenbrite soon.
*Cancelation Policy*: 100% refund for cancelations 24h prior to event.</v>
      </c>
    </row>
    <row r="45" spans="1:13" ht="16" x14ac:dyDescent="0.2">
      <c r="A45" s="31"/>
      <c r="B45" s="52">
        <v>45432</v>
      </c>
      <c r="C45" s="51" t="s">
        <v>24</v>
      </c>
      <c r="D45" s="36">
        <v>20</v>
      </c>
      <c r="F45" s="32" t="str">
        <f>IFERROR(VLOOKUP(D45,Sessions!A:G,2,FALSE),"")</f>
        <v>Thomas Cameron  Studio + Shay Dinner</v>
      </c>
      <c r="G45" s="33">
        <f>IFERROR(VLOOKUP(D45,Sessions!A:G,3,FALSE),"")</f>
        <v>45433</v>
      </c>
      <c r="H45" s="32" t="str">
        <f>IFERROR(VLOOKUP(D45,Sessions!A:G,4,FALSE),"")</f>
        <v>6:30pm</v>
      </c>
      <c r="I45" s="44">
        <f>IFERROR(VLOOKUP(D45,Sessions!A:G,5,FALSE),"")</f>
        <v>0</v>
      </c>
      <c r="J45" s="44">
        <f>IFERROR(VLOOKUP(D45,Sessions!A:G,6,FALSE),"")</f>
        <v>0</v>
      </c>
      <c r="K45" s="46">
        <v>0</v>
      </c>
      <c r="L45" s="46" t="s">
        <v>3</v>
      </c>
      <c r="M45" s="48" t="str">
        <f t="shared" si="1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46" spans="1:13" ht="16" x14ac:dyDescent="0.2">
      <c r="A46" s="31"/>
      <c r="B46" s="52">
        <v>45432</v>
      </c>
      <c r="C46" s="51" t="s">
        <v>53</v>
      </c>
      <c r="D46" s="36">
        <v>20</v>
      </c>
      <c r="F46" s="32" t="str">
        <f>IFERROR(VLOOKUP(D46,Sessions!A:G,2,FALSE),"")</f>
        <v>Thomas Cameron  Studio + Shay Dinner</v>
      </c>
      <c r="G46" s="33">
        <f>IFERROR(VLOOKUP(D46,Sessions!A:G,3,FALSE),"")</f>
        <v>45433</v>
      </c>
      <c r="H46" s="32" t="str">
        <f>IFERROR(VLOOKUP(D46,Sessions!A:G,4,FALSE),"")</f>
        <v>6:30pm</v>
      </c>
      <c r="I46" s="44">
        <f>IFERROR(VLOOKUP(D46,Sessions!A:G,5,FALSE),"")</f>
        <v>0</v>
      </c>
      <c r="J46" s="44">
        <f>IFERROR(VLOOKUP(D46,Sessions!A:G,6,FALSE),"")</f>
        <v>0</v>
      </c>
      <c r="K46" s="46">
        <v>0</v>
      </c>
      <c r="L46" s="46" t="s">
        <v>3</v>
      </c>
      <c r="M46" s="48" t="str">
        <f t="shared" si="1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47" spans="1:13" ht="16" x14ac:dyDescent="0.2">
      <c r="A47" s="31"/>
      <c r="B47" s="52">
        <v>45432</v>
      </c>
      <c r="C47" s="51" t="s">
        <v>29</v>
      </c>
      <c r="D47" s="36">
        <v>20</v>
      </c>
      <c r="F47" s="32" t="str">
        <f>IFERROR(VLOOKUP(D47,Sessions!A:G,2,FALSE),"")</f>
        <v>Thomas Cameron  Studio + Shay Dinner</v>
      </c>
      <c r="G47" s="33">
        <f>IFERROR(VLOOKUP(D47,Sessions!A:G,3,FALSE),"")</f>
        <v>45433</v>
      </c>
      <c r="H47" s="32" t="str">
        <f>IFERROR(VLOOKUP(D47,Sessions!A:G,4,FALSE),"")</f>
        <v>6:30pm</v>
      </c>
      <c r="I47" s="44">
        <f>IFERROR(VLOOKUP(D47,Sessions!A:G,5,FALSE),"")</f>
        <v>0</v>
      </c>
      <c r="J47" s="44">
        <f>IFERROR(VLOOKUP(D47,Sessions!A:G,6,FALSE),"")</f>
        <v>0</v>
      </c>
      <c r="K47" s="46">
        <v>0</v>
      </c>
      <c r="L47" s="46" t="s">
        <v>3</v>
      </c>
      <c r="M47" s="48" t="str">
        <f t="shared" si="1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48" spans="1:13" ht="16" x14ac:dyDescent="0.2">
      <c r="A48" s="31"/>
      <c r="B48" s="52">
        <v>45434</v>
      </c>
      <c r="C48" s="51" t="s">
        <v>37</v>
      </c>
      <c r="D48" s="36">
        <v>21</v>
      </c>
      <c r="F48" s="32" t="str">
        <f>IFERROR(VLOOKUP(D48,Sessions!A:G,2,FALSE),"")</f>
        <v>Jazz, Cheese, Art and Wine</v>
      </c>
      <c r="G48" s="33">
        <f>IFERROR(VLOOKUP(D48,Sessions!A:G,3,FALSE),"")</f>
        <v>45434</v>
      </c>
      <c r="H48" s="32" t="str">
        <f>IFERROR(VLOOKUP(D48,Sessions!A:G,4,FALSE),"")</f>
        <v>6:30pm</v>
      </c>
      <c r="I48" s="44">
        <f>IFERROR(VLOOKUP(D48,Sessions!A:G,5,FALSE),"")</f>
        <v>0</v>
      </c>
      <c r="J48" s="44">
        <f>IFERROR(VLOOKUP(D48,Sessions!A:G,6,FALSE),"")</f>
        <v>0</v>
      </c>
      <c r="M48" s="48" t="str">
        <f t="shared" si="1"/>
        <v>It's all set! 🎉 Here is a summary of your order:
*Number of Tickets*: 1
*Experience*: Jazz, Cheese, Art and Wine
*Date*: 22/05/24
*Time*: 6:30pm
*Price*:  
We will issue your tickets on Evenbrite soon.
*Cancelation Policy*: 100% refund for cancelations 24h prior to event.</v>
      </c>
    </row>
    <row r="49" spans="1:13" ht="16" x14ac:dyDescent="0.2">
      <c r="A49" s="31"/>
      <c r="B49" s="52">
        <v>45434</v>
      </c>
      <c r="C49" s="51" t="s">
        <v>37</v>
      </c>
      <c r="D49" s="36">
        <v>21</v>
      </c>
      <c r="F49" s="32" t="str">
        <f>IFERROR(VLOOKUP(D49,Sessions!A:G,2,FALSE),"")</f>
        <v>Jazz, Cheese, Art and Wine</v>
      </c>
      <c r="G49" s="33">
        <f>IFERROR(VLOOKUP(D49,Sessions!A:G,3,FALSE),"")</f>
        <v>45434</v>
      </c>
      <c r="H49" s="32" t="str">
        <f>IFERROR(VLOOKUP(D49,Sessions!A:G,4,FALSE),"")</f>
        <v>6:30pm</v>
      </c>
      <c r="I49" s="44">
        <f>IFERROR(VLOOKUP(D49,Sessions!A:G,5,FALSE),"")</f>
        <v>0</v>
      </c>
      <c r="J49" s="44">
        <f>IFERROR(VLOOKUP(D49,Sessions!A:G,6,FALSE),"")</f>
        <v>0</v>
      </c>
      <c r="M49" s="48" t="str">
        <f t="shared" si="1"/>
        <v>It's all set! 🎉 Here is a summary of your order:
*Number of Tickets*: 1
*Experience*: Jazz, Cheese, Art and Wine
*Date*: 22/05/24
*Time*: 6:30pm
*Price*:  
We will issue your tickets on Evenbrite soon.
*Cancelation Policy*: 100% refund for cancelations 24h prior to event.</v>
      </c>
    </row>
    <row r="50" spans="1:13" ht="16" x14ac:dyDescent="0.2">
      <c r="A50" s="31" t="s">
        <v>36</v>
      </c>
      <c r="B50" s="52">
        <v>45432</v>
      </c>
      <c r="C50" s="51" t="s">
        <v>52</v>
      </c>
      <c r="D50" s="36">
        <v>21</v>
      </c>
      <c r="F50" s="32" t="str">
        <f>IFERROR(VLOOKUP(D50,Sessions!A:G,2,FALSE),"")</f>
        <v>Jazz, Cheese, Art and Wine</v>
      </c>
      <c r="G50" s="33">
        <f>IFERROR(VLOOKUP(D50,Sessions!A:G,3,FALSE),"")</f>
        <v>45434</v>
      </c>
      <c r="H50" s="32" t="str">
        <f>IFERROR(VLOOKUP(D50,Sessions!A:G,4,FALSE),"")</f>
        <v>6:30pm</v>
      </c>
      <c r="I50" s="44">
        <f>IFERROR(VLOOKUP(D50,Sessions!A:G,5,FALSE),"")</f>
        <v>0</v>
      </c>
      <c r="J50" s="44">
        <f>IFERROR(VLOOKUP(D50,Sessions!A:G,6,FALSE),"")</f>
        <v>0</v>
      </c>
      <c r="K50" s="46">
        <v>0</v>
      </c>
      <c r="L50" s="46" t="s">
        <v>3</v>
      </c>
      <c r="M50" s="48" t="str">
        <f t="shared" si="1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51" spans="1:13" ht="16" x14ac:dyDescent="0.2">
      <c r="A51" s="31" t="s">
        <v>36</v>
      </c>
      <c r="B51" s="52">
        <v>45432</v>
      </c>
      <c r="C51" s="51" t="s">
        <v>20</v>
      </c>
      <c r="D51" s="36">
        <v>21</v>
      </c>
      <c r="F51" s="32" t="str">
        <f>IFERROR(VLOOKUP(D51,Sessions!A:G,2,FALSE),"")</f>
        <v>Jazz, Cheese, Art and Wine</v>
      </c>
      <c r="G51" s="33">
        <f>IFERROR(VLOOKUP(D51,Sessions!A:G,3,FALSE),"")</f>
        <v>45434</v>
      </c>
      <c r="H51" s="32" t="str">
        <f>IFERROR(VLOOKUP(D51,Sessions!A:G,4,FALSE),"")</f>
        <v>6:30pm</v>
      </c>
      <c r="I51" s="44">
        <f>IFERROR(VLOOKUP(D51,Sessions!A:G,5,FALSE),"")</f>
        <v>0</v>
      </c>
      <c r="J51" s="44">
        <f>IFERROR(VLOOKUP(D51,Sessions!A:G,6,FALSE),"")</f>
        <v>0</v>
      </c>
      <c r="K51" s="46">
        <v>0</v>
      </c>
      <c r="L51" s="46" t="s">
        <v>3</v>
      </c>
      <c r="M51" s="48" t="str">
        <f t="shared" si="1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52" spans="1:13" ht="16" x14ac:dyDescent="0.2">
      <c r="A52" s="31"/>
      <c r="B52" s="52">
        <v>45432</v>
      </c>
      <c r="C52" s="51" t="s">
        <v>29</v>
      </c>
      <c r="D52" s="36">
        <v>21</v>
      </c>
      <c r="F52" s="32" t="str">
        <f>IFERROR(VLOOKUP(D52,Sessions!A:G,2,FALSE),"")</f>
        <v>Jazz, Cheese, Art and Wine</v>
      </c>
      <c r="G52" s="33">
        <f>IFERROR(VLOOKUP(D52,Sessions!A:G,3,FALSE),"")</f>
        <v>45434</v>
      </c>
      <c r="H52" s="32" t="str">
        <f>IFERROR(VLOOKUP(D52,Sessions!A:G,4,FALSE),"")</f>
        <v>6:30pm</v>
      </c>
      <c r="I52" s="44">
        <f>IFERROR(VLOOKUP(D52,Sessions!A:G,5,FALSE),"")</f>
        <v>0</v>
      </c>
      <c r="J52" s="44">
        <f>IFERROR(VLOOKUP(D52,Sessions!A:G,6,FALSE),"")</f>
        <v>0</v>
      </c>
      <c r="K52" s="46">
        <v>0</v>
      </c>
      <c r="L52" s="46" t="s">
        <v>3</v>
      </c>
      <c r="M52" s="48" t="str">
        <f t="shared" si="1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53" spans="1:13" ht="16" x14ac:dyDescent="0.2">
      <c r="A53" s="52" t="s">
        <v>55</v>
      </c>
      <c r="B53" s="52">
        <v>45432</v>
      </c>
      <c r="C53" s="51" t="s">
        <v>37</v>
      </c>
      <c r="D53" s="36">
        <v>22</v>
      </c>
      <c r="F53" s="32" t="str">
        <f>IFERROR(VLOOKUP(D53,Sessions!A:G,2,FALSE),"")</f>
        <v>Courtauld Late: Frank Auerbach</v>
      </c>
      <c r="G53" s="33">
        <f>IFERROR(VLOOKUP(D53,Sessions!A:G,3,FALSE),"")</f>
        <v>45436</v>
      </c>
      <c r="H53" s="32" t="str">
        <f>IFERROR(VLOOKUP(D53,Sessions!A:G,4,FALSE),"")</f>
        <v>6:45pm</v>
      </c>
      <c r="I53" s="44">
        <f>IFERROR(VLOOKUP(D53,Sessions!A:G,5,FALSE),"")</f>
        <v>6</v>
      </c>
      <c r="J53" s="44">
        <f>IFERROR(VLOOKUP(D53,Sessions!A:G,6,FALSE),"")</f>
        <v>19</v>
      </c>
      <c r="K53" s="46">
        <v>0</v>
      </c>
      <c r="L53" s="46" t="s">
        <v>3</v>
      </c>
      <c r="M53" s="48" t="str">
        <f t="shared" si="1"/>
        <v>It's all set! 🎉 Here is a summary of your order:
*Number of Tickets*: 1
*Experience*: Courtauld Late: Frank Auerbach
*Date*: 24/05/24
*Time*: 6:45pm
*Price*: 0 credits
We will issue your tickets on Evenbrite soon.
*Cancelation Policy*: 100% refund for cancelations 24h prior to event.</v>
      </c>
    </row>
    <row r="54" spans="1:13" ht="16" x14ac:dyDescent="0.2">
      <c r="A54" s="31"/>
      <c r="B54" s="52">
        <v>45434</v>
      </c>
      <c r="C54" s="51" t="s">
        <v>18</v>
      </c>
      <c r="D54" s="36">
        <v>22</v>
      </c>
      <c r="F54" s="32" t="str">
        <f>IFERROR(VLOOKUP(D54,Sessions!A:G,2,FALSE),"")</f>
        <v>Courtauld Late: Frank Auerbach</v>
      </c>
      <c r="G54" s="33">
        <f>IFERROR(VLOOKUP(D54,Sessions!A:G,3,FALSE),"")</f>
        <v>45436</v>
      </c>
      <c r="H54" s="32" t="str">
        <f>IFERROR(VLOOKUP(D54,Sessions!A:G,4,FALSE),"")</f>
        <v>6:45pm</v>
      </c>
      <c r="I54" s="44">
        <f>IFERROR(VLOOKUP(D54,Sessions!A:G,5,FALSE),"")</f>
        <v>6</v>
      </c>
      <c r="J54" s="44">
        <f>IFERROR(VLOOKUP(D54,Sessions!A:G,6,FALSE),"")</f>
        <v>19</v>
      </c>
      <c r="K54" s="46">
        <v>6</v>
      </c>
      <c r="L54" s="46" t="s">
        <v>3</v>
      </c>
      <c r="M54" s="48" t="str">
        <f t="shared" si="1"/>
        <v>It's all set! 🎉 Here is a summary of your order:
*Number of Tickets*: 1
*Experience*: Courtauld Late: Frank Auerbach
*Date*: 24/05/24
*Time*: 6:45pm
*Price*: 6 credits
We will issue your tickets on Evenbrite soon.
*Cancelation Policy*: 100% refund for cancelations 24h prior to event.</v>
      </c>
    </row>
    <row r="55" spans="1:13" ht="16" x14ac:dyDescent="0.2">
      <c r="A55" s="31"/>
      <c r="B55" s="52">
        <v>45436</v>
      </c>
      <c r="C55" s="51" t="s">
        <v>56</v>
      </c>
      <c r="D55" s="36">
        <v>22</v>
      </c>
      <c r="F55" s="32" t="str">
        <f>IFERROR(VLOOKUP(D55,Sessions!A:G,2,FALSE),"")</f>
        <v>Courtauld Late: Frank Auerbach</v>
      </c>
      <c r="G55" s="33">
        <f>IFERROR(VLOOKUP(D55,Sessions!A:G,3,FALSE),"")</f>
        <v>45436</v>
      </c>
      <c r="H55" s="32" t="str">
        <f>IFERROR(VLOOKUP(D55,Sessions!A:G,4,FALSE),"")</f>
        <v>6:45pm</v>
      </c>
      <c r="I55" s="44">
        <f>IFERROR(VLOOKUP(D55,Sessions!A:G,5,FALSE),"")</f>
        <v>6</v>
      </c>
      <c r="J55" s="44">
        <f>IFERROR(VLOOKUP(D55,Sessions!A:G,6,FALSE),"")</f>
        <v>19</v>
      </c>
      <c r="K55" s="46">
        <v>14</v>
      </c>
      <c r="L55" s="46" t="s">
        <v>17</v>
      </c>
      <c r="M55" s="48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56" spans="1:13" ht="16" x14ac:dyDescent="0.2">
      <c r="A56" s="31"/>
      <c r="B56" s="52">
        <v>45436</v>
      </c>
      <c r="C56" s="51" t="s">
        <v>57</v>
      </c>
      <c r="D56" s="36">
        <v>22</v>
      </c>
      <c r="F56" s="32" t="str">
        <f>IFERROR(VLOOKUP(D56,Sessions!A:G,2,FALSE),"")</f>
        <v>Courtauld Late: Frank Auerbach</v>
      </c>
      <c r="G56" s="33">
        <f>IFERROR(VLOOKUP(D56,Sessions!A:G,3,FALSE),"")</f>
        <v>45436</v>
      </c>
      <c r="H56" s="32" t="str">
        <f>IFERROR(VLOOKUP(D56,Sessions!A:G,4,FALSE),"")</f>
        <v>6:45pm</v>
      </c>
      <c r="I56" s="44">
        <f>IFERROR(VLOOKUP(D56,Sessions!A:G,5,FALSE),"")</f>
        <v>6</v>
      </c>
      <c r="J56" s="44">
        <f>IFERROR(VLOOKUP(D56,Sessions!A:G,6,FALSE),"")</f>
        <v>19</v>
      </c>
      <c r="K56" s="46">
        <v>15</v>
      </c>
      <c r="L56" s="46" t="s">
        <v>17</v>
      </c>
      <c r="M56" s="48" t="str">
        <f t="shared" si="1"/>
        <v>It's all set! 🎉 Here is a summary of your order:
*Number of Tickets*: 1
*Experience*: Courtauld Late: Frank Auerbach
*Date*: 24/05/24
*Time*: 6:45pm
*Price*: 15 pounds
We will issue your tickets on Evenbrite soon.
*Cancelation Policy*: 100% refund for cancelations 24h prior to event.</v>
      </c>
    </row>
    <row r="57" spans="1:13" ht="16" x14ac:dyDescent="0.2">
      <c r="A57" s="31"/>
      <c r="B57" s="52">
        <v>45436</v>
      </c>
      <c r="C57" s="51" t="s">
        <v>58</v>
      </c>
      <c r="D57" s="71">
        <v>22</v>
      </c>
      <c r="F57" s="32" t="str">
        <f>IFERROR(VLOOKUP(D57,Sessions!A:G,2,FALSE),"")</f>
        <v>Courtauld Late: Frank Auerbach</v>
      </c>
      <c r="G57" s="33">
        <f>IFERROR(VLOOKUP(D57,Sessions!A:G,3,FALSE),"")</f>
        <v>45436</v>
      </c>
      <c r="H57" s="32" t="str">
        <f>IFERROR(VLOOKUP(D57,Sessions!A:G,4,FALSE),"")</f>
        <v>6:45pm</v>
      </c>
      <c r="I57" s="44">
        <f>IFERROR(VLOOKUP(D57,Sessions!A:G,5,FALSE),"")</f>
        <v>6</v>
      </c>
      <c r="J57" s="44">
        <f>IFERROR(VLOOKUP(D57,Sessions!A:G,6,FALSE),"")</f>
        <v>19</v>
      </c>
      <c r="K57" s="46">
        <v>14</v>
      </c>
      <c r="L57" s="46" t="s">
        <v>17</v>
      </c>
      <c r="M57" s="48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58" spans="1:13" ht="16" x14ac:dyDescent="0.2">
      <c r="A58" s="31"/>
      <c r="B58" s="52">
        <v>45436</v>
      </c>
      <c r="C58" s="51" t="s">
        <v>59</v>
      </c>
      <c r="D58" s="36">
        <v>22</v>
      </c>
      <c r="F58" s="32" t="str">
        <f>IFERROR(VLOOKUP(D58,Sessions!A:G,2,FALSE),"")</f>
        <v>Courtauld Late: Frank Auerbach</v>
      </c>
      <c r="G58" s="33">
        <f>IFERROR(VLOOKUP(D58,Sessions!A:G,3,FALSE),"")</f>
        <v>45436</v>
      </c>
      <c r="H58" s="32" t="str">
        <f>IFERROR(VLOOKUP(D58,Sessions!A:G,4,FALSE),"")</f>
        <v>6:45pm</v>
      </c>
      <c r="I58" s="44">
        <f>IFERROR(VLOOKUP(D58,Sessions!A:G,5,FALSE),"")</f>
        <v>6</v>
      </c>
      <c r="J58" s="44">
        <f>IFERROR(VLOOKUP(D58,Sessions!A:G,6,FALSE),"")</f>
        <v>19</v>
      </c>
      <c r="K58" s="46">
        <v>14</v>
      </c>
      <c r="L58" s="46" t="s">
        <v>17</v>
      </c>
      <c r="M58" s="48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59" spans="1:13" ht="16" x14ac:dyDescent="0.2">
      <c r="A59" s="31"/>
      <c r="B59" s="52">
        <v>45442</v>
      </c>
      <c r="C59" s="51" t="s">
        <v>60</v>
      </c>
      <c r="D59" s="36">
        <v>23</v>
      </c>
      <c r="F59" s="32" t="str">
        <f>IFERROR(VLOOKUP(D59,Sessions!A:G,2,FALSE),"")</f>
        <v>Heloisa Hariadne @ Twani Gallery</v>
      </c>
      <c r="G59" s="33">
        <f>IFERROR(VLOOKUP(D59,Sessions!A:G,3,FALSE),"")</f>
        <v>45442</v>
      </c>
      <c r="H59" s="32" t="str">
        <f>IFERROR(VLOOKUP(D59,Sessions!A:G,4,FALSE),"")</f>
        <v>6:30pm</v>
      </c>
      <c r="I59" s="44">
        <f>IFERROR(VLOOKUP(D59,Sessions!A:G,5,FALSE),"")</f>
        <v>0</v>
      </c>
      <c r="J59" s="44">
        <f>IFERROR(VLOOKUP(D59,Sessions!A:G,6,FALSE),"")</f>
        <v>0</v>
      </c>
      <c r="K59" s="46">
        <v>0</v>
      </c>
      <c r="L59" s="46" t="s">
        <v>17</v>
      </c>
      <c r="M59" s="48" t="str">
        <f t="shared" si="1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0" spans="1:13" ht="16" x14ac:dyDescent="0.2">
      <c r="A60" s="31"/>
      <c r="B60" s="52">
        <v>45440</v>
      </c>
      <c r="C60" s="51" t="s">
        <v>61</v>
      </c>
      <c r="D60" s="36">
        <v>23</v>
      </c>
      <c r="F60" s="32" t="str">
        <f>IFERROR(VLOOKUP(D60,Sessions!A:G,2,FALSE),"")</f>
        <v>Heloisa Hariadne @ Twani Gallery</v>
      </c>
      <c r="G60" s="33">
        <f>IFERROR(VLOOKUP(D60,Sessions!A:G,3,FALSE),"")</f>
        <v>45442</v>
      </c>
      <c r="H60" s="32" t="str">
        <f>IFERROR(VLOOKUP(D60,Sessions!A:G,4,FALSE),"")</f>
        <v>6:30pm</v>
      </c>
      <c r="I60" s="44">
        <f>IFERROR(VLOOKUP(D60,Sessions!A:G,5,FALSE),"")</f>
        <v>0</v>
      </c>
      <c r="J60" s="44">
        <f>IFERROR(VLOOKUP(D60,Sessions!A:G,6,FALSE),"")</f>
        <v>0</v>
      </c>
      <c r="K60" s="46">
        <v>0</v>
      </c>
      <c r="L60" s="46" t="s">
        <v>17</v>
      </c>
      <c r="M60" s="48" t="str">
        <f t="shared" si="1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1" spans="1:13" ht="16" x14ac:dyDescent="0.2">
      <c r="A61" s="31" t="s">
        <v>62</v>
      </c>
      <c r="B61" s="52">
        <v>45440</v>
      </c>
      <c r="C61" s="51" t="s">
        <v>39</v>
      </c>
      <c r="D61" s="36">
        <v>23</v>
      </c>
      <c r="F61" s="32" t="str">
        <f>IFERROR(VLOOKUP(D61,Sessions!A:G,2,FALSE),"")</f>
        <v>Heloisa Hariadne @ Twani Gallery</v>
      </c>
      <c r="G61" s="33">
        <f>IFERROR(VLOOKUP(D61,Sessions!A:G,3,FALSE),"")</f>
        <v>45442</v>
      </c>
      <c r="H61" s="32" t="str">
        <f>IFERROR(VLOOKUP(D61,Sessions!A:G,4,FALSE),"")</f>
        <v>6:30pm</v>
      </c>
      <c r="I61" s="44">
        <f>IFERROR(VLOOKUP(D61,Sessions!A:G,5,FALSE),"")</f>
        <v>0</v>
      </c>
      <c r="J61" s="44">
        <f>IFERROR(VLOOKUP(D61,Sessions!A:G,6,FALSE),"")</f>
        <v>0</v>
      </c>
      <c r="K61" s="46">
        <v>0</v>
      </c>
      <c r="L61" s="46" t="s">
        <v>17</v>
      </c>
      <c r="M61" s="48" t="str">
        <f t="shared" si="1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2" spans="1:13" ht="16" x14ac:dyDescent="0.2">
      <c r="A62" s="31"/>
      <c r="B62" s="52">
        <v>45442</v>
      </c>
      <c r="C62" s="51" t="s">
        <v>63</v>
      </c>
      <c r="D62" s="36">
        <v>23</v>
      </c>
      <c r="F62" s="32" t="str">
        <f>IFERROR(VLOOKUP(D62,Sessions!A:G,2,FALSE),"")</f>
        <v>Heloisa Hariadne @ Twani Gallery</v>
      </c>
      <c r="G62" s="33">
        <f>IFERROR(VLOOKUP(D62,Sessions!A:G,3,FALSE),"")</f>
        <v>45442</v>
      </c>
      <c r="H62" s="32" t="str">
        <f>IFERROR(VLOOKUP(D62,Sessions!A:G,4,FALSE),"")</f>
        <v>6:30pm</v>
      </c>
      <c r="I62" s="44">
        <f>IFERROR(VLOOKUP(D62,Sessions!A:G,5,FALSE),"")</f>
        <v>0</v>
      </c>
      <c r="J62" s="44">
        <f>IFERROR(VLOOKUP(D62,Sessions!A:G,6,FALSE),"")</f>
        <v>0</v>
      </c>
      <c r="K62" s="46">
        <v>0</v>
      </c>
      <c r="L62" s="46" t="s">
        <v>17</v>
      </c>
      <c r="M62" s="48" t="str">
        <f t="shared" si="1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3" spans="1:13" ht="16" x14ac:dyDescent="0.2">
      <c r="A63" s="31"/>
      <c r="B63" s="52">
        <v>45435</v>
      </c>
      <c r="C63" s="51" t="s">
        <v>37</v>
      </c>
      <c r="D63" s="36">
        <v>23</v>
      </c>
      <c r="F63" s="32" t="str">
        <f>IFERROR(VLOOKUP(D63,Sessions!A:G,2,FALSE),"")</f>
        <v>Heloisa Hariadne @ Twani Gallery</v>
      </c>
      <c r="G63" s="33">
        <f>IFERROR(VLOOKUP(D63,Sessions!A:G,3,FALSE),"")</f>
        <v>45442</v>
      </c>
      <c r="H63" s="32" t="str">
        <f>IFERROR(VLOOKUP(D63,Sessions!A:G,4,FALSE),"")</f>
        <v>6:30pm</v>
      </c>
      <c r="I63" s="44">
        <f>IFERROR(VLOOKUP(D63,Sessions!A:G,5,FALSE),"")</f>
        <v>0</v>
      </c>
      <c r="J63" s="44">
        <f>IFERROR(VLOOKUP(D63,Sessions!A:G,6,FALSE),"")</f>
        <v>0</v>
      </c>
      <c r="K63" s="46">
        <v>0</v>
      </c>
      <c r="L63" s="46" t="s">
        <v>3</v>
      </c>
      <c r="M63" s="48" t="str">
        <f t="shared" si="1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64" spans="1:13" ht="16" x14ac:dyDescent="0.2">
      <c r="A64" s="31"/>
      <c r="B64" s="52">
        <v>45432</v>
      </c>
      <c r="C64" s="51" t="s">
        <v>31</v>
      </c>
      <c r="D64" s="36">
        <v>23</v>
      </c>
      <c r="F64" s="32" t="str">
        <f>IFERROR(VLOOKUP(D64,Sessions!A:G,2,FALSE),"")</f>
        <v>Heloisa Hariadne @ Twani Gallery</v>
      </c>
      <c r="G64" s="33">
        <f>IFERROR(VLOOKUP(D64,Sessions!A:G,3,FALSE),"")</f>
        <v>45442</v>
      </c>
      <c r="H64" s="32" t="str">
        <f>IFERROR(VLOOKUP(D64,Sessions!A:G,4,FALSE),"")</f>
        <v>6:30pm</v>
      </c>
      <c r="I64" s="44">
        <f>IFERROR(VLOOKUP(D64,Sessions!A:G,5,FALSE),"")</f>
        <v>0</v>
      </c>
      <c r="J64" s="44">
        <f>IFERROR(VLOOKUP(D64,Sessions!A:G,6,FALSE),"")</f>
        <v>0</v>
      </c>
      <c r="K64" s="46">
        <v>0</v>
      </c>
      <c r="L64" s="46" t="s">
        <v>3</v>
      </c>
      <c r="M64" s="48" t="str">
        <f t="shared" si="1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65" spans="1:13" ht="16" x14ac:dyDescent="0.2">
      <c r="A65" s="31"/>
      <c r="B65" s="52">
        <v>45432</v>
      </c>
      <c r="C65" s="51" t="s">
        <v>25</v>
      </c>
      <c r="D65" s="36">
        <v>23</v>
      </c>
      <c r="F65" s="32" t="str">
        <f>IFERROR(VLOOKUP(D65,Sessions!A:G,2,FALSE),"")</f>
        <v>Heloisa Hariadne @ Twani Gallery</v>
      </c>
      <c r="G65" s="33">
        <f>IFERROR(VLOOKUP(D65,Sessions!A:G,3,FALSE),"")</f>
        <v>45442</v>
      </c>
      <c r="H65" s="32" t="str">
        <f>IFERROR(VLOOKUP(D65,Sessions!A:G,4,FALSE),"")</f>
        <v>6:30pm</v>
      </c>
      <c r="I65" s="44">
        <f>IFERROR(VLOOKUP(D65,Sessions!A:G,5,FALSE),"")</f>
        <v>0</v>
      </c>
      <c r="J65" s="44">
        <f>IFERROR(VLOOKUP(D65,Sessions!A:G,6,FALSE),"")</f>
        <v>0</v>
      </c>
      <c r="K65" s="46">
        <v>0</v>
      </c>
      <c r="L65" s="46" t="s">
        <v>3</v>
      </c>
      <c r="M65" s="48" t="str">
        <f t="shared" si="1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66" spans="1:13" ht="16" x14ac:dyDescent="0.2">
      <c r="A66" s="31"/>
      <c r="B66" s="52">
        <v>45442</v>
      </c>
      <c r="C66" s="51" t="s">
        <v>64</v>
      </c>
      <c r="D66" s="36">
        <v>23</v>
      </c>
      <c r="F66" s="32" t="str">
        <f>IFERROR(VLOOKUP(D66,Sessions!A:G,2,FALSE),"")</f>
        <v>Heloisa Hariadne @ Twani Gallery</v>
      </c>
      <c r="G66" s="33">
        <f>IFERROR(VLOOKUP(D66,Sessions!A:G,3,FALSE),"")</f>
        <v>45442</v>
      </c>
      <c r="H66" s="32" t="str">
        <f>IFERROR(VLOOKUP(D66,Sessions!A:G,4,FALSE),"")</f>
        <v>6:30pm</v>
      </c>
      <c r="I66" s="44">
        <f>IFERROR(VLOOKUP(D66,Sessions!A:G,5,FALSE),"")</f>
        <v>0</v>
      </c>
      <c r="J66" s="44">
        <f>IFERROR(VLOOKUP(D66,Sessions!A:G,6,FALSE),"")</f>
        <v>0</v>
      </c>
      <c r="K66" s="46">
        <v>0</v>
      </c>
      <c r="L66" s="46" t="s">
        <v>17</v>
      </c>
      <c r="M66" s="48" t="str">
        <f t="shared" si="1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7" spans="1:13" ht="16" x14ac:dyDescent="0.2">
      <c r="A67" s="31"/>
      <c r="B67" s="52">
        <v>45442</v>
      </c>
      <c r="C67" s="51" t="s">
        <v>65</v>
      </c>
      <c r="D67" s="36">
        <v>23</v>
      </c>
      <c r="F67" s="32" t="str">
        <f>IFERROR(VLOOKUP(D67,Sessions!A:G,2,FALSE),"")</f>
        <v>Heloisa Hariadne @ Twani Gallery</v>
      </c>
      <c r="G67" s="33">
        <f>IFERROR(VLOOKUP(D67,Sessions!A:G,3,FALSE),"")</f>
        <v>45442</v>
      </c>
      <c r="H67" s="32" t="str">
        <f>IFERROR(VLOOKUP(D67,Sessions!A:G,4,FALSE),"")</f>
        <v>6:30pm</v>
      </c>
      <c r="I67" s="44">
        <f>IFERROR(VLOOKUP(D67,Sessions!A:G,5,FALSE),"")</f>
        <v>0</v>
      </c>
      <c r="J67" s="44">
        <f>IFERROR(VLOOKUP(D67,Sessions!A:G,6,FALSE),"")</f>
        <v>0</v>
      </c>
      <c r="K67" s="46">
        <v>0</v>
      </c>
      <c r="L67" s="46" t="s">
        <v>17</v>
      </c>
      <c r="M67" s="48" t="str">
        <f t="shared" ref="M67:M98" si="2">"It's all set! 🎉 Here is a summary of your order:
*Number of Tickets*: 1
*Experience*: "&amp;F67&amp;"
*Date*: "&amp;TEXT(G67,"dd/mm/yy")&amp;"
*Time*: "&amp;H67&amp;"
*Price*: "&amp;K67&amp;" "&amp;L67&amp;"
We will issue your tickets on Evenbrite soon.
*Cancelation Policy*: 100% refund for cancelations 24h prior to event."</f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8" spans="1:13" ht="16" x14ac:dyDescent="0.2">
      <c r="A68" s="31"/>
      <c r="B68" s="52">
        <v>45442</v>
      </c>
      <c r="C68" s="51" t="s">
        <v>66</v>
      </c>
      <c r="D68" s="36">
        <v>23</v>
      </c>
      <c r="F68" s="32" t="str">
        <f>IFERROR(VLOOKUP(D68,Sessions!A:G,2,FALSE),"")</f>
        <v>Heloisa Hariadne @ Twani Gallery</v>
      </c>
      <c r="G68" s="33">
        <f>IFERROR(VLOOKUP(D68,Sessions!A:G,3,FALSE),"")</f>
        <v>45442</v>
      </c>
      <c r="H68" s="32" t="str">
        <f>IFERROR(VLOOKUP(D68,Sessions!A:G,4,FALSE),"")</f>
        <v>6:30pm</v>
      </c>
      <c r="I68" s="44">
        <f>IFERROR(VLOOKUP(D68,Sessions!A:G,5,FALSE),"")</f>
        <v>0</v>
      </c>
      <c r="J68" s="44">
        <f>IFERROR(VLOOKUP(D68,Sessions!A:G,6,FALSE),"")</f>
        <v>0</v>
      </c>
      <c r="K68" s="46">
        <v>0</v>
      </c>
      <c r="L68" s="46" t="s">
        <v>17</v>
      </c>
      <c r="M68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69" spans="1:13" ht="16" x14ac:dyDescent="0.2">
      <c r="A69" s="31"/>
      <c r="B69" s="52">
        <v>45435</v>
      </c>
      <c r="C69" s="51" t="s">
        <v>52</v>
      </c>
      <c r="D69" s="36">
        <v>23</v>
      </c>
      <c r="F69" s="32" t="str">
        <f>IFERROR(VLOOKUP(D69,Sessions!A:G,2,FALSE),"")</f>
        <v>Heloisa Hariadne @ Twani Gallery</v>
      </c>
      <c r="G69" s="33">
        <f>IFERROR(VLOOKUP(D69,Sessions!A:G,3,FALSE),"")</f>
        <v>45442</v>
      </c>
      <c r="H69" s="32" t="str">
        <f>IFERROR(VLOOKUP(D69,Sessions!A:G,4,FALSE),"")</f>
        <v>6:30pm</v>
      </c>
      <c r="I69" s="44">
        <f>IFERROR(VLOOKUP(D69,Sessions!A:G,5,FALSE),"")</f>
        <v>0</v>
      </c>
      <c r="J69" s="44">
        <f>IFERROR(VLOOKUP(D69,Sessions!A:G,6,FALSE),"")</f>
        <v>0</v>
      </c>
      <c r="K69" s="46">
        <v>0</v>
      </c>
      <c r="L69" s="46" t="s">
        <v>3</v>
      </c>
      <c r="M69" s="48" t="str">
        <f t="shared" si="2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70" spans="1:13" ht="16" x14ac:dyDescent="0.2">
      <c r="A70" s="31" t="s">
        <v>62</v>
      </c>
      <c r="B70" s="52">
        <v>45440</v>
      </c>
      <c r="C70" s="51" t="s">
        <v>67</v>
      </c>
      <c r="D70" s="36">
        <v>23</v>
      </c>
      <c r="F70" s="32" t="str">
        <f>IFERROR(VLOOKUP(D70,Sessions!A:G,2,FALSE),"")</f>
        <v>Heloisa Hariadne @ Twani Gallery</v>
      </c>
      <c r="G70" s="33">
        <f>IFERROR(VLOOKUP(D70,Sessions!A:G,3,FALSE),"")</f>
        <v>45442</v>
      </c>
      <c r="H70" s="32" t="str">
        <f>IFERROR(VLOOKUP(D70,Sessions!A:G,4,FALSE),"")</f>
        <v>6:30pm</v>
      </c>
      <c r="I70" s="44">
        <f>IFERROR(VLOOKUP(D70,Sessions!A:G,5,FALSE),"")</f>
        <v>0</v>
      </c>
      <c r="J70" s="44">
        <f>IFERROR(VLOOKUP(D70,Sessions!A:G,6,FALSE),"")</f>
        <v>0</v>
      </c>
      <c r="K70" s="46">
        <v>0</v>
      </c>
      <c r="L70" s="46" t="s">
        <v>17</v>
      </c>
      <c r="M70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1" spans="1:13" ht="16" x14ac:dyDescent="0.2">
      <c r="A71" s="31"/>
      <c r="B71" s="52">
        <v>45442</v>
      </c>
      <c r="C71" s="51" t="s">
        <v>68</v>
      </c>
      <c r="D71" s="36">
        <v>23</v>
      </c>
      <c r="F71" s="32" t="str">
        <f>IFERROR(VLOOKUP(D71,Sessions!A:G,2,FALSE),"")</f>
        <v>Heloisa Hariadne @ Twani Gallery</v>
      </c>
      <c r="G71" s="33">
        <f>IFERROR(VLOOKUP(D71,Sessions!A:G,3,FALSE),"")</f>
        <v>45442</v>
      </c>
      <c r="H71" s="32" t="str">
        <f>IFERROR(VLOOKUP(D71,Sessions!A:G,4,FALSE),"")</f>
        <v>6:30pm</v>
      </c>
      <c r="I71" s="44">
        <f>IFERROR(VLOOKUP(D71,Sessions!A:G,5,FALSE),"")</f>
        <v>0</v>
      </c>
      <c r="J71" s="44">
        <f>IFERROR(VLOOKUP(D71,Sessions!A:G,6,FALSE),"")</f>
        <v>0</v>
      </c>
      <c r="K71" s="46">
        <v>0</v>
      </c>
      <c r="L71" s="46" t="s">
        <v>17</v>
      </c>
      <c r="M71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2" spans="1:13" ht="16" x14ac:dyDescent="0.2">
      <c r="A72" s="31"/>
      <c r="B72" s="52">
        <v>45435</v>
      </c>
      <c r="C72" s="51" t="s">
        <v>69</v>
      </c>
      <c r="D72" s="36">
        <v>23</v>
      </c>
      <c r="F72" s="32" t="str">
        <f>IFERROR(VLOOKUP(D72,Sessions!A:G,2,FALSE),"")</f>
        <v>Heloisa Hariadne @ Twani Gallery</v>
      </c>
      <c r="G72" s="33">
        <f>IFERROR(VLOOKUP(D72,Sessions!A:G,3,FALSE),"")</f>
        <v>45442</v>
      </c>
      <c r="H72" s="32" t="str">
        <f>IFERROR(VLOOKUP(D72,Sessions!A:G,4,FALSE),"")</f>
        <v>6:30pm</v>
      </c>
      <c r="I72" s="44">
        <f>IFERROR(VLOOKUP(D72,Sessions!A:G,5,FALSE),"")</f>
        <v>0</v>
      </c>
      <c r="J72" s="44">
        <f>IFERROR(VLOOKUP(D72,Sessions!A:G,6,FALSE),"")</f>
        <v>0</v>
      </c>
      <c r="K72" s="46">
        <v>0</v>
      </c>
      <c r="L72" s="46" t="s">
        <v>3</v>
      </c>
      <c r="M72" s="48" t="str">
        <f t="shared" si="2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73" spans="1:13" ht="16" x14ac:dyDescent="0.2">
      <c r="A73" s="31"/>
      <c r="B73" s="52">
        <v>45441</v>
      </c>
      <c r="C73" s="51" t="s">
        <v>28</v>
      </c>
      <c r="D73" s="71">
        <v>23</v>
      </c>
      <c r="F73" s="32" t="str">
        <f>IFERROR(VLOOKUP(D73,Sessions!A:G,2,FALSE),"")</f>
        <v>Heloisa Hariadne @ Twani Gallery</v>
      </c>
      <c r="G73" s="33">
        <f>IFERROR(VLOOKUP(D73,Sessions!A:G,3,FALSE),"")</f>
        <v>45442</v>
      </c>
      <c r="H73" s="32" t="str">
        <f>IFERROR(VLOOKUP(D73,Sessions!A:G,4,FALSE),"")</f>
        <v>6:30pm</v>
      </c>
      <c r="I73" s="44">
        <f>IFERROR(VLOOKUP(D73,Sessions!A:G,5,FALSE),"")</f>
        <v>0</v>
      </c>
      <c r="J73" s="44">
        <f>IFERROR(VLOOKUP(D73,Sessions!A:G,6,FALSE),"")</f>
        <v>0</v>
      </c>
      <c r="K73" s="46">
        <v>0</v>
      </c>
      <c r="L73" s="46" t="s">
        <v>17</v>
      </c>
      <c r="M73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4" spans="1:13" ht="16" x14ac:dyDescent="0.2">
      <c r="A74" s="31"/>
      <c r="B74" s="52">
        <v>45442</v>
      </c>
      <c r="C74" s="51" t="s">
        <v>70</v>
      </c>
      <c r="D74" s="36">
        <v>23</v>
      </c>
      <c r="F74" s="32" t="str">
        <f>IFERROR(VLOOKUP(D74,Sessions!A:G,2,FALSE),"")</f>
        <v>Heloisa Hariadne @ Twani Gallery</v>
      </c>
      <c r="G74" s="33">
        <f>IFERROR(VLOOKUP(D74,Sessions!A:G,3,FALSE),"")</f>
        <v>45442</v>
      </c>
      <c r="H74" s="32" t="str">
        <f>IFERROR(VLOOKUP(D74,Sessions!A:G,4,FALSE),"")</f>
        <v>6:30pm</v>
      </c>
      <c r="I74" s="44">
        <f>IFERROR(VLOOKUP(D74,Sessions!A:G,5,FALSE),"")</f>
        <v>0</v>
      </c>
      <c r="J74" s="44">
        <f>IFERROR(VLOOKUP(D74,Sessions!A:G,6,FALSE),"")</f>
        <v>0</v>
      </c>
      <c r="K74" s="46">
        <v>0</v>
      </c>
      <c r="L74" s="46" t="s">
        <v>17</v>
      </c>
      <c r="M74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5" spans="1:13" ht="15.75" customHeight="1" x14ac:dyDescent="0.2">
      <c r="A75" s="125"/>
      <c r="B75" s="52">
        <v>45442</v>
      </c>
      <c r="C75" s="51" t="s">
        <v>71</v>
      </c>
      <c r="D75" s="36">
        <v>23</v>
      </c>
      <c r="F75" s="32" t="str">
        <f>IFERROR(VLOOKUP(D75,Sessions!A:G,2,FALSE),"")</f>
        <v>Heloisa Hariadne @ Twani Gallery</v>
      </c>
      <c r="G75" s="33">
        <f>IFERROR(VLOOKUP(D75,Sessions!A:G,3,FALSE),"")</f>
        <v>45442</v>
      </c>
      <c r="H75" s="32" t="str">
        <f>IFERROR(VLOOKUP(D75,Sessions!A:G,4,FALSE),"")</f>
        <v>6:30pm</v>
      </c>
      <c r="I75" s="44">
        <f>IFERROR(VLOOKUP(D75,Sessions!A:G,5,FALSE),"")</f>
        <v>0</v>
      </c>
      <c r="J75" s="44">
        <f>IFERROR(VLOOKUP(D75,Sessions!A:G,6,FALSE),"")</f>
        <v>0</v>
      </c>
      <c r="K75" s="46">
        <v>0</v>
      </c>
      <c r="L75" s="46" t="s">
        <v>17</v>
      </c>
      <c r="M75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6" spans="1:13" ht="16" x14ac:dyDescent="0.2">
      <c r="A76" s="31"/>
      <c r="B76" s="52">
        <v>45435</v>
      </c>
      <c r="C76" s="51" t="s">
        <v>19</v>
      </c>
      <c r="D76" s="36">
        <v>23</v>
      </c>
      <c r="F76" s="32" t="str">
        <f>IFERROR(VLOOKUP(D76,Sessions!A:G,2,FALSE),"")</f>
        <v>Heloisa Hariadne @ Twani Gallery</v>
      </c>
      <c r="G76" s="33">
        <f>IFERROR(VLOOKUP(D76,Sessions!A:G,3,FALSE),"")</f>
        <v>45442</v>
      </c>
      <c r="H76" s="32" t="str">
        <f>IFERROR(VLOOKUP(D76,Sessions!A:G,4,FALSE),"")</f>
        <v>6:30pm</v>
      </c>
      <c r="I76" s="44">
        <f>IFERROR(VLOOKUP(D76,Sessions!A:G,5,FALSE),"")</f>
        <v>0</v>
      </c>
      <c r="J76" s="44">
        <f>IFERROR(VLOOKUP(D76,Sessions!A:G,6,FALSE),"")</f>
        <v>0</v>
      </c>
      <c r="K76" s="46">
        <v>0</v>
      </c>
      <c r="L76" s="46" t="s">
        <v>3</v>
      </c>
      <c r="M76" s="48" t="str">
        <f t="shared" si="2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77" spans="1:13" ht="15.75" customHeight="1" x14ac:dyDescent="0.2">
      <c r="A77" s="125"/>
      <c r="B77" s="52">
        <v>45442</v>
      </c>
      <c r="C77" s="51" t="s">
        <v>72</v>
      </c>
      <c r="D77" s="36">
        <v>23</v>
      </c>
      <c r="F77" s="32" t="str">
        <f>IFERROR(VLOOKUP(D77,Sessions!A:G,2,FALSE),"")</f>
        <v>Heloisa Hariadne @ Twani Gallery</v>
      </c>
      <c r="G77" s="33">
        <f>IFERROR(VLOOKUP(D77,Sessions!A:G,3,FALSE),"")</f>
        <v>45442</v>
      </c>
      <c r="H77" s="32" t="str">
        <f>IFERROR(VLOOKUP(D77,Sessions!A:G,4,FALSE),"")</f>
        <v>6:30pm</v>
      </c>
      <c r="I77" s="44">
        <f>IFERROR(VLOOKUP(D77,Sessions!A:G,5,FALSE),"")</f>
        <v>0</v>
      </c>
      <c r="J77" s="44">
        <f>IFERROR(VLOOKUP(D77,Sessions!A:G,6,FALSE),"")</f>
        <v>0</v>
      </c>
      <c r="K77" s="46">
        <v>0</v>
      </c>
      <c r="L77" s="46" t="s">
        <v>17</v>
      </c>
      <c r="M77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8" spans="1:13" ht="15.75" customHeight="1" x14ac:dyDescent="0.2">
      <c r="A78" s="125"/>
      <c r="B78" s="52">
        <v>45440</v>
      </c>
      <c r="C78" s="51" t="s">
        <v>20</v>
      </c>
      <c r="D78" s="36">
        <v>23</v>
      </c>
      <c r="F78" s="32" t="str">
        <f>IFERROR(VLOOKUP(D78,Sessions!A:G,2,FALSE),"")</f>
        <v>Heloisa Hariadne @ Twani Gallery</v>
      </c>
      <c r="G78" s="33">
        <f>IFERROR(VLOOKUP(D78,Sessions!A:G,3,FALSE),"")</f>
        <v>45442</v>
      </c>
      <c r="H78" s="32" t="str">
        <f>IFERROR(VLOOKUP(D78,Sessions!A:G,4,FALSE),"")</f>
        <v>6:30pm</v>
      </c>
      <c r="I78" s="44">
        <f>IFERROR(VLOOKUP(D78,Sessions!A:G,5,FALSE),"")</f>
        <v>0</v>
      </c>
      <c r="J78" s="44">
        <f>IFERROR(VLOOKUP(D78,Sessions!A:G,6,FALSE),"")</f>
        <v>0</v>
      </c>
      <c r="K78" s="46">
        <v>0</v>
      </c>
      <c r="L78" s="46" t="s">
        <v>17</v>
      </c>
      <c r="M78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79" spans="1:13" ht="15.75" customHeight="1" x14ac:dyDescent="0.2">
      <c r="A79" s="125" t="s">
        <v>62</v>
      </c>
      <c r="B79" s="52">
        <v>45440</v>
      </c>
      <c r="C79" s="51" t="s">
        <v>73</v>
      </c>
      <c r="D79" s="36">
        <v>23</v>
      </c>
      <c r="F79" s="32" t="str">
        <f>IFERROR(VLOOKUP(D79,Sessions!A:G,2,FALSE),"")</f>
        <v>Heloisa Hariadne @ Twani Gallery</v>
      </c>
      <c r="G79" s="33">
        <f>IFERROR(VLOOKUP(D79,Sessions!A:G,3,FALSE),"")</f>
        <v>45442</v>
      </c>
      <c r="H79" s="32" t="str">
        <f>IFERROR(VLOOKUP(D79,Sessions!A:G,4,FALSE),"")</f>
        <v>6:30pm</v>
      </c>
      <c r="I79" s="44">
        <f>IFERROR(VLOOKUP(D79,Sessions!A:G,5,FALSE),"")</f>
        <v>0</v>
      </c>
      <c r="J79" s="44">
        <f>IFERROR(VLOOKUP(D79,Sessions!A:G,6,FALSE),"")</f>
        <v>0</v>
      </c>
      <c r="K79" s="46">
        <v>0</v>
      </c>
      <c r="L79" s="46" t="s">
        <v>17</v>
      </c>
      <c r="M79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80" spans="1:13" ht="15.75" customHeight="1" x14ac:dyDescent="0.2">
      <c r="A80" s="125"/>
      <c r="B80" s="52">
        <v>45440</v>
      </c>
      <c r="C80" s="51" t="s">
        <v>29</v>
      </c>
      <c r="D80" s="36">
        <v>23</v>
      </c>
      <c r="F80" s="32" t="str">
        <f>IFERROR(VLOOKUP(D80,Sessions!A:G,2,FALSE),"")</f>
        <v>Heloisa Hariadne @ Twani Gallery</v>
      </c>
      <c r="G80" s="33">
        <f>IFERROR(VLOOKUP(D80,Sessions!A:G,3,FALSE),"")</f>
        <v>45442</v>
      </c>
      <c r="H80" s="32" t="str">
        <f>IFERROR(VLOOKUP(D80,Sessions!A:G,4,FALSE),"")</f>
        <v>6:30pm</v>
      </c>
      <c r="I80" s="44">
        <f>IFERROR(VLOOKUP(D80,Sessions!A:G,5,FALSE),"")</f>
        <v>0</v>
      </c>
      <c r="J80" s="44">
        <f>IFERROR(VLOOKUP(D80,Sessions!A:G,6,FALSE),"")</f>
        <v>0</v>
      </c>
      <c r="K80" s="68">
        <v>0</v>
      </c>
      <c r="L80" s="46" t="s">
        <v>17</v>
      </c>
      <c r="M80" s="48" t="str">
        <f t="shared" si="2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81" spans="1:13" ht="15.75" customHeight="1" x14ac:dyDescent="0.2">
      <c r="B81" s="52">
        <v>45449</v>
      </c>
      <c r="C81" s="51" t="s">
        <v>48</v>
      </c>
      <c r="D81" s="36">
        <v>24</v>
      </c>
      <c r="F81" s="32" t="str">
        <f>IFERROR(VLOOKUP(D81,Sessions!A:G,2,FALSE),"")</f>
        <v>Gallery Stroll in Bermondsey</v>
      </c>
      <c r="G81" s="33">
        <f>IFERROR(VLOOKUP(D81,Sessions!A:G,3,FALSE),"")</f>
        <v>45451</v>
      </c>
      <c r="H81" s="32" t="str">
        <f>IFERROR(VLOOKUP(D81,Sessions!A:G,4,FALSE),"")</f>
        <v>2:00pm</v>
      </c>
      <c r="I81" s="44">
        <f>IFERROR(VLOOKUP(D81,Sessions!A:G,5,FALSE),"")</f>
        <v>6</v>
      </c>
      <c r="J81" s="44">
        <f>IFERROR(VLOOKUP(D81,Sessions!A:G,6,FALSE),"")</f>
        <v>15</v>
      </c>
      <c r="K81" s="46">
        <v>6</v>
      </c>
      <c r="L81" s="46" t="s">
        <v>3</v>
      </c>
      <c r="M81" s="48" t="str">
        <f t="shared" si="2"/>
        <v>It's all set! 🎉 Here is a summary of your order:
*Number of Tickets*: 1
*Experience*: Gallery Stroll in Bermondsey
*Date*: 08/06/24
*Time*: 2:00pm
*Price*: 6 credits
We will issue your tickets on Evenbrite soon.
*Cancelation Policy*: 100% refund for cancelations 24h prior to event.</v>
      </c>
    </row>
    <row r="82" spans="1:13" ht="15.75" customHeight="1" x14ac:dyDescent="0.2">
      <c r="B82" s="52">
        <v>45448</v>
      </c>
      <c r="C82" s="51" t="s">
        <v>31</v>
      </c>
      <c r="D82" s="36">
        <v>25</v>
      </c>
      <c r="F82" s="32" t="str">
        <f>IFERROR(VLOOKUP(D82,Sessions!A:G,2,FALSE),"")</f>
        <v>Gallery Stroll with Pub Quiz</v>
      </c>
      <c r="G82" s="33">
        <f>IFERROR(VLOOKUP(D82,Sessions!A:G,3,FALSE),"")</f>
        <v>45465</v>
      </c>
      <c r="H82" s="32" t="str">
        <f>IFERROR(VLOOKUP(D82,Sessions!A:G,4,FALSE),"")</f>
        <v>2:00pm</v>
      </c>
      <c r="I82" s="44">
        <f>IFERROR(VLOOKUP(D82,Sessions!A:G,5,FALSE),"")</f>
        <v>6</v>
      </c>
      <c r="J82" s="44">
        <f>IFERROR(VLOOKUP(D82,Sessions!A:G,6,FALSE),"")</f>
        <v>15</v>
      </c>
      <c r="K82" s="46">
        <v>6</v>
      </c>
      <c r="L82" s="46" t="s">
        <v>3</v>
      </c>
      <c r="M82" s="48" t="str">
        <f t="shared" si="2"/>
        <v>It's all set! 🎉 Here is a summary of your order:
*Number of Tickets*: 1
*Experience*: Gallery Stroll with Pub Quiz
*Date*: 22/06/24
*Time*: 2:00pm
*Price*: 6 credits
We will issue your tickets on Evenbrite soon.
*Cancelation Policy*: 100% refund for cancelations 24h prior to event.</v>
      </c>
    </row>
    <row r="83" spans="1:13" ht="15.75" customHeight="1" x14ac:dyDescent="0.2">
      <c r="B83" s="52">
        <v>45454</v>
      </c>
      <c r="C83" s="51" t="s">
        <v>24</v>
      </c>
      <c r="D83" s="36">
        <v>26</v>
      </c>
      <c r="F83" s="32" t="str">
        <f>IFERROR(VLOOKUP(D83,Sessions!A:G,2,FALSE),"")</f>
        <v>Soane Late</v>
      </c>
      <c r="G83" s="33">
        <f>IFERROR(VLOOKUP(D83,Sessions!A:G,3,FALSE),"")</f>
        <v>45471</v>
      </c>
      <c r="H83" s="32" t="str">
        <f>IFERROR(VLOOKUP(D83,Sessions!A:G,4,FALSE),"")</f>
        <v>6:30pm</v>
      </c>
      <c r="I83" s="44">
        <f>IFERROR(VLOOKUP(D83,Sessions!A:G,5,FALSE),"")</f>
        <v>10</v>
      </c>
      <c r="J83" s="44">
        <f>IFERROR(VLOOKUP(D83,Sessions!A:G,6,FALSE),"")</f>
        <v>25</v>
      </c>
      <c r="K83" s="46">
        <v>10</v>
      </c>
      <c r="L83" s="46" t="s">
        <v>3</v>
      </c>
      <c r="M83" s="48" t="str">
        <f t="shared" si="2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84" spans="1:13" ht="15.75" customHeight="1" x14ac:dyDescent="0.2">
      <c r="B84" s="52">
        <v>45461</v>
      </c>
      <c r="C84" s="51" t="s">
        <v>27</v>
      </c>
      <c r="D84" s="36">
        <v>26</v>
      </c>
      <c r="F84" s="32" t="str">
        <f>IFERROR(VLOOKUP(D84,Sessions!A:G,2,FALSE),"")</f>
        <v>Soane Late</v>
      </c>
      <c r="G84" s="33">
        <f>IFERROR(VLOOKUP(D84,Sessions!A:G,3,FALSE),"")</f>
        <v>45471</v>
      </c>
      <c r="H84" s="32" t="str">
        <f>IFERROR(VLOOKUP(D84,Sessions!A:G,4,FALSE),"")</f>
        <v>6:30pm</v>
      </c>
      <c r="I84" s="44">
        <f>IFERROR(VLOOKUP(D84,Sessions!A:G,5,FALSE),"")</f>
        <v>10</v>
      </c>
      <c r="J84" s="44">
        <f>IFERROR(VLOOKUP(D84,Sessions!A:G,6,FALSE),"")</f>
        <v>25</v>
      </c>
      <c r="K84" s="46">
        <v>10</v>
      </c>
      <c r="L84" s="46" t="s">
        <v>3</v>
      </c>
      <c r="M84" s="48" t="str">
        <f t="shared" si="2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85" spans="1:13" ht="15.75" customHeight="1" x14ac:dyDescent="0.2">
      <c r="B85" s="52">
        <v>45461</v>
      </c>
      <c r="C85" s="51" t="s">
        <v>19</v>
      </c>
      <c r="D85" s="36">
        <v>26</v>
      </c>
      <c r="E85" s="150"/>
      <c r="F85" s="32" t="str">
        <f>IFERROR(VLOOKUP(D85,Sessions!A:G,2,FALSE),"")</f>
        <v>Soane Late</v>
      </c>
      <c r="G85" s="33">
        <f>IFERROR(VLOOKUP(D85,Sessions!A:G,3,FALSE),"")</f>
        <v>45471</v>
      </c>
      <c r="H85" s="32" t="str">
        <f>IFERROR(VLOOKUP(D85,Sessions!A:G,4,FALSE),"")</f>
        <v>6:30pm</v>
      </c>
      <c r="I85" s="44">
        <f>IFERROR(VLOOKUP(D85,Sessions!A:G,5,FALSE),"")</f>
        <v>10</v>
      </c>
      <c r="J85" s="44">
        <f>IFERROR(VLOOKUP(D85,Sessions!A:G,6,FALSE),"")</f>
        <v>25</v>
      </c>
      <c r="K85" s="46">
        <v>10</v>
      </c>
      <c r="L85" s="46" t="s">
        <v>3</v>
      </c>
      <c r="M85" s="48" t="str">
        <f t="shared" si="2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86" spans="1:13" ht="15.75" customHeight="1" x14ac:dyDescent="0.2">
      <c r="B86" s="52">
        <v>45463</v>
      </c>
      <c r="C86" s="51" t="s">
        <v>31</v>
      </c>
      <c r="D86" s="36">
        <v>26</v>
      </c>
      <c r="F86" s="32" t="str">
        <f>IFERROR(VLOOKUP(D86,Sessions!A:G,2,FALSE),"")</f>
        <v>Soane Late</v>
      </c>
      <c r="G86" s="33">
        <f>IFERROR(VLOOKUP(D86,Sessions!A:G,3,FALSE),"")</f>
        <v>45471</v>
      </c>
      <c r="H86" s="32" t="str">
        <f>IFERROR(VLOOKUP(D86,Sessions!A:G,4,FALSE),"")</f>
        <v>6:30pm</v>
      </c>
      <c r="I86" s="44">
        <f>IFERROR(VLOOKUP(D86,Sessions!A:G,5,FALSE),"")</f>
        <v>10</v>
      </c>
      <c r="J86" s="44">
        <f>IFERROR(VLOOKUP(D86,Sessions!A:G,6,FALSE),"")</f>
        <v>25</v>
      </c>
      <c r="K86" s="46">
        <v>10</v>
      </c>
      <c r="L86" s="46" t="s">
        <v>3</v>
      </c>
      <c r="M86" s="48" t="str">
        <f t="shared" si="2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87" spans="1:13" ht="15.75" customHeight="1" x14ac:dyDescent="0.2">
      <c r="A87" t="s">
        <v>74</v>
      </c>
      <c r="B87" s="52">
        <v>45463</v>
      </c>
      <c r="C87" s="51" t="s">
        <v>75</v>
      </c>
      <c r="D87" s="36">
        <v>26</v>
      </c>
      <c r="F87" s="32" t="str">
        <f>IFERROR(VLOOKUP(D87,Sessions!A:G,2,FALSE),"")</f>
        <v>Soane Late</v>
      </c>
      <c r="G87" s="33">
        <f>IFERROR(VLOOKUP(D87,Sessions!A:G,3,FALSE),"")</f>
        <v>45471</v>
      </c>
      <c r="H87" s="32" t="str">
        <f>IFERROR(VLOOKUP(D87,Sessions!A:G,4,FALSE),"")</f>
        <v>6:30pm</v>
      </c>
      <c r="I87" s="44">
        <f>IFERROR(VLOOKUP(D87,Sessions!A:G,5,FALSE),"")</f>
        <v>10</v>
      </c>
      <c r="J87" s="44">
        <f>IFERROR(VLOOKUP(D87,Sessions!A:G,6,FALSE),"")</f>
        <v>25</v>
      </c>
      <c r="K87" s="46">
        <v>0</v>
      </c>
      <c r="L87" s="46" t="s">
        <v>3</v>
      </c>
      <c r="M87" s="48" t="str">
        <f t="shared" si="2"/>
        <v>It's all set! 🎉 Here is a summary of your order:
*Number of Tickets*: 1
*Experience*: Soane Late
*Date*: 28/06/24
*Time*: 6:30pm
*Price*: 0 credits
We will issue your tickets on Evenbrite soon.
*Cancelation Policy*: 100% refund for cancelations 24h prior to event.</v>
      </c>
    </row>
    <row r="88" spans="1:13" ht="15.75" customHeight="1" x14ac:dyDescent="0.2">
      <c r="A88" t="s">
        <v>76</v>
      </c>
      <c r="B88" s="52">
        <v>45467</v>
      </c>
      <c r="C88" s="51" t="s">
        <v>77</v>
      </c>
      <c r="D88" s="36">
        <v>26</v>
      </c>
      <c r="F88" s="32" t="str">
        <f>IFERROR(VLOOKUP(D88,Sessions!A:G,2,FALSE),"")</f>
        <v>Soane Late</v>
      </c>
      <c r="G88" s="33">
        <f>IFERROR(VLOOKUP(D88,Sessions!A:G,3,FALSE),"")</f>
        <v>45471</v>
      </c>
      <c r="H88" s="32" t="str">
        <f>IFERROR(VLOOKUP(D88,Sessions!A:G,4,FALSE),"")</f>
        <v>6:30pm</v>
      </c>
      <c r="I88" s="44">
        <f>IFERROR(VLOOKUP(D88,Sessions!A:G,5,FALSE),"")</f>
        <v>10</v>
      </c>
      <c r="J88" s="44">
        <f>IFERROR(VLOOKUP(D88,Sessions!A:G,6,FALSE),"")</f>
        <v>25</v>
      </c>
      <c r="K88" s="46">
        <v>0</v>
      </c>
      <c r="L88" s="46" t="s">
        <v>17</v>
      </c>
      <c r="M88" s="48" t="str">
        <f t="shared" si="2"/>
        <v>It's all set! 🎉 Here is a summary of your order:
*Number of Tickets*: 1
*Experience*: Soane Late
*Date*: 28/06/24
*Time*: 6:30pm
*Price*: 0 pounds
We will issue your tickets on Evenbrite soon.
*Cancelation Policy*: 100% refund for cancelations 24h prior to event.</v>
      </c>
    </row>
    <row r="89" spans="1:13" ht="15.75" customHeight="1" x14ac:dyDescent="0.2">
      <c r="A89" t="s">
        <v>78</v>
      </c>
      <c r="B89" s="52">
        <v>45467</v>
      </c>
      <c r="C89" s="51" t="s">
        <v>79</v>
      </c>
      <c r="D89" s="36">
        <v>26</v>
      </c>
      <c r="F89" s="32" t="str">
        <f>IFERROR(VLOOKUP(D89,Sessions!A:G,2,FALSE),"")</f>
        <v>Soane Late</v>
      </c>
      <c r="G89" s="33">
        <f>IFERROR(VLOOKUP(D89,Sessions!A:G,3,FALSE),"")</f>
        <v>45471</v>
      </c>
      <c r="H89" s="32" t="str">
        <f>IFERROR(VLOOKUP(D89,Sessions!A:G,4,FALSE),"")</f>
        <v>6:30pm</v>
      </c>
      <c r="I89" s="44">
        <f>IFERROR(VLOOKUP(D89,Sessions!A:G,5,FALSE),"")</f>
        <v>10</v>
      </c>
      <c r="J89" s="44">
        <f>IFERROR(VLOOKUP(D89,Sessions!A:G,6,FALSE),"")</f>
        <v>25</v>
      </c>
      <c r="K89" s="46">
        <v>0</v>
      </c>
      <c r="L89" s="46" t="s">
        <v>17</v>
      </c>
      <c r="M89" s="48" t="str">
        <f t="shared" si="2"/>
        <v>It's all set! 🎉 Here is a summary of your order:
*Number of Tickets*: 1
*Experience*: Soane Late
*Date*: 28/06/24
*Time*: 6:30pm
*Price*: 0 pounds
We will issue your tickets on Evenbrite soon.
*Cancelation Policy*: 100% refund for cancelations 24h prior to event.</v>
      </c>
    </row>
    <row r="90" spans="1:13" ht="15.75" customHeight="1" x14ac:dyDescent="0.2">
      <c r="A90" t="s">
        <v>80</v>
      </c>
      <c r="B90" s="52">
        <v>45447</v>
      </c>
      <c r="C90" s="51" t="s">
        <v>31</v>
      </c>
      <c r="D90" s="71">
        <v>27</v>
      </c>
      <c r="F90" s="32" t="str">
        <f>IFERROR(VLOOKUP(D90,Sessions!A:G,2,FALSE),"")</f>
        <v>William Morris Gallery</v>
      </c>
      <c r="G90" s="33">
        <f>IFERROR(VLOOKUP(D90,Sessions!A:G,3,FALSE),"")</f>
        <v>45466</v>
      </c>
      <c r="H90" s="32" t="str">
        <f>IFERROR(VLOOKUP(D90,Sessions!A:G,4,FALSE),"")</f>
        <v>2:00pm</v>
      </c>
      <c r="I90" s="44">
        <f>IFERROR(VLOOKUP(D90,Sessions!A:G,5,FALSE),"")</f>
        <v>6</v>
      </c>
      <c r="J90" s="44">
        <f>IFERROR(VLOOKUP(D90,Sessions!A:G,6,FALSE),"")</f>
        <v>15</v>
      </c>
      <c r="K90" s="46">
        <v>6</v>
      </c>
      <c r="L90" s="46" t="s">
        <v>3</v>
      </c>
      <c r="M90" s="48" t="str">
        <f t="shared" si="2"/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91" spans="1:13" ht="15.75" customHeight="1" x14ac:dyDescent="0.2">
      <c r="B91" s="52">
        <v>45447</v>
      </c>
      <c r="C91" s="51" t="s">
        <v>37</v>
      </c>
      <c r="D91" s="36">
        <v>27</v>
      </c>
      <c r="E91" s="124" t="s">
        <v>81</v>
      </c>
      <c r="F91" s="32" t="str">
        <f>IFERROR(VLOOKUP(D91,Sessions!A:G,2,FALSE),"")</f>
        <v>William Morris Gallery</v>
      </c>
      <c r="G91" s="33">
        <f>IFERROR(VLOOKUP(D91,Sessions!A:G,3,FALSE),"")</f>
        <v>45466</v>
      </c>
      <c r="H91" s="32" t="str">
        <f>IFERROR(VLOOKUP(D91,Sessions!A:G,4,FALSE),"")</f>
        <v>2:00pm</v>
      </c>
      <c r="I91" s="44">
        <f>IFERROR(VLOOKUP(D91,Sessions!A:G,5,FALSE),"")</f>
        <v>6</v>
      </c>
      <c r="J91" s="44">
        <f>IFERROR(VLOOKUP(D91,Sessions!A:G,6,FALSE),"")</f>
        <v>15</v>
      </c>
      <c r="K91" s="46">
        <v>6</v>
      </c>
      <c r="L91" s="46" t="s">
        <v>3</v>
      </c>
      <c r="M91" s="48" t="str">
        <f t="shared" si="2"/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92" spans="1:13" ht="15.75" customHeight="1" x14ac:dyDescent="0.2">
      <c r="B92" s="52">
        <v>45454</v>
      </c>
      <c r="C92" s="51" t="s">
        <v>24</v>
      </c>
      <c r="D92" s="36">
        <v>27</v>
      </c>
      <c r="F92" s="32" t="str">
        <f>IFERROR(VLOOKUP(D92,Sessions!A:G,2,FALSE),"")</f>
        <v>William Morris Gallery</v>
      </c>
      <c r="G92" s="33">
        <f>IFERROR(VLOOKUP(D92,Sessions!A:G,3,FALSE),"")</f>
        <v>45466</v>
      </c>
      <c r="H92" s="32" t="str">
        <f>IFERROR(VLOOKUP(D92,Sessions!A:G,4,FALSE),"")</f>
        <v>2:00pm</v>
      </c>
      <c r="I92" s="44">
        <f>IFERROR(VLOOKUP(D92,Sessions!A:G,5,FALSE),"")</f>
        <v>6</v>
      </c>
      <c r="J92" s="44">
        <f>IFERROR(VLOOKUP(D92,Sessions!A:G,6,FALSE),"")</f>
        <v>15</v>
      </c>
      <c r="K92" s="46">
        <v>6</v>
      </c>
      <c r="L92" s="46" t="s">
        <v>3</v>
      </c>
      <c r="M92" s="48" t="str">
        <f t="shared" si="2"/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93" spans="1:13" ht="15.75" customHeight="1" x14ac:dyDescent="0.2">
      <c r="B93" s="52">
        <v>45454</v>
      </c>
      <c r="C93" s="51" t="s">
        <v>18</v>
      </c>
      <c r="D93" s="36">
        <v>27</v>
      </c>
      <c r="F93" s="32" t="str">
        <f>IFERROR(VLOOKUP(D93,Sessions!A:G,2,FALSE),"")</f>
        <v>William Morris Gallery</v>
      </c>
      <c r="G93" s="33">
        <f>IFERROR(VLOOKUP(D93,Sessions!A:G,3,FALSE),"")</f>
        <v>45466</v>
      </c>
      <c r="H93" s="32" t="str">
        <f>IFERROR(VLOOKUP(D93,Sessions!A:G,4,FALSE),"")</f>
        <v>2:00pm</v>
      </c>
      <c r="I93" s="44">
        <f>IFERROR(VLOOKUP(D93,Sessions!A:G,5,FALSE),"")</f>
        <v>6</v>
      </c>
      <c r="J93" s="44">
        <f>IFERROR(VLOOKUP(D93,Sessions!A:G,6,FALSE),"")</f>
        <v>15</v>
      </c>
      <c r="K93" s="46">
        <v>6</v>
      </c>
      <c r="L93" s="46" t="s">
        <v>3</v>
      </c>
      <c r="M93" s="48" t="str">
        <f t="shared" si="2"/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94" spans="1:13" ht="15.75" customHeight="1" x14ac:dyDescent="0.2">
      <c r="B94" s="52">
        <v>45461</v>
      </c>
      <c r="C94" s="51" t="s">
        <v>22</v>
      </c>
      <c r="D94" s="36">
        <v>27</v>
      </c>
      <c r="F94" s="32" t="str">
        <f>IFERROR(VLOOKUP(D94,Sessions!A:G,2,FALSE),"")</f>
        <v>William Morris Gallery</v>
      </c>
      <c r="G94" s="33">
        <f>IFERROR(VLOOKUP(D94,Sessions!A:G,3,FALSE),"")</f>
        <v>45466</v>
      </c>
      <c r="H94" s="32" t="str">
        <f>IFERROR(VLOOKUP(D94,Sessions!A:G,4,FALSE),"")</f>
        <v>2:00pm</v>
      </c>
      <c r="I94" s="44">
        <f>IFERROR(VLOOKUP(D94,Sessions!A:G,5,FALSE),"")</f>
        <v>6</v>
      </c>
      <c r="J94" s="44">
        <f>IFERROR(VLOOKUP(D94,Sessions!A:G,6,FALSE),"")</f>
        <v>15</v>
      </c>
      <c r="K94" s="46">
        <v>6</v>
      </c>
      <c r="L94" s="46" t="s">
        <v>3</v>
      </c>
      <c r="M94" s="48" t="str">
        <f t="shared" si="2"/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95" spans="1:13" ht="15.75" customHeight="1" x14ac:dyDescent="0.2">
      <c r="B95" s="52">
        <v>45449</v>
      </c>
      <c r="C95" s="51" t="s">
        <v>61</v>
      </c>
      <c r="D95" s="36">
        <v>28</v>
      </c>
      <c r="F95" s="32" t="str">
        <f>IFERROR(VLOOKUP(D95,Sessions!A:G,2,FALSE),"")</f>
        <v>Social at Tate Late</v>
      </c>
      <c r="G95" s="33">
        <f>IFERROR(VLOOKUP(D95,Sessions!A:G,3,FALSE),"")</f>
        <v>45457</v>
      </c>
      <c r="H95" s="32" t="str">
        <f>IFERROR(VLOOKUP(D95,Sessions!A:G,4,FALSE),"")</f>
        <v>7:00pm</v>
      </c>
      <c r="I95" s="44">
        <f>IFERROR(VLOOKUP(D95,Sessions!A:G,5,FALSE),"")</f>
        <v>0</v>
      </c>
      <c r="J95" s="44">
        <f>IFERROR(VLOOKUP(D95,Sessions!A:G,6,FALSE),"")</f>
        <v>0</v>
      </c>
      <c r="K95" s="46">
        <v>0</v>
      </c>
      <c r="L95" s="46" t="s">
        <v>3</v>
      </c>
      <c r="M95" s="48" t="str">
        <f t="shared" si="2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96" spans="1:13" ht="15.75" customHeight="1" x14ac:dyDescent="0.2">
      <c r="B96" s="52">
        <v>45449</v>
      </c>
      <c r="C96" s="51" t="s">
        <v>73</v>
      </c>
      <c r="D96" s="36">
        <v>28</v>
      </c>
      <c r="F96" s="32" t="str">
        <f>IFERROR(VLOOKUP(D96,Sessions!A:G,2,FALSE),"")</f>
        <v>Social at Tate Late</v>
      </c>
      <c r="G96" s="33">
        <f>IFERROR(VLOOKUP(D96,Sessions!A:G,3,FALSE),"")</f>
        <v>45457</v>
      </c>
      <c r="H96" s="32" t="str">
        <f>IFERROR(VLOOKUP(D96,Sessions!A:G,4,FALSE),"")</f>
        <v>7:00pm</v>
      </c>
      <c r="I96" s="44">
        <f>IFERROR(VLOOKUP(D96,Sessions!A:G,5,FALSE),"")</f>
        <v>0</v>
      </c>
      <c r="J96" s="44">
        <f>IFERROR(VLOOKUP(D96,Sessions!A:G,6,FALSE),"")</f>
        <v>0</v>
      </c>
      <c r="K96" s="46">
        <v>0</v>
      </c>
      <c r="L96" s="46" t="s">
        <v>3</v>
      </c>
      <c r="M96" s="48" t="str">
        <f t="shared" si="2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97" spans="1:13" ht="15.75" customHeight="1" x14ac:dyDescent="0.2">
      <c r="A97" s="151" t="s">
        <v>82</v>
      </c>
      <c r="B97" s="52">
        <v>45447</v>
      </c>
      <c r="C97" s="51" t="s">
        <v>31</v>
      </c>
      <c r="D97" s="36">
        <v>28</v>
      </c>
      <c r="F97" s="32" t="str">
        <f>IFERROR(VLOOKUP(D97,Sessions!A:G,2,FALSE),"")</f>
        <v>Social at Tate Late</v>
      </c>
      <c r="G97" s="33">
        <f>IFERROR(VLOOKUP(D97,Sessions!A:G,3,FALSE),"")</f>
        <v>45457</v>
      </c>
      <c r="H97" s="32" t="str">
        <f>IFERROR(VLOOKUP(D97,Sessions!A:G,4,FALSE),"")</f>
        <v>7:00pm</v>
      </c>
      <c r="I97" s="44">
        <f>IFERROR(VLOOKUP(D97,Sessions!A:G,5,FALSE),"")</f>
        <v>0</v>
      </c>
      <c r="J97" s="44">
        <f>IFERROR(VLOOKUP(D97,Sessions!A:G,6,FALSE),"")</f>
        <v>0</v>
      </c>
      <c r="K97" s="46">
        <v>0</v>
      </c>
      <c r="L97" s="46" t="s">
        <v>3</v>
      </c>
      <c r="M97" s="48" t="str">
        <f t="shared" si="2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98" spans="1:13" ht="15.75" customHeight="1" x14ac:dyDescent="0.2">
      <c r="B98" s="52">
        <v>45447</v>
      </c>
      <c r="C98" s="51" t="s">
        <v>22</v>
      </c>
      <c r="D98" s="36">
        <v>28</v>
      </c>
      <c r="F98" s="32" t="str">
        <f>IFERROR(VLOOKUP(D98,Sessions!A:G,2,FALSE),"")</f>
        <v>Social at Tate Late</v>
      </c>
      <c r="G98" s="33">
        <f>IFERROR(VLOOKUP(D98,Sessions!A:G,3,FALSE),"")</f>
        <v>45457</v>
      </c>
      <c r="H98" s="32" t="str">
        <f>IFERROR(VLOOKUP(D98,Sessions!A:G,4,FALSE),"")</f>
        <v>7:00pm</v>
      </c>
      <c r="I98" s="44">
        <f>IFERROR(VLOOKUP(D98,Sessions!A:G,5,FALSE),"")</f>
        <v>0</v>
      </c>
      <c r="J98" s="44">
        <f>IFERROR(VLOOKUP(D98,Sessions!A:G,6,FALSE),"")</f>
        <v>0</v>
      </c>
      <c r="M98" s="48" t="str">
        <f t="shared" si="2"/>
        <v>It's all set! 🎉 Here is a summary of your order:
*Number of Tickets*: 1
*Experience*: Social at Tate Late
*Date*: 14/06/24
*Time*: 7:00pm
*Price*:  
We will issue your tickets on Evenbrite soon.
*Cancelation Policy*: 100% refund for cancelations 24h prior to event.</v>
      </c>
    </row>
    <row r="99" spans="1:13" ht="15.75" customHeight="1" x14ac:dyDescent="0.2">
      <c r="B99" s="52">
        <v>45447</v>
      </c>
      <c r="C99" s="51" t="s">
        <v>37</v>
      </c>
      <c r="D99" s="36">
        <v>28</v>
      </c>
      <c r="F99" s="32" t="str">
        <f>IFERROR(VLOOKUP(D99,Sessions!A:G,2,FALSE),"")</f>
        <v>Social at Tate Late</v>
      </c>
      <c r="G99" s="33">
        <f>IFERROR(VLOOKUP(D99,Sessions!A:G,3,FALSE),"")</f>
        <v>45457</v>
      </c>
      <c r="H99" s="32" t="str">
        <f>IFERROR(VLOOKUP(D99,Sessions!A:G,4,FALSE),"")</f>
        <v>7:00pm</v>
      </c>
      <c r="I99" s="44">
        <f>IFERROR(VLOOKUP(D99,Sessions!A:G,5,FALSE),"")</f>
        <v>0</v>
      </c>
      <c r="J99" s="44">
        <f>IFERROR(VLOOKUP(D99,Sessions!A:G,6,FALSE),"")</f>
        <v>0</v>
      </c>
      <c r="K99" s="46">
        <v>0</v>
      </c>
      <c r="L99" s="46" t="s">
        <v>3</v>
      </c>
      <c r="M99" s="48" t="str">
        <f t="shared" ref="M99:M109" si="3">"It's all set! 🎉 Here is a summary of your order:
*Number of Tickets*: 1
*Experience*: "&amp;F99&amp;"
*Date*: "&amp;TEXT(G99,"dd/mm/yy")&amp;"
*Time*: "&amp;H99&amp;"
*Price*: "&amp;K99&amp;" "&amp;L99&amp;"
We will issue your tickets on Evenbrite soon.
*Cancelation Policy*: 100% refund for cancelations 24h prior to event."</f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00" spans="1:13" ht="15.75" customHeight="1" x14ac:dyDescent="0.2">
      <c r="B100" s="52">
        <v>45447</v>
      </c>
      <c r="C100" s="51" t="s">
        <v>29</v>
      </c>
      <c r="D100" s="36">
        <v>28</v>
      </c>
      <c r="F100" s="32" t="str">
        <f>IFERROR(VLOOKUP(D100,Sessions!A:G,2,FALSE),"")</f>
        <v>Social at Tate Late</v>
      </c>
      <c r="G100" s="33">
        <f>IFERROR(VLOOKUP(D100,Sessions!A:G,3,FALSE),"")</f>
        <v>45457</v>
      </c>
      <c r="H100" s="32" t="str">
        <f>IFERROR(VLOOKUP(D100,Sessions!A:G,4,FALSE),"")</f>
        <v>7:00pm</v>
      </c>
      <c r="I100" s="44">
        <f>IFERROR(VLOOKUP(D100,Sessions!A:G,5,FALSE),"")</f>
        <v>0</v>
      </c>
      <c r="J100" s="44">
        <f>IFERROR(VLOOKUP(D100,Sessions!A:G,6,FALSE),"")</f>
        <v>0</v>
      </c>
      <c r="K100" s="46">
        <v>0</v>
      </c>
      <c r="L100" s="46" t="s">
        <v>3</v>
      </c>
      <c r="M100" s="48" t="str">
        <f t="shared" si="3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01" spans="1:13" ht="15.75" customHeight="1" x14ac:dyDescent="0.2">
      <c r="B101" s="52">
        <v>45454</v>
      </c>
      <c r="C101" s="51" t="s">
        <v>18</v>
      </c>
      <c r="D101" s="36">
        <v>28</v>
      </c>
      <c r="F101" s="32" t="str">
        <f>IFERROR(VLOOKUP(D101,Sessions!A:G,2,FALSE),"")</f>
        <v>Social at Tate Late</v>
      </c>
      <c r="G101" s="33">
        <f>IFERROR(VLOOKUP(D101,Sessions!A:G,3,FALSE),"")</f>
        <v>45457</v>
      </c>
      <c r="H101" s="32" t="str">
        <f>IFERROR(VLOOKUP(D101,Sessions!A:G,4,FALSE),"")</f>
        <v>7:00pm</v>
      </c>
      <c r="I101" s="44">
        <f>IFERROR(VLOOKUP(D101,Sessions!A:G,5,FALSE),"")</f>
        <v>0</v>
      </c>
      <c r="J101" s="44">
        <f>IFERROR(VLOOKUP(D101,Sessions!A:G,6,FALSE),"")</f>
        <v>0</v>
      </c>
      <c r="K101" s="46">
        <v>0</v>
      </c>
      <c r="L101" s="46" t="s">
        <v>3</v>
      </c>
      <c r="M101" s="48" t="str">
        <f t="shared" si="3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02" spans="1:13" ht="15.75" customHeight="1" x14ac:dyDescent="0.2">
      <c r="B102" s="52">
        <v>45447</v>
      </c>
      <c r="C102" s="51" t="s">
        <v>83</v>
      </c>
      <c r="D102" s="36">
        <v>29</v>
      </c>
      <c r="F102" s="32" t="str">
        <f>IFERROR(VLOOKUP(D102,Sessions!A:G,2,FALSE),"")</f>
        <v>Sargent and Fashion</v>
      </c>
      <c r="G102" s="33">
        <f>IFERROR(VLOOKUP(D102,Sessions!A:G,3,FALSE),"")</f>
        <v>45473</v>
      </c>
      <c r="H102" s="32" t="str">
        <f>IFERROR(VLOOKUP(D102,Sessions!A:G,4,FALSE),"")</f>
        <v>2:00pm</v>
      </c>
      <c r="I102" s="44">
        <f>IFERROR(VLOOKUP(D102,Sessions!A:G,5,FALSE),"")</f>
        <v>9</v>
      </c>
      <c r="J102" s="44">
        <f>IFERROR(VLOOKUP(D102,Sessions!A:G,6,FALSE),"")</f>
        <v>22</v>
      </c>
      <c r="K102" s="46">
        <v>9</v>
      </c>
      <c r="L102" s="46" t="s">
        <v>3</v>
      </c>
      <c r="M102" s="48" t="str">
        <f t="shared" si="3"/>
        <v>It's all set! 🎉 Here is a summary of your order:
*Number of Tickets*: 1
*Experience*: Sargent and Fashion
*Date*: 30/06/24
*Time*: 2:00pm
*Price*: 9 credits
We will issue your tickets on Evenbrite soon.
*Cancelation Policy*: 100% refund for cancelations 24h prior to event.</v>
      </c>
    </row>
    <row r="103" spans="1:13" ht="15.75" customHeight="1" x14ac:dyDescent="0.2">
      <c r="B103" s="52">
        <v>45453</v>
      </c>
      <c r="C103" s="51" t="s">
        <v>52</v>
      </c>
      <c r="D103" s="36">
        <v>29</v>
      </c>
      <c r="F103" s="32" t="str">
        <f>IFERROR(VLOOKUP(D103,Sessions!A:G,2,FALSE),"")</f>
        <v>Sargent and Fashion</v>
      </c>
      <c r="G103" s="33">
        <f>IFERROR(VLOOKUP(D103,Sessions!A:G,3,FALSE),"")</f>
        <v>45473</v>
      </c>
      <c r="H103" s="32" t="str">
        <f>IFERROR(VLOOKUP(D103,Sessions!A:G,4,FALSE),"")</f>
        <v>2:00pm</v>
      </c>
      <c r="I103" s="44">
        <f>IFERROR(VLOOKUP(D103,Sessions!A:G,5,FALSE),"")</f>
        <v>9</v>
      </c>
      <c r="J103" s="44">
        <f>IFERROR(VLOOKUP(D103,Sessions!A:G,6,FALSE),"")</f>
        <v>22</v>
      </c>
      <c r="K103" s="46">
        <v>9</v>
      </c>
      <c r="L103" s="46" t="s">
        <v>3</v>
      </c>
      <c r="M103" s="48" t="str">
        <f t="shared" si="3"/>
        <v>It's all set! 🎉 Here is a summary of your order:
*Number of Tickets*: 1
*Experience*: Sargent and Fashion
*Date*: 30/06/24
*Time*: 2:00pm
*Price*: 9 credits
We will issue your tickets on Evenbrite soon.
*Cancelation Policy*: 100% refund for cancelations 24h prior to event.</v>
      </c>
    </row>
    <row r="104" spans="1:13" ht="15.75" customHeight="1" x14ac:dyDescent="0.2">
      <c r="B104" s="52">
        <v>45479</v>
      </c>
      <c r="C104" s="51" t="s">
        <v>57</v>
      </c>
      <c r="D104" s="36">
        <v>30</v>
      </c>
      <c r="F104" s="32" t="str">
        <f>IFERROR(VLOOKUP(D104,Sessions!A:G,2,FALSE),"")</f>
        <v>Garden Museum Late (Ioana)</v>
      </c>
      <c r="G104" s="33">
        <f>IFERROR(VLOOKUP(D104,Sessions!A:G,3,FALSE),"")</f>
        <v>45450</v>
      </c>
      <c r="H104" s="32" t="str">
        <f>IFERROR(VLOOKUP(D104,Sessions!A:G,4,FALSE),"")</f>
        <v>6:30pm</v>
      </c>
      <c r="I104" s="44">
        <f>IFERROR(VLOOKUP(D104,Sessions!A:G,5,FALSE),"")</f>
        <v>6</v>
      </c>
      <c r="J104" s="44">
        <f>IFERROR(VLOOKUP(D104,Sessions!A:G,6,FALSE),"")</f>
        <v>15</v>
      </c>
      <c r="K104" s="46">
        <v>6</v>
      </c>
      <c r="L104" s="46" t="s">
        <v>3</v>
      </c>
      <c r="M104" s="48" t="str">
        <f t="shared" si="3"/>
        <v>It's all set! 🎉 Here is a summary of your order:
*Number of Tickets*: 1
*Experience*: Garden Museum Late (Ioana)
*Date*: 07/06/24
*Time*: 6:30pm
*Price*: 6 credits
We will issue your tickets on Evenbrite soon.
*Cancelation Policy*: 100% refund for cancelations 24h prior to event.</v>
      </c>
    </row>
    <row r="105" spans="1:13" ht="15.75" customHeight="1" x14ac:dyDescent="0.2">
      <c r="A105" t="s">
        <v>82</v>
      </c>
      <c r="B105" s="52">
        <v>45461</v>
      </c>
      <c r="C105" s="51" t="s">
        <v>19</v>
      </c>
      <c r="D105" s="36">
        <v>31</v>
      </c>
      <c r="F105" s="32" t="str">
        <f>IFERROR(VLOOKUP(D105,Sessions!A:G,2,FALSE),"")</f>
        <v>Life drawing workshop at Estorick Collection</v>
      </c>
      <c r="G105" s="33">
        <f>IFERROR(VLOOKUP(D105,Sessions!A:G,3,FALSE),"")</f>
        <v>45467</v>
      </c>
      <c r="H105" s="32" t="str">
        <f>IFERROR(VLOOKUP(D105,Sessions!A:G,4,FALSE),"")</f>
        <v>6:30pm</v>
      </c>
      <c r="I105" s="44">
        <f>IFERROR(VLOOKUP(D105,Sessions!A:G,5,FALSE),"")</f>
        <v>6</v>
      </c>
      <c r="J105" s="44">
        <f>IFERROR(VLOOKUP(D105,Sessions!A:G,6,FALSE),"")</f>
        <v>15</v>
      </c>
      <c r="K105" s="46">
        <v>6</v>
      </c>
      <c r="L105" s="46" t="s">
        <v>3</v>
      </c>
      <c r="M105" s="48" t="str">
        <f t="shared" si="3"/>
        <v>It's all set! 🎉 Here is a summary of your order:
*Number of Tickets*: 1
*Experience*: Life drawing workshop at Estorick Collection
*Date*: 24/06/24
*Time*: 6:30pm
*Price*: 6 credits
We will issue your tickets on Evenbrite soon.
*Cancelation Policy*: 100% refund for cancelations 24h prior to event.</v>
      </c>
    </row>
    <row r="106" spans="1:13" ht="15.75" customHeight="1" x14ac:dyDescent="0.2">
      <c r="B106" s="52">
        <v>45467</v>
      </c>
      <c r="C106" s="51" t="s">
        <v>22</v>
      </c>
      <c r="D106" s="36">
        <v>26</v>
      </c>
      <c r="F106" s="32" t="str">
        <f>IFERROR(VLOOKUP(D106,Sessions!A:G,2,FALSE),"")</f>
        <v>Soane Late</v>
      </c>
      <c r="G106" s="33">
        <f>IFERROR(VLOOKUP(D106,Sessions!A:G,3,FALSE),"")</f>
        <v>45471</v>
      </c>
      <c r="H106" s="32" t="str">
        <f>IFERROR(VLOOKUP(D106,Sessions!A:G,4,FALSE),"")</f>
        <v>6:30pm</v>
      </c>
      <c r="I106" s="44">
        <f>IFERROR(VLOOKUP(D106,Sessions!A:G,5,FALSE),"")</f>
        <v>10</v>
      </c>
      <c r="J106" s="44">
        <f>IFERROR(VLOOKUP(D106,Sessions!A:G,6,FALSE),"")</f>
        <v>25</v>
      </c>
      <c r="K106" s="46">
        <v>10</v>
      </c>
      <c r="L106" s="46" t="s">
        <v>3</v>
      </c>
      <c r="M106" s="48" t="str">
        <f t="shared" si="3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07" spans="1:13" ht="15.75" customHeight="1" x14ac:dyDescent="0.2">
      <c r="B107" s="52">
        <v>45469</v>
      </c>
      <c r="C107" s="51" t="s">
        <v>84</v>
      </c>
      <c r="D107" s="36">
        <v>26</v>
      </c>
      <c r="F107" s="32" t="str">
        <f>IFERROR(VLOOKUP(D107,Sessions!A:G,2,FALSE),"")</f>
        <v>Soane Late</v>
      </c>
      <c r="G107" s="33">
        <f>IFERROR(VLOOKUP(D107,Sessions!A:G,3,FALSE),"")</f>
        <v>45471</v>
      </c>
      <c r="H107" s="32" t="str">
        <f>IFERROR(VLOOKUP(D107,Sessions!A:G,4,FALSE),"")</f>
        <v>6:30pm</v>
      </c>
      <c r="I107" s="44">
        <f>IFERROR(VLOOKUP(D107,Sessions!A:G,5,FALSE),"")</f>
        <v>10</v>
      </c>
      <c r="J107" s="44">
        <f>IFERROR(VLOOKUP(D107,Sessions!A:G,6,FALSE),"")</f>
        <v>25</v>
      </c>
      <c r="K107" s="46">
        <v>25</v>
      </c>
      <c r="L107" s="46" t="s">
        <v>17</v>
      </c>
      <c r="M107" s="48" t="str">
        <f t="shared" si="3"/>
        <v>It's all set! 🎉 Here is a summary of your order:
*Number of Tickets*: 1
*Experience*: Soane Late
*Date*: 28/06/24
*Time*: 6:30pm
*Price*: 25 pounds
We will issue your tickets on Evenbrite soon.
*Cancelation Policy*: 100% refund for cancelations 24h prior to event.</v>
      </c>
    </row>
    <row r="108" spans="1:13" ht="15.75" customHeight="1" x14ac:dyDescent="0.2">
      <c r="B108" s="52">
        <v>45470</v>
      </c>
      <c r="C108" s="51" t="s">
        <v>57</v>
      </c>
      <c r="D108" s="36">
        <v>26</v>
      </c>
      <c r="F108" s="32" t="str">
        <f>IFERROR(VLOOKUP(D108,Sessions!A:G,2,FALSE),"")</f>
        <v>Soane Late</v>
      </c>
      <c r="G108" s="33">
        <f>IFERROR(VLOOKUP(D108,Sessions!A:G,3,FALSE),"")</f>
        <v>45471</v>
      </c>
      <c r="H108" s="32" t="str">
        <f>IFERROR(VLOOKUP(D108,Sessions!A:G,4,FALSE),"")</f>
        <v>6:30pm</v>
      </c>
      <c r="I108" s="44">
        <f>IFERROR(VLOOKUP(D108,Sessions!A:G,5,FALSE),"")</f>
        <v>10</v>
      </c>
      <c r="J108" s="44">
        <f>IFERROR(VLOOKUP(D108,Sessions!A:G,6,FALSE),"")</f>
        <v>25</v>
      </c>
      <c r="K108" s="46">
        <v>10</v>
      </c>
      <c r="L108" s="46" t="s">
        <v>3</v>
      </c>
      <c r="M108" s="48" t="str">
        <f t="shared" si="3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09" spans="1:13" ht="15.75" customHeight="1" x14ac:dyDescent="0.2">
      <c r="A109" t="s">
        <v>78</v>
      </c>
      <c r="B109" s="52">
        <v>45469</v>
      </c>
      <c r="C109" s="51" t="s">
        <v>85</v>
      </c>
      <c r="D109" s="36">
        <v>26</v>
      </c>
      <c r="F109" s="32" t="str">
        <f>IFERROR(VLOOKUP(D109,Sessions!A:G,2,FALSE),"")</f>
        <v>Soane Late</v>
      </c>
      <c r="G109" s="33">
        <f>IFERROR(VLOOKUP(D109,Sessions!A:G,3,FALSE),"")</f>
        <v>45471</v>
      </c>
      <c r="H109" s="32" t="str">
        <f>IFERROR(VLOOKUP(D109,Sessions!A:G,4,FALSE),"")</f>
        <v>6:30pm</v>
      </c>
      <c r="I109" s="44">
        <f>IFERROR(VLOOKUP(D109,Sessions!A:G,5,FALSE),"")</f>
        <v>10</v>
      </c>
      <c r="J109" s="44">
        <f>IFERROR(VLOOKUP(D109,Sessions!A:G,6,FALSE),"")</f>
        <v>25</v>
      </c>
      <c r="K109" s="46">
        <v>0</v>
      </c>
      <c r="L109" s="46" t="s">
        <v>3</v>
      </c>
      <c r="M109" s="48" t="str">
        <f t="shared" si="3"/>
        <v>It's all set! 🎉 Here is a summary of your order:
*Number of Tickets*: 1
*Experience*: Soane Late
*Date*: 28/06/24
*Time*: 6:30pm
*Price*: 0 credits
We will issue your tickets on Evenbrite soon.
*Cancelation Policy*: 100% refund for cancelations 24h prior to event.</v>
      </c>
    </row>
    <row r="110" spans="1:13" ht="15.75" customHeight="1" x14ac:dyDescent="0.2">
      <c r="F110" s="32" t="str">
        <f>IFERROR(VLOOKUP(D110,Sessions!A:G,2,FALSE),"")</f>
        <v/>
      </c>
      <c r="G110" s="33" t="str">
        <f>IFERROR(VLOOKUP(D110,Sessions!A:G,3,FALSE),"")</f>
        <v/>
      </c>
      <c r="H110" s="32" t="str">
        <f>IFERROR(VLOOKUP(D110,Sessions!A:G,4,FALSE),"")</f>
        <v/>
      </c>
      <c r="I110" s="44" t="str">
        <f>IFERROR(VLOOKUP(D110,Sessions!A:G,5,FALSE),"")</f>
        <v/>
      </c>
      <c r="J110" s="44" t="str">
        <f>IFERROR(VLOOKUP(D110,Sessions!A:G,6,FALSE),"")</f>
        <v/>
      </c>
    </row>
    <row r="111" spans="1:13" ht="15.75" customHeight="1" x14ac:dyDescent="0.2">
      <c r="F111" s="32" t="str">
        <f>IFERROR(VLOOKUP(D111,Sessions!A:G,2,FALSE),"")</f>
        <v/>
      </c>
      <c r="G111" s="33" t="str">
        <f>IFERROR(VLOOKUP(D111,Sessions!A:G,3,FALSE),"")</f>
        <v/>
      </c>
      <c r="H111" s="32" t="str">
        <f>IFERROR(VLOOKUP(D111,Sessions!A:G,4,FALSE),"")</f>
        <v/>
      </c>
      <c r="I111" s="44" t="str">
        <f>IFERROR(VLOOKUP(D111,Sessions!A:G,5,FALSE),"")</f>
        <v/>
      </c>
      <c r="J111" s="44" t="str">
        <f>IFERROR(VLOOKUP(D111,Sessions!A:G,6,FALSE),"")</f>
        <v/>
      </c>
    </row>
    <row r="112" spans="1:13" ht="15.75" customHeight="1" x14ac:dyDescent="0.2">
      <c r="F112" s="32" t="str">
        <f>IFERROR(VLOOKUP(D112,Sessions!A:G,2,FALSE),"")</f>
        <v/>
      </c>
      <c r="G112" s="33" t="str">
        <f>IFERROR(VLOOKUP(D112,Sessions!A:G,3,FALSE),"")</f>
        <v/>
      </c>
      <c r="H112" s="32" t="str">
        <f>IFERROR(VLOOKUP(D112,Sessions!A:G,4,FALSE),"")</f>
        <v/>
      </c>
      <c r="I112" s="44" t="str">
        <f>IFERROR(VLOOKUP(D112,Sessions!A:G,5,FALSE),"")</f>
        <v/>
      </c>
      <c r="J112" s="44" t="str">
        <f>IFERROR(VLOOKUP(D112,Sessions!A:G,6,FALSE),"")</f>
        <v/>
      </c>
    </row>
    <row r="113" spans="6:10" ht="15.75" customHeight="1" x14ac:dyDescent="0.2">
      <c r="F113" s="32" t="str">
        <f>IFERROR(VLOOKUP(D113,Sessions!A:G,2,FALSE),"")</f>
        <v/>
      </c>
      <c r="G113" s="33" t="str">
        <f>IFERROR(VLOOKUP(D113,Sessions!A:G,3,FALSE),"")</f>
        <v/>
      </c>
      <c r="H113" s="32" t="str">
        <f>IFERROR(VLOOKUP(D113,Sessions!A:G,4,FALSE),"")</f>
        <v/>
      </c>
      <c r="I113" s="44" t="str">
        <f>IFERROR(VLOOKUP(D113,Sessions!A:G,5,FALSE),"")</f>
        <v/>
      </c>
      <c r="J113" s="44" t="str">
        <f>IFERROR(VLOOKUP(D113,Sessions!A:G,6,FALSE),"")</f>
        <v/>
      </c>
    </row>
    <row r="114" spans="6:10" ht="15.75" customHeight="1" x14ac:dyDescent="0.2">
      <c r="F114" s="32" t="str">
        <f>IFERROR(VLOOKUP(D114,Sessions!A:G,2,FALSE),"")</f>
        <v/>
      </c>
      <c r="G114" s="33" t="str">
        <f>IFERROR(VLOOKUP(D114,Sessions!A:G,3,FALSE),"")</f>
        <v/>
      </c>
      <c r="H114" s="32" t="str">
        <f>IFERROR(VLOOKUP(D114,Sessions!A:G,4,FALSE),"")</f>
        <v/>
      </c>
      <c r="I114" s="44" t="str">
        <f>IFERROR(VLOOKUP(D114,Sessions!A:G,5,FALSE),"")</f>
        <v/>
      </c>
      <c r="J114" s="44" t="str">
        <f>IFERROR(VLOOKUP(D114,Sessions!A:G,6,FALSE),"")</f>
        <v/>
      </c>
    </row>
    <row r="115" spans="6:10" ht="15.75" customHeight="1" x14ac:dyDescent="0.2">
      <c r="F115" s="32" t="str">
        <f>IFERROR(VLOOKUP(D115,Sessions!A:G,2,FALSE),"")</f>
        <v/>
      </c>
      <c r="G115" s="33" t="str">
        <f>IFERROR(VLOOKUP(D115,Sessions!A:G,3,FALSE),"")</f>
        <v/>
      </c>
      <c r="H115" s="32" t="str">
        <f>IFERROR(VLOOKUP(D115,Sessions!A:G,4,FALSE),"")</f>
        <v/>
      </c>
      <c r="I115" s="44" t="str">
        <f>IFERROR(VLOOKUP(D115,Sessions!A:G,5,FALSE),"")</f>
        <v/>
      </c>
      <c r="J115" s="44" t="str">
        <f>IFERROR(VLOOKUP(D115,Sessions!A:G,6,FALSE),"")</f>
        <v/>
      </c>
    </row>
    <row r="116" spans="6:10" ht="15.75" customHeight="1" x14ac:dyDescent="0.2">
      <c r="F116" s="32" t="str">
        <f>IFERROR(VLOOKUP(D116,Sessions!A:G,2,FALSE),"")</f>
        <v/>
      </c>
      <c r="G116" s="33" t="str">
        <f>IFERROR(VLOOKUP(D116,Sessions!A:G,3,FALSE),"")</f>
        <v/>
      </c>
      <c r="H116" s="32" t="str">
        <f>IFERROR(VLOOKUP(D116,Sessions!A:G,4,FALSE),"")</f>
        <v/>
      </c>
      <c r="I116" s="44" t="str">
        <f>IFERROR(VLOOKUP(D116,Sessions!A:G,5,FALSE),"")</f>
        <v/>
      </c>
      <c r="J116" s="44" t="str">
        <f>IFERROR(VLOOKUP(D116,Sessions!A:G,6,FALSE),"")</f>
        <v/>
      </c>
    </row>
    <row r="117" spans="6:10" ht="15.75" customHeight="1" x14ac:dyDescent="0.2">
      <c r="F117" s="32" t="str">
        <f>IFERROR(VLOOKUP(D117,Sessions!A:G,2,FALSE),"")</f>
        <v/>
      </c>
      <c r="G117" s="33" t="str">
        <f>IFERROR(VLOOKUP(D117,Sessions!A:G,3,FALSE),"")</f>
        <v/>
      </c>
      <c r="H117" s="32" t="str">
        <f>IFERROR(VLOOKUP(D117,Sessions!A:G,4,FALSE),"")</f>
        <v/>
      </c>
      <c r="I117" s="44" t="str">
        <f>IFERROR(VLOOKUP(D117,Sessions!A:G,5,FALSE),"")</f>
        <v/>
      </c>
      <c r="J117" s="44" t="str">
        <f>IFERROR(VLOOKUP(D117,Sessions!A:G,6,FALSE),"")</f>
        <v/>
      </c>
    </row>
    <row r="118" spans="6:10" ht="15.75" customHeight="1" x14ac:dyDescent="0.2">
      <c r="F118" s="32" t="str">
        <f>IFERROR(VLOOKUP(D118,Sessions!A:G,2,FALSE),"")</f>
        <v/>
      </c>
      <c r="G118" s="33" t="str">
        <f>IFERROR(VLOOKUP(D118,Sessions!A:G,3,FALSE),"")</f>
        <v/>
      </c>
      <c r="H118" s="32" t="str">
        <f>IFERROR(VLOOKUP(D118,Sessions!A:G,4,FALSE),"")</f>
        <v/>
      </c>
      <c r="I118" s="44" t="str">
        <f>IFERROR(VLOOKUP(D118,Sessions!A:G,5,FALSE),"")</f>
        <v/>
      </c>
      <c r="J118" s="44" t="str">
        <f>IFERROR(VLOOKUP(D118,Sessions!A:G,6,FALSE),"")</f>
        <v/>
      </c>
    </row>
    <row r="119" spans="6:10" ht="15.75" customHeight="1" x14ac:dyDescent="0.2">
      <c r="F119" s="32" t="str">
        <f>IFERROR(VLOOKUP(D119,Sessions!A:G,2,FALSE),"")</f>
        <v/>
      </c>
      <c r="G119" s="33" t="str">
        <f>IFERROR(VLOOKUP(D119,Sessions!A:G,3,FALSE),"")</f>
        <v/>
      </c>
      <c r="H119" s="32" t="str">
        <f>IFERROR(VLOOKUP(D119,Sessions!A:G,4,FALSE),"")</f>
        <v/>
      </c>
      <c r="I119" s="44" t="str">
        <f>IFERROR(VLOOKUP(D119,Sessions!A:G,5,FALSE),"")</f>
        <v/>
      </c>
      <c r="J119" s="44" t="str">
        <f>IFERROR(VLOOKUP(D119,Sessions!A:G,6,FALSE),"")</f>
        <v/>
      </c>
    </row>
  </sheetData>
  <autoFilter ref="A2:M119" xr:uid="{C14BFCA4-785E-41BF-8453-0B163F8FB249}">
    <sortState xmlns:xlrd2="http://schemas.microsoft.com/office/spreadsheetml/2017/richdata2" ref="A3:M119">
      <sortCondition ref="D2:D119"/>
    </sortState>
  </autoFilter>
  <mergeCells count="3">
    <mergeCell ref="F1:J1"/>
    <mergeCell ref="K1:L1"/>
    <mergeCell ref="B1:D1"/>
  </mergeCells>
  <dataValidations count="1">
    <dataValidation type="list" allowBlank="1" showInputMessage="1" showErrorMessage="1" sqref="L3:L1048576" xr:uid="{76203797-63B3-4542-9458-A9819672FD37}">
      <formula1>$O$1:$O$2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EDA0D4-AAC1-42E5-9E0A-417678557769}">
          <x14:formula1>
            <xm:f>Users!$E:$E</xm:f>
          </x14:formula1>
          <xm:sqref>C3:C1048576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03EE-8A02-4254-B12C-9D2476DAE166}">
  <sheetPr>
    <tabColor rgb="FF0070C0"/>
  </sheetPr>
  <dimension ref="A1:H78"/>
  <sheetViews>
    <sheetView topLeftCell="A15" workbookViewId="0">
      <selection activeCell="D73" sqref="D73"/>
    </sheetView>
  </sheetViews>
  <sheetFormatPr baseColWidth="10" defaultColWidth="8.83203125" defaultRowHeight="16" x14ac:dyDescent="0.2"/>
  <cols>
    <col min="1" max="1" width="28" style="31" customWidth="1"/>
    <col min="2" max="2" width="14.6640625" style="52" customWidth="1"/>
    <col min="3" max="3" width="13.1640625" style="31" customWidth="1"/>
    <col min="4" max="4" width="15.1640625" style="31" customWidth="1"/>
    <col min="5" max="5" width="11.1640625" style="54" customWidth="1"/>
    <col min="6" max="6" width="23.5" style="48" customWidth="1"/>
    <col min="7" max="7" width="26.33203125" style="74" customWidth="1"/>
  </cols>
  <sheetData>
    <row r="1" spans="1:8" ht="27" x14ac:dyDescent="0.35">
      <c r="A1" s="187" t="s">
        <v>86</v>
      </c>
      <c r="B1" s="188"/>
      <c r="C1" s="189"/>
      <c r="D1" s="55"/>
      <c r="E1" s="56"/>
      <c r="F1" s="49" t="s">
        <v>2</v>
      </c>
      <c r="G1" s="75" t="s">
        <v>2</v>
      </c>
    </row>
    <row r="2" spans="1:8" ht="34" x14ac:dyDescent="0.2">
      <c r="A2" s="57" t="s">
        <v>6</v>
      </c>
      <c r="B2" s="58" t="s">
        <v>87</v>
      </c>
      <c r="C2" s="59" t="s">
        <v>88</v>
      </c>
      <c r="D2" s="59" t="s">
        <v>89</v>
      </c>
      <c r="E2" s="60" t="s">
        <v>90</v>
      </c>
      <c r="F2" s="47" t="s">
        <v>91</v>
      </c>
      <c r="G2" s="72" t="s">
        <v>92</v>
      </c>
    </row>
    <row r="3" spans="1:8" x14ac:dyDescent="0.2">
      <c r="A3" s="31" t="s">
        <v>34</v>
      </c>
      <c r="B3" s="52">
        <v>45420</v>
      </c>
      <c r="C3" s="31">
        <v>12</v>
      </c>
      <c r="D3" s="67"/>
      <c r="E3" s="53">
        <f>SUMIF(A$2:A3,A3,C$2:C3)</f>
        <v>12</v>
      </c>
      <c r="F3" s="48" t="str">
        <f>"You now have *"&amp;E3&amp;"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" s="73" t="str">
        <f>"Yaaaay! *You are now a Nimi member!* 🎉
We are very happy to have you join our membership. We really hope you enjoy the events we crafted for this month, because we create each one with soooo much love. 💕 
You now have *"&amp;E3&amp;"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  <c r="H3" s="15" t="s">
        <v>93</v>
      </c>
    </row>
    <row r="4" spans="1:8" x14ac:dyDescent="0.2">
      <c r="A4" s="31" t="s">
        <v>31</v>
      </c>
      <c r="B4" s="52">
        <v>45420</v>
      </c>
      <c r="C4" s="31">
        <v>12</v>
      </c>
      <c r="E4" s="53">
        <f>SUMIF(A$2:A4,A4,C$2:C4)</f>
        <v>12</v>
      </c>
      <c r="F4" s="48" t="str">
        <f t="shared" ref="F4:F66" si="0">"You now have *"&amp;E4&amp;"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" s="73" t="str">
        <f t="shared" ref="G4:G66" si="1">"Yaaaay! *You are now a Nimi member!* 🎉
We are very happy to have you join our membership. We really hope you enjoy the events we crafted for this month, because we create each one with soooo much love. 💕 
You now have *"&amp;E4&amp;"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" spans="1:8" x14ac:dyDescent="0.2">
      <c r="A5" s="31" t="s">
        <v>31</v>
      </c>
      <c r="B5" s="52">
        <v>45420</v>
      </c>
      <c r="C5" s="31">
        <v>-6</v>
      </c>
      <c r="E5" s="53">
        <f>SUMIF(A$2:A5,A5,C$2:C5)</f>
        <v>6</v>
      </c>
      <c r="F5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" spans="1:8" x14ac:dyDescent="0.2">
      <c r="A6" s="51" t="s">
        <v>19</v>
      </c>
      <c r="B6" s="52">
        <v>45420</v>
      </c>
      <c r="C6" s="31">
        <v>12</v>
      </c>
      <c r="E6" s="53">
        <f>SUMIF(A$2:A6,A6,C$2:C6)</f>
        <v>12</v>
      </c>
      <c r="F6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" spans="1:8" x14ac:dyDescent="0.2">
      <c r="A7" s="31" t="s">
        <v>37</v>
      </c>
      <c r="B7" s="52">
        <v>45421</v>
      </c>
      <c r="C7" s="31">
        <v>12</v>
      </c>
      <c r="E7" s="53">
        <f>SUMIF(A$2:A7,A7,C$2:C7)</f>
        <v>12</v>
      </c>
      <c r="F7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8" spans="1:8" x14ac:dyDescent="0.2">
      <c r="A8" s="31" t="s">
        <v>24</v>
      </c>
      <c r="B8" s="52">
        <v>45421</v>
      </c>
      <c r="C8" s="31">
        <v>12</v>
      </c>
      <c r="E8" s="53">
        <f>SUMIF(A$2:A8,A8,C$2:C8)</f>
        <v>12</v>
      </c>
      <c r="F8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9" spans="1:8" x14ac:dyDescent="0.2">
      <c r="A9" s="31" t="s">
        <v>34</v>
      </c>
      <c r="B9" s="52">
        <v>45421</v>
      </c>
      <c r="C9" s="31">
        <v>12</v>
      </c>
      <c r="E9" s="53">
        <f>SUMIF(A$2:A9,A9,C$2:C9)</f>
        <v>24</v>
      </c>
      <c r="F9" s="48" t="str">
        <f t="shared" si="0"/>
        <v>You now have *24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*24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0" spans="1:8" x14ac:dyDescent="0.2">
      <c r="A10" s="31" t="s">
        <v>20</v>
      </c>
      <c r="B10" s="52">
        <v>45421</v>
      </c>
      <c r="C10" s="31">
        <v>12</v>
      </c>
      <c r="E10" s="53">
        <f>SUMIF(A$2:A10,A10,C$2:C10)</f>
        <v>12</v>
      </c>
      <c r="F10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1" spans="1:8" x14ac:dyDescent="0.2">
      <c r="A11" s="31" t="s">
        <v>52</v>
      </c>
      <c r="B11" s="52">
        <v>45426</v>
      </c>
      <c r="C11" s="67">
        <v>-6</v>
      </c>
      <c r="E11" s="53">
        <f>SUMIF(A$2:A11,A11,C$2:C11)</f>
        <v>-6</v>
      </c>
      <c r="F11" s="48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2" spans="1:8" x14ac:dyDescent="0.2">
      <c r="A12" s="31" t="s">
        <v>29</v>
      </c>
      <c r="B12" s="52">
        <v>45426</v>
      </c>
      <c r="C12" s="31">
        <v>-6</v>
      </c>
      <c r="E12" s="53">
        <f>SUMIF(A$2:A12,A12,C$2:C12)</f>
        <v>-6</v>
      </c>
      <c r="F12" s="48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3" spans="1:8" x14ac:dyDescent="0.2">
      <c r="A13" s="31" t="s">
        <v>26</v>
      </c>
      <c r="B13" s="52">
        <v>45427</v>
      </c>
      <c r="C13" s="31">
        <v>18</v>
      </c>
      <c r="E13" s="53">
        <f>SUMIF(A$2:A13,A13,C$2:C13)</f>
        <v>18</v>
      </c>
      <c r="F13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4" spans="1:8" x14ac:dyDescent="0.2">
      <c r="A14" s="31" t="s">
        <v>24</v>
      </c>
      <c r="B14" s="52">
        <v>45427</v>
      </c>
      <c r="C14" s="31">
        <v>-6</v>
      </c>
      <c r="E14" s="53">
        <f>SUMIF(A$2:A14,A14,C$2:C14)</f>
        <v>6</v>
      </c>
      <c r="F14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5" spans="1:8" x14ac:dyDescent="0.2">
      <c r="A15" s="31" t="s">
        <v>83</v>
      </c>
      <c r="B15" s="52">
        <v>45427</v>
      </c>
      <c r="C15" s="31">
        <v>18</v>
      </c>
      <c r="D15" s="31">
        <v>15</v>
      </c>
      <c r="E15" s="53">
        <f>SUMIF(A$2:A15,A15,C$2:C15)</f>
        <v>18</v>
      </c>
      <c r="F15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6" spans="1:8" x14ac:dyDescent="0.2">
      <c r="A16" s="31" t="s">
        <v>25</v>
      </c>
      <c r="B16" s="52">
        <v>45428</v>
      </c>
      <c r="C16" s="31">
        <v>12</v>
      </c>
      <c r="E16" s="53">
        <f>SUMIF(A$2:A16,A16,C$2:C16)</f>
        <v>12</v>
      </c>
      <c r="F16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7" spans="1:7" x14ac:dyDescent="0.2">
      <c r="A17" s="31" t="s">
        <v>26</v>
      </c>
      <c r="B17" s="52">
        <v>45428</v>
      </c>
      <c r="C17" s="31">
        <v>-6</v>
      </c>
      <c r="E17" s="53">
        <f>SUMIF(A$2:A17,A17,C$2:C17)</f>
        <v>12</v>
      </c>
      <c r="F17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8" spans="1:7" x14ac:dyDescent="0.2">
      <c r="A18" s="31" t="s">
        <v>18</v>
      </c>
      <c r="B18" s="52">
        <v>45428</v>
      </c>
      <c r="C18" s="31">
        <v>12</v>
      </c>
      <c r="E18" s="53">
        <f>SUMIF(A$2:A18,A18,C$2:C18)</f>
        <v>12</v>
      </c>
      <c r="F18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9" spans="1:7" x14ac:dyDescent="0.2">
      <c r="A19" s="31" t="s">
        <v>31</v>
      </c>
      <c r="B19" s="52">
        <v>45428</v>
      </c>
      <c r="C19" s="31">
        <v>-6</v>
      </c>
      <c r="E19" s="53">
        <f>SUMIF(A$2:A19,A19,C$2:C19)</f>
        <v>0</v>
      </c>
      <c r="F19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0" spans="1:7" x14ac:dyDescent="0.2">
      <c r="A20" s="31" t="s">
        <v>22</v>
      </c>
      <c r="B20" s="52">
        <v>45429</v>
      </c>
      <c r="C20" s="31">
        <v>12</v>
      </c>
      <c r="E20" s="53">
        <f>SUMIF(A$2:A20,A20,C$2:C20)</f>
        <v>12</v>
      </c>
      <c r="F20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1" spans="1:7" x14ac:dyDescent="0.2">
      <c r="A21" s="31" t="s">
        <v>56</v>
      </c>
      <c r="B21" s="52">
        <v>45430</v>
      </c>
      <c r="C21" s="31">
        <v>6</v>
      </c>
      <c r="D21" s="31">
        <v>15</v>
      </c>
      <c r="E21" s="53">
        <f>SUMIF(A$2:A21,A21,C$2:C21)</f>
        <v>6</v>
      </c>
      <c r="F21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2" spans="1:7" x14ac:dyDescent="0.2">
      <c r="A22" s="31" t="s">
        <v>22</v>
      </c>
      <c r="B22" s="52">
        <v>45432</v>
      </c>
      <c r="C22" s="31">
        <v>-6</v>
      </c>
      <c r="E22" s="53">
        <f>SUMIF(A$2:A22,A22,C$2:C22)</f>
        <v>6</v>
      </c>
      <c r="F22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3" spans="1:7" x14ac:dyDescent="0.2">
      <c r="A23" s="31" t="s">
        <v>18</v>
      </c>
      <c r="B23" s="52">
        <v>45434</v>
      </c>
      <c r="C23" s="31">
        <v>-6</v>
      </c>
      <c r="E23" s="53">
        <f>SUMIF(A$2:A23,A23,C$2:C23)</f>
        <v>6</v>
      </c>
      <c r="F23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4" spans="1:7" x14ac:dyDescent="0.2">
      <c r="A24" s="31" t="s">
        <v>19</v>
      </c>
      <c r="B24" s="52">
        <v>45435</v>
      </c>
      <c r="C24" s="31">
        <v>-6</v>
      </c>
      <c r="E24" s="53">
        <f>SUMIF(A$2:A24,A24,C$2:C24)</f>
        <v>6</v>
      </c>
      <c r="F24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5" spans="1:7" x14ac:dyDescent="0.2">
      <c r="A25" s="31" t="s">
        <v>22</v>
      </c>
      <c r="B25" s="52">
        <v>45435</v>
      </c>
      <c r="C25" s="31">
        <v>-6</v>
      </c>
      <c r="E25" s="53">
        <f>SUMIF(A$2:A25,A25,C$2:C25)</f>
        <v>0</v>
      </c>
      <c r="F25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6" spans="1:7" x14ac:dyDescent="0.2">
      <c r="A26" s="31" t="s">
        <v>57</v>
      </c>
      <c r="B26" s="52">
        <v>45436</v>
      </c>
      <c r="C26" s="31">
        <v>12</v>
      </c>
      <c r="E26" s="53">
        <f>SUMIF(A$2:A26,A26,C$2:C26)</f>
        <v>12</v>
      </c>
      <c r="F26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7" spans="1:7" x14ac:dyDescent="0.2">
      <c r="A27" s="31" t="s">
        <v>46</v>
      </c>
      <c r="B27" s="52">
        <v>45440</v>
      </c>
      <c r="C27" s="31">
        <v>12</v>
      </c>
      <c r="E27" s="53">
        <f>SUMIF(A$2:A27,A27,C$2:C27)</f>
        <v>12</v>
      </c>
      <c r="F27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8" spans="1:7" x14ac:dyDescent="0.2">
      <c r="A28" s="31" t="s">
        <v>30</v>
      </c>
      <c r="B28" s="52">
        <v>45440</v>
      </c>
      <c r="C28" s="31">
        <v>12</v>
      </c>
      <c r="E28" s="53">
        <f>SUMIF(A$2:A28,A28,C$2:C28)</f>
        <v>12</v>
      </c>
      <c r="F28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9" spans="1:7" x14ac:dyDescent="0.2">
      <c r="A29" s="31" t="s">
        <v>48</v>
      </c>
      <c r="B29" s="52">
        <v>45442</v>
      </c>
      <c r="C29" s="31">
        <v>12</v>
      </c>
      <c r="E29" s="53">
        <f>SUMIF(A$2:A29,A29,C$2:C29)</f>
        <v>12</v>
      </c>
      <c r="F29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0" spans="1:7" x14ac:dyDescent="0.2">
      <c r="A30" s="31" t="s">
        <v>46</v>
      </c>
      <c r="B30" s="52">
        <v>45443</v>
      </c>
      <c r="C30" s="31">
        <v>-6</v>
      </c>
      <c r="E30" s="53">
        <f>SUMIF(A$2:A30,A30,C$2:C30)</f>
        <v>6</v>
      </c>
      <c r="F30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1" spans="1:7" x14ac:dyDescent="0.2">
      <c r="A31" s="31" t="s">
        <v>29</v>
      </c>
      <c r="B31" s="52">
        <v>45444</v>
      </c>
      <c r="C31" s="31">
        <v>-6</v>
      </c>
      <c r="E31" s="53">
        <f>SUMIF(A$2:A31,A31,C$2:C31)</f>
        <v>-12</v>
      </c>
      <c r="F31" s="48" t="str">
        <f t="shared" si="0"/>
        <v>You now have *-12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2" spans="1:7" x14ac:dyDescent="0.2">
      <c r="A32" s="31" t="s">
        <v>52</v>
      </c>
      <c r="B32" s="52">
        <v>45446</v>
      </c>
      <c r="C32" s="31">
        <v>12</v>
      </c>
      <c r="E32" s="53">
        <f>SUMIF(A$2:A32,A32,C$2:C32)</f>
        <v>6</v>
      </c>
      <c r="F32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3" spans="1:7" x14ac:dyDescent="0.2">
      <c r="A33" s="31" t="s">
        <v>29</v>
      </c>
      <c r="B33" s="52">
        <v>45446</v>
      </c>
      <c r="C33" s="31">
        <v>12</v>
      </c>
      <c r="E33" s="53">
        <f>SUMIF(A$2:A33,A33,C$2:C33)</f>
        <v>0</v>
      </c>
      <c r="F33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4" spans="1:7" x14ac:dyDescent="0.2">
      <c r="A34" s="31" t="s">
        <v>19</v>
      </c>
      <c r="B34" s="52">
        <v>45446</v>
      </c>
      <c r="C34" s="31">
        <v>6</v>
      </c>
      <c r="E34" s="53">
        <f>SUMIF(A$2:A34,A34,C$2:C34)</f>
        <v>12</v>
      </c>
      <c r="F34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5" spans="1:7" x14ac:dyDescent="0.2">
      <c r="A35" s="31" t="s">
        <v>19</v>
      </c>
      <c r="B35" s="52">
        <v>45446</v>
      </c>
      <c r="C35" s="31">
        <v>6</v>
      </c>
      <c r="E35" s="53">
        <f>SUMIF(A$2:A35,A35,C$2:C35)</f>
        <v>18</v>
      </c>
      <c r="F35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6" spans="1:7" x14ac:dyDescent="0.2">
      <c r="A36" s="31" t="s">
        <v>22</v>
      </c>
      <c r="B36" s="52">
        <v>45446</v>
      </c>
      <c r="C36" s="31">
        <v>6</v>
      </c>
      <c r="E36" s="53">
        <f>SUMIF(A$2:A36,A36,C$2:C36)</f>
        <v>6</v>
      </c>
      <c r="F36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7" spans="1:7" x14ac:dyDescent="0.2">
      <c r="A37" s="31" t="s">
        <v>22</v>
      </c>
      <c r="B37" s="52">
        <v>45446</v>
      </c>
      <c r="C37" s="31">
        <v>6</v>
      </c>
      <c r="E37" s="53">
        <f>SUMIF(A$2:A37,A37,C$2:C37)</f>
        <v>12</v>
      </c>
      <c r="F37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8" spans="1:7" x14ac:dyDescent="0.2">
      <c r="A38" s="31" t="s">
        <v>37</v>
      </c>
      <c r="B38" s="52">
        <v>45446</v>
      </c>
      <c r="C38" s="31">
        <v>6</v>
      </c>
      <c r="E38" s="53">
        <f>SUMIF(A$2:A38,A38,C$2:C38)</f>
        <v>18</v>
      </c>
      <c r="F38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9" spans="1:7" x14ac:dyDescent="0.2">
      <c r="A39" s="31" t="s">
        <v>27</v>
      </c>
      <c r="B39" s="52">
        <v>45443</v>
      </c>
      <c r="C39" s="31">
        <v>12</v>
      </c>
      <c r="E39" s="53">
        <f>SUMIF(A$2:A39,A39,C$2:C39)</f>
        <v>12</v>
      </c>
      <c r="F39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0" spans="1:7" x14ac:dyDescent="0.2">
      <c r="A40" s="31" t="s">
        <v>37</v>
      </c>
      <c r="B40" s="52">
        <v>45421</v>
      </c>
      <c r="C40" s="31">
        <v>-6</v>
      </c>
      <c r="E40" s="53">
        <f>SUMIF(A$2:A40,A40,C$2:C40)</f>
        <v>12</v>
      </c>
      <c r="F40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1" spans="1:7" x14ac:dyDescent="0.2">
      <c r="A41" s="31" t="s">
        <v>31</v>
      </c>
      <c r="B41" s="52">
        <v>45447</v>
      </c>
      <c r="C41" s="31">
        <v>6</v>
      </c>
      <c r="D41" s="31">
        <v>12</v>
      </c>
      <c r="E41" s="53">
        <f>SUMIF(A$2:A41,A41,C$2:C41)</f>
        <v>6</v>
      </c>
      <c r="F41" s="48" t="str">
        <f>"You now have *"&amp;E41&amp;"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2" spans="1:7" x14ac:dyDescent="0.2">
      <c r="A42" s="31" t="s">
        <v>31</v>
      </c>
      <c r="B42" s="52">
        <v>45447</v>
      </c>
      <c r="C42" s="31">
        <v>-6</v>
      </c>
      <c r="E42" s="53">
        <f>SUMIF(A$2:A42,A42,C$2:C42)</f>
        <v>0</v>
      </c>
      <c r="F42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3" spans="1:7" x14ac:dyDescent="0.2">
      <c r="A43" s="31" t="s">
        <v>37</v>
      </c>
      <c r="B43" s="52">
        <v>45447</v>
      </c>
      <c r="C43" s="31">
        <v>-6</v>
      </c>
      <c r="E43" s="53">
        <f>SUMIF(A$2:A43,A43,C$2:C43)</f>
        <v>6</v>
      </c>
      <c r="F43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4" spans="1:7" x14ac:dyDescent="0.2">
      <c r="A44" s="31" t="s">
        <v>83</v>
      </c>
      <c r="B44" s="52">
        <v>45447</v>
      </c>
      <c r="C44" s="67">
        <v>-9</v>
      </c>
      <c r="E44" s="53">
        <f>SUMIF(A$2:A44,A44,C$2:C44)</f>
        <v>9</v>
      </c>
      <c r="F44" s="48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5" spans="1:7" x14ac:dyDescent="0.2">
      <c r="A45" s="31" t="s">
        <v>31</v>
      </c>
      <c r="B45" s="52">
        <v>45448</v>
      </c>
      <c r="C45" s="67">
        <v>-6</v>
      </c>
      <c r="E45" s="53">
        <f>SUMIF(A$2:A45,A45,C$2:C45)</f>
        <v>-6</v>
      </c>
      <c r="F45" s="48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6" spans="1:7" x14ac:dyDescent="0.2">
      <c r="A46" s="31" t="s">
        <v>48</v>
      </c>
      <c r="B46" s="52">
        <v>45449</v>
      </c>
      <c r="C46" s="31">
        <v>-6</v>
      </c>
      <c r="E46" s="53">
        <f>SUMIF(A$2:A46,A46,C$2:C46)</f>
        <v>6</v>
      </c>
      <c r="F46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7" spans="1:7" x14ac:dyDescent="0.2">
      <c r="A47" s="31" t="s">
        <v>57</v>
      </c>
      <c r="B47" s="52">
        <v>45450</v>
      </c>
      <c r="C47" s="31">
        <v>-6</v>
      </c>
      <c r="E47" s="53">
        <f>SUMIF(A$2:A47,A47,C$2:C47)</f>
        <v>6</v>
      </c>
      <c r="F47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8" spans="1:7" x14ac:dyDescent="0.2">
      <c r="A48" s="31" t="s">
        <v>24</v>
      </c>
      <c r="B48" s="52">
        <v>45453</v>
      </c>
      <c r="C48" s="31">
        <v>12</v>
      </c>
      <c r="E48" s="53">
        <f>SUMIF(A$2:A48,A48,C$2:C48)</f>
        <v>18</v>
      </c>
      <c r="F48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9" spans="1:7" x14ac:dyDescent="0.2">
      <c r="A49" s="31" t="s">
        <v>24</v>
      </c>
      <c r="B49" s="52">
        <v>45453</v>
      </c>
      <c r="C49" s="31">
        <v>-6</v>
      </c>
      <c r="E49" s="53">
        <f>SUMIF(A$2:A49,A49,C$2:C49)</f>
        <v>12</v>
      </c>
      <c r="F49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0" spans="1:7" x14ac:dyDescent="0.2">
      <c r="A50" s="31" t="s">
        <v>24</v>
      </c>
      <c r="B50" s="52">
        <v>45453</v>
      </c>
      <c r="C50" s="31">
        <v>-10</v>
      </c>
      <c r="E50" s="53">
        <f>SUMIF(A$2:A50,A50,C$2:C50)</f>
        <v>2</v>
      </c>
      <c r="F50" s="48" t="str">
        <f t="shared" si="0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1" spans="1:7" x14ac:dyDescent="0.2">
      <c r="A51" s="31" t="s">
        <v>52</v>
      </c>
      <c r="B51" s="52">
        <v>45453</v>
      </c>
      <c r="C51" s="31">
        <v>3</v>
      </c>
      <c r="E51" s="53">
        <f>SUMIF(A$2:A51,A51,C$2:C51)</f>
        <v>9</v>
      </c>
      <c r="F51" s="48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2" spans="1:7" x14ac:dyDescent="0.2">
      <c r="A52" s="31" t="s">
        <v>52</v>
      </c>
      <c r="B52" s="52">
        <v>45453</v>
      </c>
      <c r="C52" s="31">
        <v>-9</v>
      </c>
      <c r="E52" s="53">
        <f>SUMIF(A$2:A52,A52,C$2:C52)</f>
        <v>0</v>
      </c>
      <c r="F52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3" spans="1:7" x14ac:dyDescent="0.2">
      <c r="A53" s="31" t="s">
        <v>18</v>
      </c>
      <c r="B53" s="52">
        <v>45454</v>
      </c>
      <c r="C53" s="31">
        <v>-6</v>
      </c>
      <c r="E53" s="53">
        <f>SUMIF(A$2:A53,A53,C$2:C53)</f>
        <v>0</v>
      </c>
      <c r="F53" s="48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4" spans="1:7" x14ac:dyDescent="0.2">
      <c r="A54" s="31" t="s">
        <v>18</v>
      </c>
      <c r="B54" s="52">
        <v>45455</v>
      </c>
      <c r="C54" s="31">
        <v>6</v>
      </c>
      <c r="E54" s="53">
        <f>SUMIF(A$2:A54,A54,C$2:C54)</f>
        <v>6</v>
      </c>
      <c r="F54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5" spans="1:7" x14ac:dyDescent="0.2">
      <c r="A55" s="31" t="s">
        <v>31</v>
      </c>
      <c r="B55" s="52">
        <v>45457</v>
      </c>
      <c r="C55" s="31">
        <v>3</v>
      </c>
      <c r="E55" s="53">
        <f>SUMIF(A$2:A55,A55,C$2:C55)</f>
        <v>-3</v>
      </c>
      <c r="F55" s="48" t="str">
        <f t="shared" si="0"/>
        <v>You now have *-3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*-3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6" spans="1:7" x14ac:dyDescent="0.2">
      <c r="A56" s="31" t="s">
        <v>31</v>
      </c>
      <c r="B56" s="52">
        <v>45451</v>
      </c>
      <c r="C56" s="31">
        <v>12</v>
      </c>
      <c r="E56" s="53">
        <f>SUMIF(A$2:A56,A56,C$2:C56)</f>
        <v>9</v>
      </c>
      <c r="F56" s="48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7" spans="1:7" x14ac:dyDescent="0.2">
      <c r="A57" s="31" t="s">
        <v>19</v>
      </c>
      <c r="B57" s="52">
        <v>45451</v>
      </c>
      <c r="C57" s="31">
        <v>12</v>
      </c>
      <c r="E57" s="53">
        <f>SUMIF(A$2:A57,A57,C$2:C57)</f>
        <v>30</v>
      </c>
      <c r="F57" s="48" t="str">
        <f t="shared" si="0"/>
        <v>You now have *30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7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*30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8" spans="1:7" x14ac:dyDescent="0.2">
      <c r="A58" s="31" t="s">
        <v>31</v>
      </c>
      <c r="B58" s="52">
        <v>45457</v>
      </c>
      <c r="C58" s="31">
        <v>6</v>
      </c>
      <c r="E58" s="53">
        <f>SUMIF(A$2:A58,A58,C$2:C58)</f>
        <v>15</v>
      </c>
      <c r="F58" s="48" t="str">
        <f t="shared" si="0"/>
        <v>You now have *15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8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*15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9" spans="1:7" x14ac:dyDescent="0.2">
      <c r="A59" s="31" t="s">
        <v>27</v>
      </c>
      <c r="B59" s="52">
        <v>45461</v>
      </c>
      <c r="C59" s="31">
        <v>-10</v>
      </c>
      <c r="E59" s="53">
        <f>SUMIF(A$2:A59,A59,C$2:C59)</f>
        <v>2</v>
      </c>
      <c r="F59" s="48" t="str">
        <f t="shared" si="0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9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0" spans="1:7" x14ac:dyDescent="0.2">
      <c r="A60" s="31" t="s">
        <v>19</v>
      </c>
      <c r="B60" s="52">
        <v>45461</v>
      </c>
      <c r="C60" s="31">
        <v>-10</v>
      </c>
      <c r="E60" s="53">
        <f>SUMIF(A$2:A60,A60,C$2:C60)</f>
        <v>20</v>
      </c>
      <c r="F60" s="48" t="str">
        <f t="shared" si="0"/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0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1" spans="1:7" x14ac:dyDescent="0.2">
      <c r="A61" s="31" t="s">
        <v>19</v>
      </c>
      <c r="B61" s="52">
        <v>45461</v>
      </c>
      <c r="C61" s="31">
        <v>-6</v>
      </c>
      <c r="E61" s="53">
        <f>SUMIF(A$2:A61,A61,C$2:C61)</f>
        <v>14</v>
      </c>
      <c r="F61" s="48" t="str">
        <f t="shared" si="0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1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*14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2" spans="1:7" x14ac:dyDescent="0.2">
      <c r="A62" s="31" t="s">
        <v>22</v>
      </c>
      <c r="B62" s="52">
        <v>45462</v>
      </c>
      <c r="C62" s="31">
        <v>-6</v>
      </c>
      <c r="E62" s="53">
        <f>SUMIF(A$2:A62,A62,C$2:C62)</f>
        <v>6</v>
      </c>
      <c r="F62" s="48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2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3" spans="1:7" x14ac:dyDescent="0.2">
      <c r="A63" s="31" t="s">
        <v>31</v>
      </c>
      <c r="B63" s="52">
        <v>45462</v>
      </c>
      <c r="C63" s="31">
        <v>-10</v>
      </c>
      <c r="E63" s="53">
        <f>SUMIF(A$2:A63,A63,C$2:C63)</f>
        <v>5</v>
      </c>
      <c r="F63" s="48" t="str">
        <f t="shared" si="0"/>
        <v>You now have *5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3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*5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4" spans="1:7" x14ac:dyDescent="0.2">
      <c r="A64" s="31" t="s">
        <v>22</v>
      </c>
      <c r="B64" s="52">
        <v>45463</v>
      </c>
      <c r="C64" s="31">
        <v>12</v>
      </c>
      <c r="E64" s="53">
        <f>SUMIF(A$2:A64,A64,C$2:C64)</f>
        <v>18</v>
      </c>
      <c r="F64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4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5" spans="1:7" x14ac:dyDescent="0.2">
      <c r="A65" s="31" t="s">
        <v>18</v>
      </c>
      <c r="B65" s="52">
        <v>45463</v>
      </c>
      <c r="C65" s="31">
        <v>12</v>
      </c>
      <c r="E65" s="53">
        <f>SUMIF(A$2:A65,A65,C$2:C65)</f>
        <v>18</v>
      </c>
      <c r="F65" s="48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5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6" spans="1:7" x14ac:dyDescent="0.2">
      <c r="A66" s="31" t="s">
        <v>29</v>
      </c>
      <c r="B66" s="52">
        <v>45457</v>
      </c>
      <c r="C66" s="31">
        <v>12</v>
      </c>
      <c r="E66" s="53">
        <f>SUMIF(A$2:A66,A66,C$2:C66)</f>
        <v>12</v>
      </c>
      <c r="F66" s="48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6" s="7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7" spans="1:7" x14ac:dyDescent="0.2">
      <c r="A67" s="31" t="s">
        <v>57</v>
      </c>
      <c r="B67" s="52">
        <v>45467</v>
      </c>
      <c r="C67" s="31">
        <v>12</v>
      </c>
      <c r="E67" s="53">
        <f>SUMIF(A$2:A67,A67,C$2:C67)</f>
        <v>18</v>
      </c>
      <c r="F67" s="48" t="str">
        <f t="shared" ref="F67:F70" si="2">"You now have *"&amp;E67&amp;"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7" s="73" t="str">
        <f t="shared" ref="G67:G70" si="3">"Yaaaay! *You are now a Nimi member!* 🎉
We are very happy to have you join our membership. We really hope you enjoy the events we crafted for this month, because we create each one with soooo much love. 💕 
You now have *"&amp;E67&amp;"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8" spans="1:7" x14ac:dyDescent="0.2">
      <c r="A68" s="31" t="s">
        <v>31</v>
      </c>
      <c r="B68" s="52">
        <v>45467</v>
      </c>
      <c r="C68" s="31">
        <v>6</v>
      </c>
      <c r="E68" s="53">
        <f>SUMIF(A$2:A68,A68,C$2:C68)</f>
        <v>11</v>
      </c>
      <c r="F68" s="48" t="str">
        <f t="shared" si="2"/>
        <v>You now have *11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8" s="73" t="str">
        <f t="shared" si="3"/>
        <v>Yaaaay! *You are now a Nimi member!* 🎉
We are very happy to have you join our membership. We really hope you enjoy the events we crafted for this month, because we create each one with soooo much love. 💕 
You now have *11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9" spans="1:7" x14ac:dyDescent="0.2">
      <c r="A69" s="31" t="s">
        <v>22</v>
      </c>
      <c r="B69" s="52">
        <v>45467</v>
      </c>
      <c r="C69" s="31">
        <v>-10</v>
      </c>
      <c r="E69" s="53">
        <f>SUMIF(A$2:A69,A69,C$2:C69)</f>
        <v>8</v>
      </c>
      <c r="F69" s="48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9" s="73" t="str">
        <f t="shared" si="3"/>
        <v>Yaaaay! *You are now a Nimi member!* 🎉
We are very happy to have you join our membership. We really hope you enjoy the events we crafted for this month, because we create each one with soooo much love. 💕 
You now have *8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0" spans="1:7" x14ac:dyDescent="0.2">
      <c r="A70" s="31" t="s">
        <v>57</v>
      </c>
      <c r="B70" s="52">
        <v>45470</v>
      </c>
      <c r="C70" s="31">
        <v>-10</v>
      </c>
      <c r="E70" s="53">
        <f>SUMIF(A$2:A70,A70,C$2:C70)</f>
        <v>8</v>
      </c>
      <c r="F70" s="48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70" s="73" t="str">
        <f t="shared" si="3"/>
        <v>Yaaaay! *You are now a Nimi member!* 🎉
We are very happy to have you join our membership. We really hope you enjoy the events we crafted for this month, because we create each one with soooo much love. 💕 
You now have *8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1" spans="1:7" x14ac:dyDescent="0.2">
      <c r="E71" s="53">
        <f>SUMIF(A$2:A71,A71,C$2:C71)</f>
        <v>0</v>
      </c>
    </row>
    <row r="72" spans="1:7" x14ac:dyDescent="0.2">
      <c r="E72" s="53">
        <f>SUMIF(A$2:A72,A72,C$2:C72)</f>
        <v>0</v>
      </c>
    </row>
    <row r="73" spans="1:7" x14ac:dyDescent="0.2">
      <c r="E73" s="53">
        <f>SUMIF(A$2:A73,A73,C$2:C73)</f>
        <v>0</v>
      </c>
    </row>
    <row r="74" spans="1:7" x14ac:dyDescent="0.2">
      <c r="E74" s="53">
        <f>SUMIF(A$2:A74,A74,C$2:C74)</f>
        <v>0</v>
      </c>
    </row>
    <row r="75" spans="1:7" x14ac:dyDescent="0.2">
      <c r="E75" s="53">
        <f>SUMIF(A$2:A75,A75,C$2:C75)</f>
        <v>0</v>
      </c>
    </row>
    <row r="76" spans="1:7" x14ac:dyDescent="0.2">
      <c r="E76" s="53">
        <f>SUMIF(A$2:A76,A76,C$2:C76)</f>
        <v>0</v>
      </c>
    </row>
    <row r="77" spans="1:7" x14ac:dyDescent="0.2">
      <c r="E77" s="53">
        <f>SUMIF(A$2:A77,A77,C$2:C77)</f>
        <v>0</v>
      </c>
    </row>
    <row r="78" spans="1:7" x14ac:dyDescent="0.2">
      <c r="E78" s="53">
        <f>SUMIF(A$2:A78,A78,C$2:C78)</f>
        <v>0</v>
      </c>
    </row>
  </sheetData>
  <autoFilter ref="A2:H70" xr:uid="{15FF03EE-8A02-4254-B12C-9D2476DAE166}"/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6FC77-8D2F-4718-8E7F-9DB4733B7194}">
          <x14:formula1>
            <xm:f>Users!$E:$E</xm:f>
          </x14:formula1>
          <xm:sqref>A3:A87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9BC-D7A6-E848-B798-81FCC67EBFA4}">
  <dimension ref="A1:U205"/>
  <sheetViews>
    <sheetView topLeftCell="D50" zoomScale="130" zoomScaleNormal="130" workbookViewId="0">
      <selection activeCell="P68" sqref="P68"/>
    </sheetView>
  </sheetViews>
  <sheetFormatPr baseColWidth="10" defaultColWidth="11" defaultRowHeight="16" x14ac:dyDescent="0.2"/>
  <cols>
    <col min="1" max="1" width="33.33203125" bestFit="1" customWidth="1"/>
    <col min="2" max="2" width="12.5" bestFit="1" customWidth="1"/>
    <col min="3" max="3" width="20.33203125" bestFit="1" customWidth="1"/>
    <col min="4" max="4" width="20.33203125" customWidth="1"/>
    <col min="5" max="6" width="15.6640625" customWidth="1"/>
    <col min="7" max="7" width="18.6640625" customWidth="1"/>
    <col min="8" max="8" width="11" style="5"/>
    <col min="9" max="9" width="0" style="5" hidden="1" customWidth="1"/>
    <col min="10" max="10" width="11" style="25"/>
    <col min="11" max="14" width="0" style="5" hidden="1" customWidth="1"/>
    <col min="15" max="15" width="7" style="5" customWidth="1"/>
    <col min="16" max="16" width="11" style="5"/>
    <col min="17" max="17" width="15.5" style="5" bestFit="1" customWidth="1"/>
  </cols>
  <sheetData>
    <row r="1" spans="1:21" s="2" customFormat="1" ht="46" customHeight="1" x14ac:dyDescent="0.2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2" t="s">
        <v>112</v>
      </c>
      <c r="T1" s="2" t="s">
        <v>113</v>
      </c>
      <c r="U1" s="2" t="s">
        <v>114</v>
      </c>
    </row>
    <row r="2" spans="1:21" x14ac:dyDescent="0.2">
      <c r="A2" s="23" t="s">
        <v>115</v>
      </c>
      <c r="B2" t="str">
        <f>INDEX(Visits!$A$1:$X$338,MATCH('Manual Cleanup'!$A2,Visits!$E$1:$E$338,0),MATCH('Manual Cleanup'!B$1,Visits!$A$1:$X$1,0))</f>
        <v>Lucy</v>
      </c>
      <c r="C2" t="str">
        <f>INDEX(Visits!$A$1:$X$338,MATCH('Manual Cleanup'!$A2,Visits!$E$1:$E$338,0),MATCH('Manual Cleanup'!C$1,Visits!$A$1:$X$1,0))</f>
        <v>Zhou</v>
      </c>
      <c r="D2" s="23" t="s">
        <v>116</v>
      </c>
      <c r="E2" t="s">
        <v>117</v>
      </c>
      <c r="F2" t="s">
        <v>118</v>
      </c>
      <c r="G2" s="1" t="e" cm="1">
        <f t="array" ref="G2">MAX(_xlfn._xlws.FILTER(Visits!U:U,Visits!P:P='Manual Cleanup'!D2))</f>
        <v>#N/A</v>
      </c>
      <c r="H2" s="25">
        <v>3</v>
      </c>
      <c r="I2" s="5">
        <v>1</v>
      </c>
      <c r="J2" s="25">
        <v>2</v>
      </c>
      <c r="K2" s="5">
        <v>1</v>
      </c>
      <c r="L2" s="5">
        <v>0</v>
      </c>
      <c r="M2" s="5">
        <v>1</v>
      </c>
      <c r="N2" s="5">
        <v>0</v>
      </c>
      <c r="O2" s="5">
        <v>55</v>
      </c>
      <c r="P2" s="5">
        <v>15</v>
      </c>
      <c r="Q2" s="19">
        <f t="shared" ref="Q2:Q33" si="0">O2/H2</f>
        <v>18.333333333333332</v>
      </c>
      <c r="R2" s="19">
        <f t="shared" ref="R2:R33" si="1">IFERROR(P2/J2,"n/a")</f>
        <v>7.5</v>
      </c>
    </row>
    <row r="3" spans="1:21" x14ac:dyDescent="0.2">
      <c r="A3" t="s">
        <v>119</v>
      </c>
      <c r="B3" t="str">
        <f>INDEX(Visits!$A$1:$X$338,MATCH('Manual Cleanup'!$A3,Visits!$E$1:$E$338,0),MATCH('Manual Cleanup'!B$1,Visits!$A$1:$X$1,0))</f>
        <v>Dan</v>
      </c>
      <c r="C3" t="str">
        <f>INDEX(Visits!$A$1:$X$338,MATCH('Manual Cleanup'!$A3,Visits!$E$1:$E$338,0),MATCH('Manual Cleanup'!C$1,Visits!$A$1:$X$1,0))</f>
        <v>Lugg</v>
      </c>
      <c r="E3" t="s">
        <v>117</v>
      </c>
      <c r="F3" t="s">
        <v>118</v>
      </c>
      <c r="G3" s="1" t="e" cm="1">
        <f t="array" ref="G3">MAX(_xlfn._xlws.FILTER(Visits!U:U,Visits!P:P='Manual Cleanup'!A3))</f>
        <v>#N/A</v>
      </c>
      <c r="H3">
        <f>COUNTIF(Visits!$E$2:$E$89,'Manual Cleanup'!$A3)</f>
        <v>5</v>
      </c>
      <c r="I3">
        <f>COUNTIFS(Visits!$E$2:$E$89,'Manual Cleanup'!$A9,Visits!$U$2:$U$89,"&gt;4/20/24")</f>
        <v>0</v>
      </c>
      <c r="J3" s="25">
        <f>COUNTIFS(Visits!$E$2:$E$89,'Manual Cleanup'!$A3,Visits!$U$2:$U$89,"&gt;3/28/24")</f>
        <v>2</v>
      </c>
      <c r="K3">
        <f>COUNTIFS(Visits!$E$2:$E$89,'Manual Cleanup'!$A9,Visits!$U$2:$U$89,"&lt;3/28/24")</f>
        <v>1</v>
      </c>
      <c r="L3">
        <f t="shared" ref="L3:L18" si="2">IF(H3-I3=0,1,0)</f>
        <v>0</v>
      </c>
      <c r="M3">
        <f t="shared" ref="M3:M18" si="3">IF(J3&gt;0,1,0)</f>
        <v>1</v>
      </c>
      <c r="N3">
        <f t="shared" ref="N3:N18" si="4">IF(J3&gt;2,M3,0)</f>
        <v>0</v>
      </c>
      <c r="O3" s="5">
        <f>SUMIF(Visits!$E$2:$E$89,'Manual Cleanup'!$A3,Visits!$L$2:$L$89)</f>
        <v>55</v>
      </c>
      <c r="P3" s="5">
        <f>SUMIFS(Visits!$L$2:$L$89,Visits!$E$2:$E$89,'Manual Cleanup'!$A3,Visits!$U$2:$U$89,"&gt;3/28/24")</f>
        <v>20</v>
      </c>
      <c r="Q3" s="19">
        <f t="shared" si="0"/>
        <v>11</v>
      </c>
      <c r="R3" s="19">
        <f t="shared" si="1"/>
        <v>10</v>
      </c>
    </row>
    <row r="4" spans="1:21" x14ac:dyDescent="0.2">
      <c r="A4" t="s">
        <v>120</v>
      </c>
      <c r="B4" t="str">
        <f>INDEX(Visits!$A$1:$X$338,MATCH('Manual Cleanup'!$A4,Visits!$E$1:$E$338,0),MATCH('Manual Cleanup'!B$1,Visits!$A$1:$X$1,0))</f>
        <v>Rohini</v>
      </c>
      <c r="C4" t="str">
        <f>INDEX(Visits!$A$1:$X$338,MATCH('Manual Cleanup'!$A4,Visits!$E$1:$E$338,0),MATCH('Manual Cleanup'!C$1,Visits!$A$1:$X$1,0))</f>
        <v>Tendulkar</v>
      </c>
      <c r="E4" t="s">
        <v>117</v>
      </c>
      <c r="F4" t="s">
        <v>118</v>
      </c>
      <c r="G4" s="1" t="e" cm="1">
        <f t="array" ref="G4">MAX(_xlfn._xlws.FILTER(Visits!U:U,Visits!P:P='Manual Cleanup'!A4))</f>
        <v>#N/A</v>
      </c>
      <c r="H4">
        <f>COUNTIF(Visits!$E$2:$E$89,'Manual Cleanup'!$A4)</f>
        <v>4</v>
      </c>
      <c r="I4">
        <f>COUNTIFS(Visits!$E$2:$E$89,'Manual Cleanup'!$A12,Visits!$U$2:$U$89,"&gt;4/20/24")</f>
        <v>0</v>
      </c>
      <c r="J4" s="25">
        <f>COUNTIFS(Visits!$E$2:$E$89,'Manual Cleanup'!$A4,Visits!$U$2:$U$89,"&gt;3/28/24")</f>
        <v>3</v>
      </c>
      <c r="K4">
        <f>COUNTIFS(Visits!$E$2:$E$89,'Manual Cleanup'!$A12,Visits!$U$2:$U$89,"&lt;3/28/24")</f>
        <v>0</v>
      </c>
      <c r="L4">
        <f t="shared" si="2"/>
        <v>0</v>
      </c>
      <c r="M4">
        <f t="shared" si="3"/>
        <v>1</v>
      </c>
      <c r="N4">
        <f t="shared" si="4"/>
        <v>1</v>
      </c>
      <c r="O4" s="5">
        <f>SUMIF(Visits!$E$2:$E$89,'Manual Cleanup'!$A4,Visits!$L$2:$L$89)</f>
        <v>35</v>
      </c>
      <c r="P4" s="5">
        <f>SUMIFS(Visits!$L$2:$L$89,Visits!$E$2:$E$89,'Manual Cleanup'!$A4,Visits!$U$2:$U$89,"&gt;3/28/24")</f>
        <v>35</v>
      </c>
      <c r="Q4" s="19">
        <f t="shared" si="0"/>
        <v>8.75</v>
      </c>
      <c r="R4" s="19">
        <f t="shared" si="1"/>
        <v>11.666666666666666</v>
      </c>
    </row>
    <row r="5" spans="1:21" x14ac:dyDescent="0.2">
      <c r="A5" t="s">
        <v>121</v>
      </c>
      <c r="B5" t="str">
        <f>INDEX(Visits!$A$1:$X$338,MATCH('Manual Cleanup'!$A5,Visits!$E$1:$E$338,0),MATCH('Manual Cleanup'!B$1,Visits!$A$1:$X$1,0))</f>
        <v>Sara</v>
      </c>
      <c r="C5" t="str">
        <f>INDEX(Visits!$A$1:$X$338,MATCH('Manual Cleanup'!$A5,Visits!$E$1:$E$338,0),MATCH('Manual Cleanup'!C$1,Visits!$A$1:$X$1,0))</f>
        <v>Khan</v>
      </c>
      <c r="E5" t="s">
        <v>117</v>
      </c>
      <c r="F5" t="s">
        <v>118</v>
      </c>
      <c r="G5" s="1" t="e" cm="1">
        <f t="array" ref="G5">MAX(_xlfn._xlws.FILTER(Visits!U:U,Visits!P:P='Manual Cleanup'!A5))</f>
        <v>#N/A</v>
      </c>
      <c r="H5">
        <f>COUNTIF(Visits!$E$2:$E$89,'Manual Cleanup'!$A5)</f>
        <v>3</v>
      </c>
      <c r="I5">
        <f>COUNTIFS(Visits!$E$2:$E$89,'Manual Cleanup'!$A13,Visits!$U$2:$U$89,"&gt;4/20/24")</f>
        <v>0</v>
      </c>
      <c r="J5" s="25">
        <f>COUNTIFS(Visits!$E$2:$E$89,'Manual Cleanup'!$A5,Visits!$U$2:$U$89,"&gt;3/28/24")</f>
        <v>2</v>
      </c>
      <c r="K5">
        <f>COUNTIFS(Visits!$E$2:$E$89,'Manual Cleanup'!$A13,Visits!$U$2:$U$89,"&lt;3/28/24")</f>
        <v>0</v>
      </c>
      <c r="L5">
        <f t="shared" si="2"/>
        <v>0</v>
      </c>
      <c r="M5">
        <f t="shared" si="3"/>
        <v>1</v>
      </c>
      <c r="N5">
        <f t="shared" si="4"/>
        <v>0</v>
      </c>
      <c r="O5" s="5">
        <f>SUMIF(Visits!$E$2:$E$89,'Manual Cleanup'!$A5,Visits!$L$2:$L$89)</f>
        <v>35</v>
      </c>
      <c r="P5" s="5">
        <f>SUMIFS(Visits!$L$2:$L$89,Visits!$E$2:$E$89,'Manual Cleanup'!$A5,Visits!$U$2:$U$89,"&gt;3/28/24")</f>
        <v>25</v>
      </c>
      <c r="Q5" s="19">
        <f t="shared" si="0"/>
        <v>11.666666666666666</v>
      </c>
      <c r="R5" s="19">
        <f t="shared" si="1"/>
        <v>12.5</v>
      </c>
    </row>
    <row r="6" spans="1:21" x14ac:dyDescent="0.2">
      <c r="A6" t="s">
        <v>122</v>
      </c>
      <c r="B6" t="str">
        <f>INDEX(Visits!$A$1:$X$338,MATCH('Manual Cleanup'!$A6,Visits!$E$1:$E$338,0),MATCH('Manual Cleanup'!B$1,Visits!$A$1:$X$1,0))</f>
        <v>Aidana</v>
      </c>
      <c r="C6" t="str">
        <f>INDEX(Visits!$A$1:$X$338,MATCH('Manual Cleanup'!$A6,Visits!$E$1:$E$338,0),MATCH('Manual Cleanup'!C$1,Visits!$A$1:$X$1,0))</f>
        <v>Kassymova</v>
      </c>
      <c r="E6" t="s">
        <v>117</v>
      </c>
      <c r="F6" t="s">
        <v>123</v>
      </c>
      <c r="G6" s="1" t="e" cm="1">
        <f t="array" ref="G6">MAX(_xlfn._xlws.FILTER(Visits!U:U,Visits!P:P='Manual Cleanup'!A6))</f>
        <v>#N/A</v>
      </c>
      <c r="H6">
        <f>COUNTIF(Visits!$E$2:$E$89,'Manual Cleanup'!$A6)</f>
        <v>2</v>
      </c>
      <c r="I6">
        <f>COUNTIFS(Visits!$E$2:$E$89,'Manual Cleanup'!$A2,Visits!$U$2:$U$89,"&gt;4/20/24")</f>
        <v>0</v>
      </c>
      <c r="J6" s="25">
        <f>COUNTIFS(Visits!$E$2:$E$89,'Manual Cleanup'!$A6,Visits!$U$2:$U$89,"&gt;3/28/24")</f>
        <v>0</v>
      </c>
      <c r="K6">
        <f>COUNTIFS(Visits!$E$2:$E$89,'Manual Cleanup'!$A2,Visits!$U$2:$U$89,"&lt;3/28/24")</f>
        <v>1</v>
      </c>
      <c r="L6">
        <f t="shared" si="2"/>
        <v>0</v>
      </c>
      <c r="M6">
        <f t="shared" si="3"/>
        <v>0</v>
      </c>
      <c r="N6">
        <f t="shared" si="4"/>
        <v>0</v>
      </c>
      <c r="O6" s="5">
        <f>SUMIF(Visits!$E$2:$E$89,'Manual Cleanup'!$A6,Visits!$L$2:$L$89)</f>
        <v>47.5</v>
      </c>
      <c r="P6" s="5">
        <f>SUMIFS(Visits!$L$2:$L$89,Visits!$E$2:$E$89,'Manual Cleanup'!$A6,Visits!$U$2:$U$89,"&gt;3/28/24")</f>
        <v>0</v>
      </c>
      <c r="Q6" s="19">
        <f t="shared" si="0"/>
        <v>23.75</v>
      </c>
      <c r="R6" s="19" t="str">
        <f t="shared" si="1"/>
        <v>n/a</v>
      </c>
    </row>
    <row r="7" spans="1:21" x14ac:dyDescent="0.2">
      <c r="A7" t="s">
        <v>124</v>
      </c>
      <c r="B7" t="str">
        <f>INDEX(Visits!$A$1:$X$338,MATCH('Manual Cleanup'!$A7,Visits!$E$1:$E$338,0),MATCH('Manual Cleanup'!B$1,Visits!$A$1:$X$1,0))</f>
        <v>Aleksejs</v>
      </c>
      <c r="C7" t="str">
        <f>INDEX(Visits!$A$1:$X$338,MATCH('Manual Cleanup'!$A7,Visits!$E$1:$E$338,0),MATCH('Manual Cleanup'!C$1,Visits!$A$1:$X$1,0))</f>
        <v>Pleskovs</v>
      </c>
      <c r="F7" t="s">
        <v>123</v>
      </c>
      <c r="G7" s="1" cm="1">
        <f t="array" ref="G7">MAX(_xlfn._xlws.FILTER(Visits!U:U,Visits!P:P='Manual Cleanup'!A7))</f>
        <v>45374</v>
      </c>
      <c r="H7">
        <f>COUNTIF(Visits!$E$2:$E$89,'Manual Cleanup'!$A7)</f>
        <v>1</v>
      </c>
      <c r="I7">
        <f>COUNTIFS(Visits!$E$2:$E$89,'Manual Cleanup'!$D2,Visits!$U$2:$U$89,"&gt;4/20/24")</f>
        <v>0</v>
      </c>
      <c r="J7" s="25">
        <f>COUNTIFS(Visits!$E$2:$E$89,'Manual Cleanup'!$A7,Visits!$U$2:$U$89,"&gt;3/28/24")</f>
        <v>0</v>
      </c>
      <c r="K7">
        <f>COUNTIFS(Visits!$E$2:$E$89,'Manual Cleanup'!$D2,Visits!$U$2:$U$89,"&lt;3/28/24")</f>
        <v>0</v>
      </c>
      <c r="L7">
        <f t="shared" si="2"/>
        <v>0</v>
      </c>
      <c r="M7">
        <f t="shared" si="3"/>
        <v>0</v>
      </c>
      <c r="N7">
        <f t="shared" si="4"/>
        <v>0</v>
      </c>
      <c r="O7" s="5">
        <f>SUMIF(Visits!$E$2:$E$89,'Manual Cleanup'!$A7,Visits!$L$2:$L$89)</f>
        <v>40</v>
      </c>
      <c r="P7" s="5">
        <f>SUMIFS(Visits!$L$2:$L$89,Visits!$E$2:$E$89,'Manual Cleanup'!$A7,Visits!$U$2:$U$89,"&gt;3/28/24")</f>
        <v>0</v>
      </c>
      <c r="Q7" s="19">
        <f t="shared" si="0"/>
        <v>40</v>
      </c>
      <c r="R7" s="19" t="str">
        <f t="shared" si="1"/>
        <v>n/a</v>
      </c>
    </row>
    <row r="8" spans="1:21" x14ac:dyDescent="0.2">
      <c r="A8" s="20" t="s">
        <v>125</v>
      </c>
      <c r="B8" t="str">
        <f>INDEX(Visits!$A$1:$X$338,MATCH('Manual Cleanup'!$A8,Visits!$E$1:$E$338,0),MATCH('Manual Cleanup'!B$1,Visits!$A$1:$X$1,0))</f>
        <v>Robert</v>
      </c>
      <c r="C8" t="str">
        <f>INDEX(Visits!$A$1:$X$338,MATCH('Manual Cleanup'!$A8,Visits!$E$1:$E$338,0),MATCH('Manual Cleanup'!C$1,Visits!$A$1:$X$1,0))</f>
        <v>Chapman</v>
      </c>
      <c r="E8" t="s">
        <v>126</v>
      </c>
      <c r="F8" t="s">
        <v>123</v>
      </c>
      <c r="G8" s="1" t="e" cm="1">
        <f t="array" ref="G8">MAX(_xlfn._xlws.FILTER(Visits!U:U,Visits!P:P='Manual Cleanup'!A8))</f>
        <v>#N/A</v>
      </c>
      <c r="H8">
        <f>COUNTIF(Visits!$E$2:$E$89,'Manual Cleanup'!$A8)</f>
        <v>5</v>
      </c>
      <c r="I8">
        <f>COUNTIFS(Visits!$E$2:$E$89,'Manual Cleanup'!$A8,Visits!$U$2:$U$89,"&gt;4/20/24")</f>
        <v>0</v>
      </c>
      <c r="J8" s="25">
        <f>COUNTIFS(Visits!$E$2:$E$89,'Manual Cleanup'!$A8,Visits!$U$2:$U$89,"&gt;3/28/24")</f>
        <v>3</v>
      </c>
      <c r="K8">
        <f>COUNTIFS(Visits!$E$2:$E$89,'Manual Cleanup'!$A8,Visits!$U$2:$U$89,"&lt;3/28/24")</f>
        <v>1</v>
      </c>
      <c r="L8">
        <f t="shared" si="2"/>
        <v>0</v>
      </c>
      <c r="M8">
        <f t="shared" si="3"/>
        <v>1</v>
      </c>
      <c r="N8">
        <f t="shared" si="4"/>
        <v>1</v>
      </c>
      <c r="O8" s="5">
        <f>SUMIF(Visits!$E$2:$E$89,'Manual Cleanup'!$A8,Visits!$L$2:$L$89)</f>
        <v>52.5</v>
      </c>
      <c r="P8" s="5">
        <f>SUMIFS(Visits!$L$2:$L$89,Visits!$E$2:$E$89,'Manual Cleanup'!$A8,Visits!$U$2:$U$89,"&gt;3/28/24")</f>
        <v>20</v>
      </c>
      <c r="Q8" s="19">
        <f t="shared" si="0"/>
        <v>10.5</v>
      </c>
      <c r="R8" s="19">
        <f t="shared" si="1"/>
        <v>6.666666666666667</v>
      </c>
    </row>
    <row r="9" spans="1:21" x14ac:dyDescent="0.2">
      <c r="A9" t="s">
        <v>127</v>
      </c>
      <c r="B9" t="str">
        <f>INDEX(Visits!$A$1:$X$338,MATCH('Manual Cleanup'!$A9,Visits!$E$1:$E$338,0),MATCH('Manual Cleanup'!B$1,Visits!$A$1:$X$1,0))</f>
        <v>Claire</v>
      </c>
      <c r="C9" t="str">
        <f>INDEX(Visits!$A$1:$X$338,MATCH('Manual Cleanup'!$A9,Visits!$E$1:$E$338,0),MATCH('Manual Cleanup'!C$1,Visits!$A$1:$X$1,0))</f>
        <v>Couchman</v>
      </c>
      <c r="E9" t="s">
        <v>117</v>
      </c>
      <c r="F9" t="s">
        <v>123</v>
      </c>
      <c r="G9" s="1" t="e" cm="1">
        <f t="array" ref="G9">MAX(_xlfn._xlws.FILTER(Visits!U:U,Visits!P:P='Manual Cleanup'!A9))</f>
        <v>#N/A</v>
      </c>
      <c r="H9">
        <f>COUNTIF(Visits!$E$2:$E$89,'Manual Cleanup'!$A9)</f>
        <v>4</v>
      </c>
      <c r="I9">
        <f>COUNTIFS(Visits!$E$2:$E$89,'Manual Cleanup'!$A16,Visits!$U$2:$U$89,"&gt;4/20/24")</f>
        <v>0</v>
      </c>
      <c r="J9" s="25">
        <f>COUNTIFS(Visits!$E$2:$E$89,'Manual Cleanup'!$A9,Visits!$U$2:$U$89,"&gt;3/28/24")</f>
        <v>3</v>
      </c>
      <c r="K9">
        <f>COUNTIFS(Visits!$E$2:$E$89,'Manual Cleanup'!$A16,Visits!$U$2:$U$89,"&lt;3/28/24")</f>
        <v>1</v>
      </c>
      <c r="L9">
        <f t="shared" si="2"/>
        <v>0</v>
      </c>
      <c r="M9">
        <f t="shared" si="3"/>
        <v>1</v>
      </c>
      <c r="N9">
        <f t="shared" si="4"/>
        <v>1</v>
      </c>
      <c r="O9" s="5">
        <f>SUMIF(Visits!$E$2:$E$89,'Manual Cleanup'!$A9,Visits!$L$2:$L$89)</f>
        <v>34</v>
      </c>
      <c r="P9" s="5">
        <f>SUMIFS(Visits!$L$2:$L$89,Visits!$E$2:$E$89,'Manual Cleanup'!$A9,Visits!$U$2:$U$89,"&gt;3/28/24")</f>
        <v>20</v>
      </c>
      <c r="Q9" s="19">
        <f t="shared" si="0"/>
        <v>8.5</v>
      </c>
      <c r="R9" s="19">
        <f t="shared" si="1"/>
        <v>6.666666666666667</v>
      </c>
    </row>
    <row r="10" spans="1:21" x14ac:dyDescent="0.2">
      <c r="A10" t="s">
        <v>128</v>
      </c>
      <c r="B10" t="str">
        <f>INDEX(Visits!$A$1:$X$338,MATCH('Manual Cleanup'!$A10,Visits!$E$1:$E$338,0),MATCH('Manual Cleanup'!B$1,Visits!$A$1:$X$1,0))</f>
        <v>Katherine</v>
      </c>
      <c r="C10" t="str">
        <f>INDEX(Visits!$A$1:$X$338,MATCH('Manual Cleanup'!$A10,Visits!$E$1:$E$338,0),MATCH('Manual Cleanup'!C$1,Visits!$A$1:$X$1,0))</f>
        <v>Kim</v>
      </c>
      <c r="E10" t="s">
        <v>117</v>
      </c>
      <c r="F10" t="s">
        <v>123</v>
      </c>
      <c r="G10" s="1" t="e" cm="1">
        <f t="array" ref="G10">MAX(_xlfn._xlws.FILTER(Visits!U:U,Visits!P:P='Manual Cleanup'!A10))</f>
        <v>#N/A</v>
      </c>
      <c r="H10">
        <f>COUNTIF(Visits!$E$2:$E$89,'Manual Cleanup'!$A10)</f>
        <v>2</v>
      </c>
      <c r="I10">
        <f>COUNTIFS(Visits!$E$2:$E$89,'Manual Cleanup'!$A20,Visits!$U$2:$U$89,"&gt;4/20/24")</f>
        <v>0</v>
      </c>
      <c r="J10" s="25">
        <f>COUNTIFS(Visits!$E$2:$E$89,'Manual Cleanup'!$A10,Visits!$U$2:$U$89,"&gt;3/28/24")</f>
        <v>0</v>
      </c>
      <c r="K10">
        <f>COUNTIFS(Visits!$E$2:$E$89,'Manual Cleanup'!$A20,Visits!$U$2:$U$89,"&lt;3/28/24")</f>
        <v>1</v>
      </c>
      <c r="L10">
        <f t="shared" si="2"/>
        <v>0</v>
      </c>
      <c r="M10">
        <f t="shared" si="3"/>
        <v>0</v>
      </c>
      <c r="N10">
        <f t="shared" si="4"/>
        <v>0</v>
      </c>
      <c r="O10" s="5">
        <f>SUMIF(Visits!$E$2:$E$89,'Manual Cleanup'!$A10,Visits!$L$2:$L$89)</f>
        <v>21.5</v>
      </c>
      <c r="P10" s="5">
        <f>SUMIFS(Visits!$L$2:$L$89,Visits!$E$2:$E$89,'Manual Cleanup'!$A10,Visits!$U$2:$U$89,"&gt;3/28/24")</f>
        <v>0</v>
      </c>
      <c r="Q10" s="19">
        <f t="shared" si="0"/>
        <v>10.75</v>
      </c>
      <c r="R10" s="19" t="str">
        <f t="shared" si="1"/>
        <v>n/a</v>
      </c>
    </row>
    <row r="11" spans="1:21" x14ac:dyDescent="0.2">
      <c r="A11" t="s">
        <v>129</v>
      </c>
      <c r="B11" t="str">
        <f>INDEX(Visits!$A$1:$X$338,MATCH('Manual Cleanup'!$A11,Visits!$E$1:$E$338,0),MATCH('Manual Cleanup'!B$1,Visits!$A$1:$X$1,0))</f>
        <v>Anaita</v>
      </c>
      <c r="C11" t="str">
        <f>INDEX(Visits!$A$1:$X$338,MATCH('Manual Cleanup'!$A11,Visits!$E$1:$E$338,0),MATCH('Manual Cleanup'!C$1,Visits!$A$1:$X$1,0))</f>
        <v>Agatic</v>
      </c>
      <c r="E11" t="s">
        <v>130</v>
      </c>
      <c r="F11" t="s">
        <v>123</v>
      </c>
      <c r="G11" s="1" cm="1">
        <f t="array" ref="G11">MAX(_xlfn._xlws.FILTER(Visits!U:U,Visits!P:P='Manual Cleanup'!A11))</f>
        <v>45376</v>
      </c>
      <c r="H11">
        <f>COUNTIF(Visits!$E$2:$E$89,'Manual Cleanup'!$A11)</f>
        <v>1</v>
      </c>
      <c r="I11">
        <f>COUNTIFS(Visits!$E$2:$E$89,'Manual Cleanup'!$D19,Visits!$U$2:$U$89,"&gt;4/20/24")</f>
        <v>0</v>
      </c>
      <c r="J11" s="25">
        <f>COUNTIFS(Visits!$E$2:$E$89,'Manual Cleanup'!$A11,Visits!$U$2:$U$89,"&gt;3/28/24")</f>
        <v>0</v>
      </c>
      <c r="K11">
        <f>COUNTIFS(Visits!$E$2:$E$89,'Manual Cleanup'!$D19,Visits!$U$2:$U$89,"&lt;3/28/24")</f>
        <v>0</v>
      </c>
      <c r="L11">
        <f t="shared" si="2"/>
        <v>0</v>
      </c>
      <c r="M11">
        <f t="shared" si="3"/>
        <v>0</v>
      </c>
      <c r="N11">
        <f t="shared" si="4"/>
        <v>0</v>
      </c>
      <c r="O11" s="5">
        <f>SUMIF(Visits!$E$2:$E$89,'Manual Cleanup'!$A11,Visits!$L$2:$L$89)</f>
        <v>14</v>
      </c>
      <c r="P11" s="5">
        <f>SUMIFS(Visits!$L$2:$L$89,Visits!$E$2:$E$89,'Manual Cleanup'!$A11,Visits!$U$2:$U$89,"&gt;3/28/24")</f>
        <v>0</v>
      </c>
      <c r="Q11" s="19">
        <f t="shared" si="0"/>
        <v>14</v>
      </c>
      <c r="R11" s="19" t="str">
        <f t="shared" si="1"/>
        <v>n/a</v>
      </c>
    </row>
    <row r="12" spans="1:21" x14ac:dyDescent="0.2">
      <c r="A12" t="s">
        <v>131</v>
      </c>
      <c r="B12" t="str">
        <f>INDEX(Visits!$A$1:$X$338,MATCH('Manual Cleanup'!$A12,Visits!$E$1:$E$338,0),MATCH('Manual Cleanup'!B$1,Visits!$A$1:$X$1,0))</f>
        <v>Samedzade</v>
      </c>
      <c r="C12" t="str">
        <f>INDEX(Visits!$A$1:$X$338,MATCH('Manual Cleanup'!$A12,Visits!$E$1:$E$338,0),MATCH('Manual Cleanup'!C$1,Visits!$A$1:$X$1,0))</f>
        <v>Samed</v>
      </c>
      <c r="E12" t="s">
        <v>117</v>
      </c>
      <c r="F12" t="s">
        <v>123</v>
      </c>
      <c r="G12" s="1" t="e" cm="1">
        <f t="array" ref="G12">MAX(_xlfn._xlws.FILTER(Visits!U:U,Visits!P:P='Manual Cleanup'!A12))</f>
        <v>#N/A</v>
      </c>
      <c r="H12">
        <f>COUNTIF(Visits!$E$2:$E$89,'Manual Cleanup'!$A12)</f>
        <v>1</v>
      </c>
      <c r="I12">
        <f>COUNTIFS(Visits!$E$2:$E$89,'Manual Cleanup'!$A33,Visits!$U$2:$U$89,"&gt;4/20/24")</f>
        <v>0</v>
      </c>
      <c r="J12" s="25">
        <f>COUNTIFS(Visits!$E$2:$E$89,'Manual Cleanup'!$A12,Visits!$U$2:$U$89,"&gt;3/28/24")</f>
        <v>1</v>
      </c>
      <c r="K12">
        <f>COUNTIFS(Visits!$E$2:$E$89,'Manual Cleanup'!$A33,Visits!$U$2:$U$89,"&lt;3/28/24")</f>
        <v>0</v>
      </c>
      <c r="L12">
        <f t="shared" si="2"/>
        <v>0</v>
      </c>
      <c r="M12">
        <f t="shared" si="3"/>
        <v>1</v>
      </c>
      <c r="N12">
        <f t="shared" si="4"/>
        <v>0</v>
      </c>
      <c r="O12" s="5">
        <f>SUMIF(Visits!$E$2:$E$89,'Manual Cleanup'!$A12,Visits!$L$2:$L$89)</f>
        <v>7.5</v>
      </c>
      <c r="P12" s="5">
        <f>SUMIFS(Visits!$L$2:$L$89,Visits!$E$2:$E$89,'Manual Cleanup'!$A12,Visits!$U$2:$U$89,"&gt;3/28/24")</f>
        <v>7.5</v>
      </c>
      <c r="Q12" s="19">
        <f t="shared" si="0"/>
        <v>7.5</v>
      </c>
      <c r="R12" s="19">
        <f t="shared" si="1"/>
        <v>7.5</v>
      </c>
    </row>
    <row r="13" spans="1:21" x14ac:dyDescent="0.2">
      <c r="A13" t="s">
        <v>132</v>
      </c>
      <c r="B13" t="str">
        <f>INDEX(Visits!$A$1:$X$338,MATCH('Manual Cleanup'!$A13,Visits!$E$1:$E$338,0),MATCH('Manual Cleanup'!B$1,Visits!$A$1:$X$1,0))</f>
        <v>Shay</v>
      </c>
      <c r="C13" t="str">
        <f>INDEX(Visits!$A$1:$X$338,MATCH('Manual Cleanup'!$A13,Visits!$E$1:$E$338,0),MATCH('Manual Cleanup'!C$1,Visits!$A$1:$X$1,0))</f>
        <v>Steele</v>
      </c>
      <c r="E13" t="s">
        <v>117</v>
      </c>
      <c r="F13" t="s">
        <v>123</v>
      </c>
      <c r="G13" s="1" t="e" cm="1">
        <f t="array" ref="G13">MAX(_xlfn._xlws.FILTER(Visits!U:U,Visits!P:P='Manual Cleanup'!A13))</f>
        <v>#N/A</v>
      </c>
      <c r="H13">
        <f>COUNTIF(Visits!$E$2:$E$89,'Manual Cleanup'!$A13)</f>
        <v>2</v>
      </c>
      <c r="I13">
        <f>COUNTIFS(Visits!$E$2:$E$89,'Manual Cleanup'!$A48,Visits!$U$2:$U$89,"&gt;4/20/24")</f>
        <v>0</v>
      </c>
      <c r="J13" s="25">
        <f>COUNTIFS(Visits!$E$2:$E$89,'Manual Cleanup'!$A13,Visits!$U$2:$U$89,"&gt;3/28/24")</f>
        <v>0</v>
      </c>
      <c r="K13">
        <f>COUNTIFS(Visits!$E$2:$E$89,'Manual Cleanup'!$A48,Visits!$U$2:$U$89,"&lt;3/28/24")</f>
        <v>0</v>
      </c>
      <c r="L13">
        <f t="shared" si="2"/>
        <v>0</v>
      </c>
      <c r="M13">
        <f t="shared" si="3"/>
        <v>0</v>
      </c>
      <c r="N13">
        <f t="shared" si="4"/>
        <v>0</v>
      </c>
      <c r="O13" s="5">
        <f>SUMIF(Visits!$E$2:$E$89,'Manual Cleanup'!$A13,Visits!$L$2:$L$89)</f>
        <v>7.5</v>
      </c>
      <c r="P13" s="5">
        <f>SUMIFS(Visits!$L$2:$L$89,Visits!$E$2:$E$89,'Manual Cleanup'!$A13,Visits!$U$2:$U$89,"&gt;3/28/24")</f>
        <v>0</v>
      </c>
      <c r="Q13" s="19">
        <f t="shared" si="0"/>
        <v>3.75</v>
      </c>
      <c r="R13" s="19" t="str">
        <f t="shared" si="1"/>
        <v>n/a</v>
      </c>
    </row>
    <row r="14" spans="1:21" x14ac:dyDescent="0.2">
      <c r="A14" t="s">
        <v>133</v>
      </c>
      <c r="B14" t="str">
        <f>INDEX(Visits!$A$1:$X$338,MATCH('Manual Cleanup'!$A14,Visits!$E$1:$E$338,0),MATCH('Manual Cleanup'!B$1,Visits!$A$1:$X$1,0))</f>
        <v>Laura</v>
      </c>
      <c r="C14" t="str">
        <f>INDEX(Visits!$A$1:$X$338,MATCH('Manual Cleanup'!$A14,Visits!$E$1:$E$338,0),MATCH('Manual Cleanup'!C$1,Visits!$A$1:$X$1,0))</f>
        <v>Brown</v>
      </c>
      <c r="F14" t="s">
        <v>134</v>
      </c>
      <c r="G14" s="1" t="e" cm="1">
        <f t="array" ref="G14">MAX(_xlfn._xlws.FILTER(Visits!U:U,Visits!P:P='Manual Cleanup'!A14))</f>
        <v>#N/A</v>
      </c>
      <c r="H14">
        <f>COUNTIF(Visits!$E$2:$E$89,'Manual Cleanup'!$A14)</f>
        <v>2</v>
      </c>
      <c r="I14">
        <f>COUNTIFS(Visits!$E$2:$E$89,'Manual Cleanup'!$A4,Visits!$U$2:$U$89,"&gt;4/20/24")</f>
        <v>0</v>
      </c>
      <c r="J14" s="25">
        <f>COUNTIFS(Visits!$E$2:$E$89,'Manual Cleanup'!$A14,Visits!$U$2:$U$89,"&gt;3/28/24")</f>
        <v>0</v>
      </c>
      <c r="K14">
        <f>COUNTIFS(Visits!$E$2:$E$89,'Manual Cleanup'!$A4,Visits!$U$2:$U$89,"&lt;3/28/24")</f>
        <v>0</v>
      </c>
      <c r="L14">
        <f t="shared" si="2"/>
        <v>0</v>
      </c>
      <c r="M14">
        <f t="shared" si="3"/>
        <v>0</v>
      </c>
      <c r="N14">
        <f t="shared" si="4"/>
        <v>0</v>
      </c>
      <c r="O14" s="5">
        <f>SUMIF(Visits!$E$2:$E$89,'Manual Cleanup'!$A14,Visits!$L$2:$L$89)</f>
        <v>40</v>
      </c>
      <c r="P14" s="5">
        <f>SUMIFS(Visits!$L$2:$L$89,Visits!$E$2:$E$89,'Manual Cleanup'!$A14,Visits!$U$2:$U$89,"&gt;3/28/24")</f>
        <v>0</v>
      </c>
      <c r="Q14" s="19">
        <f t="shared" si="0"/>
        <v>20</v>
      </c>
      <c r="R14" s="19" t="str">
        <f t="shared" si="1"/>
        <v>n/a</v>
      </c>
    </row>
    <row r="15" spans="1:21" x14ac:dyDescent="0.2">
      <c r="A15" t="s">
        <v>135</v>
      </c>
      <c r="B15" t="str">
        <f>INDEX(Visits!$A$1:$X$338,MATCH('Manual Cleanup'!$A15,Visits!$E$1:$E$338,0),MATCH('Manual Cleanup'!B$1,Visits!$A$1:$X$1,0))</f>
        <v>Srivaths</v>
      </c>
      <c r="C15" t="str">
        <f>INDEX(Visits!$A$1:$X$338,MATCH('Manual Cleanup'!$A15,Visits!$E$1:$E$338,0),MATCH('Manual Cleanup'!C$1,Visits!$A$1:$X$1,0))</f>
        <v>Swaminathan</v>
      </c>
      <c r="E15" t="s">
        <v>117</v>
      </c>
      <c r="F15" t="s">
        <v>134</v>
      </c>
      <c r="G15" s="1" t="e" cm="1">
        <f t="array" ref="G15">MAX(_xlfn._xlws.FILTER(Visits!U:U,Visits!P:P='Manual Cleanup'!A15))</f>
        <v>#N/A</v>
      </c>
      <c r="H15">
        <f>COUNTIF(Visits!$E$2:$E$89,'Manual Cleanup'!$A15)</f>
        <v>2</v>
      </c>
      <c r="I15">
        <f>COUNTIFS(Visits!$E$2:$E$89,'Manual Cleanup'!$A5,Visits!$U$2:$U$89,"&gt;4/20/24")</f>
        <v>0</v>
      </c>
      <c r="J15" s="25">
        <f>COUNTIFS(Visits!$E$2:$E$89,'Manual Cleanup'!$A15,Visits!$U$2:$U$89,"&gt;3/28/24")</f>
        <v>1</v>
      </c>
      <c r="K15">
        <f>COUNTIFS(Visits!$E$2:$E$89,'Manual Cleanup'!$A5,Visits!$U$2:$U$89,"&lt;3/28/24")</f>
        <v>0</v>
      </c>
      <c r="L15">
        <f t="shared" si="2"/>
        <v>0</v>
      </c>
      <c r="M15">
        <f t="shared" si="3"/>
        <v>1</v>
      </c>
      <c r="N15">
        <f t="shared" si="4"/>
        <v>0</v>
      </c>
      <c r="O15" s="5">
        <f>SUMIF(Visits!$E$2:$E$89,'Manual Cleanup'!$A15,Visits!$L$2:$L$89)</f>
        <v>50</v>
      </c>
      <c r="P15" s="5">
        <f>SUMIFS(Visits!$L$2:$L$89,Visits!$E$2:$E$89,'Manual Cleanup'!$A15,Visits!$U$2:$U$89,"&gt;3/28/24")</f>
        <v>10</v>
      </c>
      <c r="Q15" s="19">
        <f t="shared" si="0"/>
        <v>25</v>
      </c>
      <c r="R15" s="19">
        <f t="shared" si="1"/>
        <v>10</v>
      </c>
    </row>
    <row r="16" spans="1:21" x14ac:dyDescent="0.2">
      <c r="A16" t="s">
        <v>136</v>
      </c>
      <c r="B16" t="str">
        <f>INDEX(Visits!$A$1:$X$338,MATCH('Manual Cleanup'!$A16,Visits!$E$1:$E$338,0),MATCH('Manual Cleanup'!B$1,Visits!$A$1:$X$1,0))</f>
        <v>olawale</v>
      </c>
      <c r="C16" t="str">
        <f>INDEX(Visits!$A$1:$X$338,MATCH('Manual Cleanup'!$A16,Visits!$E$1:$E$338,0),MATCH('Manual Cleanup'!C$1,Visits!$A$1:$X$1,0))</f>
        <v>okunrinboye</v>
      </c>
      <c r="F16" t="s">
        <v>134</v>
      </c>
      <c r="G16" s="1" t="e" cm="1">
        <f t="array" ref="G16">MAX(_xlfn._xlws.FILTER(Visits!U:U,Visits!P:P='Manual Cleanup'!A16))</f>
        <v>#N/A</v>
      </c>
      <c r="H16">
        <f>COUNTIF(Visits!$E$2:$E$89,'Manual Cleanup'!$A16)</f>
        <v>2</v>
      </c>
      <c r="I16">
        <f>COUNTIFS(Visits!$E$2:$E$89,'Manual Cleanup'!$A10,Visits!$U$2:$U$89,"&gt;4/20/24")</f>
        <v>0</v>
      </c>
      <c r="J16" s="25">
        <f>COUNTIFS(Visits!$E$2:$E$89,'Manual Cleanup'!$A16,Visits!$U$2:$U$89,"&gt;3/28/24")</f>
        <v>0</v>
      </c>
      <c r="K16">
        <f>COUNTIFS(Visits!$E$2:$E$89,'Manual Cleanup'!$A10,Visits!$U$2:$U$89,"&lt;3/28/24")</f>
        <v>1</v>
      </c>
      <c r="L16">
        <f t="shared" si="2"/>
        <v>0</v>
      </c>
      <c r="M16">
        <f t="shared" si="3"/>
        <v>0</v>
      </c>
      <c r="N16">
        <f t="shared" si="4"/>
        <v>0</v>
      </c>
      <c r="O16" s="5">
        <f>SUMIF(Visits!$E$2:$E$89,'Manual Cleanup'!$A16,Visits!$L$2:$L$89)</f>
        <v>35</v>
      </c>
      <c r="P16" s="5">
        <f>SUMIFS(Visits!$L$2:$L$89,Visits!$E$2:$E$89,'Manual Cleanup'!$A16,Visits!$U$2:$U$89,"&gt;3/28/24")</f>
        <v>0</v>
      </c>
      <c r="Q16" s="19">
        <f t="shared" si="0"/>
        <v>17.5</v>
      </c>
      <c r="R16" s="19" t="str">
        <f t="shared" si="1"/>
        <v>n/a</v>
      </c>
    </row>
    <row r="17" spans="1:18" x14ac:dyDescent="0.2">
      <c r="A17" t="s">
        <v>137</v>
      </c>
      <c r="B17" t="str">
        <f>INDEX(Visits!$A$1:$X$338,MATCH('Manual Cleanup'!$A17,Visits!$E$1:$E$338,0),MATCH('Manual Cleanup'!B$1,Visits!$A$1:$X$1,0))</f>
        <v>Natasha</v>
      </c>
      <c r="C17" t="str">
        <f>INDEX(Visits!$A$1:$X$338,MATCH('Manual Cleanup'!$A17,Visits!$E$1:$E$338,0),MATCH('Manual Cleanup'!C$1,Visits!$A$1:$X$1,0))</f>
        <v>P</v>
      </c>
      <c r="E17" t="s">
        <v>117</v>
      </c>
      <c r="F17" t="s">
        <v>118</v>
      </c>
      <c r="G17" s="1" t="e" cm="1">
        <f t="array" ref="G17">MAX(_xlfn._xlws.FILTER(Visits!U:U,Visits!P:P='Manual Cleanup'!A17))</f>
        <v>#N/A</v>
      </c>
      <c r="H17">
        <f>COUNTIF(Visits!$E$2:$E$89,'Manual Cleanup'!$A17)</f>
        <v>2</v>
      </c>
      <c r="I17">
        <f>COUNTIFS(Visits!$E$2:$E$89,'Manual Cleanup'!$A17,Visits!$U$2:$U$89,"&gt;4/20/24")</f>
        <v>0</v>
      </c>
      <c r="J17" s="25">
        <f>COUNTIFS(Visits!$E$2:$E$89,'Manual Cleanup'!$A17,Visits!$U$2:$U$89,"&gt;3/28/24")</f>
        <v>2</v>
      </c>
      <c r="K17">
        <f>COUNTIFS(Visits!$E$2:$E$89,'Manual Cleanup'!$A17,Visits!$U$2:$U$89,"&lt;3/28/24")</f>
        <v>0</v>
      </c>
      <c r="L17">
        <f t="shared" si="2"/>
        <v>0</v>
      </c>
      <c r="M17">
        <f t="shared" si="3"/>
        <v>1</v>
      </c>
      <c r="N17">
        <f t="shared" si="4"/>
        <v>0</v>
      </c>
      <c r="O17" s="5">
        <f>SUMIF(Visits!$E$2:$E$89,'Manual Cleanup'!$A17,Visits!$L$2:$L$89)</f>
        <v>22.5</v>
      </c>
      <c r="P17" s="5">
        <f>SUMIFS(Visits!$L$2:$L$89,Visits!$E$2:$E$89,'Manual Cleanup'!$A17,Visits!$U$2:$U$89,"&gt;3/28/24")</f>
        <v>22.5</v>
      </c>
      <c r="Q17" s="19">
        <f t="shared" si="0"/>
        <v>11.25</v>
      </c>
      <c r="R17" s="19">
        <f t="shared" si="1"/>
        <v>11.25</v>
      </c>
    </row>
    <row r="18" spans="1:18" x14ac:dyDescent="0.2">
      <c r="A18" t="s">
        <v>138</v>
      </c>
      <c r="B18" t="str">
        <f>INDEX(Visits!$A$1:$X$338,MATCH('Manual Cleanup'!$A18,Visits!$E$1:$E$338,0),MATCH('Manual Cleanup'!B$1,Visits!$A$1:$X$1,0))</f>
        <v>Claudia</v>
      </c>
      <c r="C18" t="str">
        <f>INDEX(Visits!$A$1:$X$338,MATCH('Manual Cleanup'!$A18,Visits!$E$1:$E$338,0),MATCH('Manual Cleanup'!C$1,Visits!$A$1:$X$1,0))</f>
        <v>Claudia</v>
      </c>
      <c r="E18" t="s">
        <v>117</v>
      </c>
      <c r="F18" t="s">
        <v>134</v>
      </c>
      <c r="G18" s="1" t="e" cm="1">
        <f t="array" ref="G18">MAX(_xlfn._xlws.FILTER(Visits!U:U,Visits!P:P='Manual Cleanup'!A18))</f>
        <v>#N/A</v>
      </c>
      <c r="H18">
        <f>COUNTIF(Visits!$E$2:$E$89,'Manual Cleanup'!$A18)</f>
        <v>2</v>
      </c>
      <c r="I18">
        <f>COUNTIFS(Visits!$E$2:$E$89,'Manual Cleanup'!$A32,Visits!$U$2:$U$89,"&gt;4/20/24")</f>
        <v>0</v>
      </c>
      <c r="J18" s="25">
        <f>COUNTIFS(Visits!$E$2:$E$89,'Manual Cleanup'!$A18,Visits!$U$2:$U$89,"&gt;3/28/24")</f>
        <v>1</v>
      </c>
      <c r="K18">
        <f>COUNTIFS(Visits!$E$2:$E$89,'Manual Cleanup'!$A32,Visits!$U$2:$U$89,"&lt;3/28/24")</f>
        <v>0</v>
      </c>
      <c r="L18">
        <f t="shared" si="2"/>
        <v>0</v>
      </c>
      <c r="M18">
        <f t="shared" si="3"/>
        <v>1</v>
      </c>
      <c r="N18">
        <f t="shared" si="4"/>
        <v>0</v>
      </c>
      <c r="O18" s="5">
        <f>SUMIF(Visits!$E$2:$E$89,'Manual Cleanup'!$A18,Visits!$L$2:$L$89)</f>
        <v>15</v>
      </c>
      <c r="P18" s="5">
        <f>SUMIFS(Visits!$L$2:$L$89,Visits!$E$2:$E$89,'Manual Cleanup'!$A18,Visits!$U$2:$U$89,"&gt;3/28/24")</f>
        <v>15</v>
      </c>
      <c r="Q18" s="19">
        <f t="shared" si="0"/>
        <v>7.5</v>
      </c>
      <c r="R18" s="19">
        <f t="shared" si="1"/>
        <v>15</v>
      </c>
    </row>
    <row r="19" spans="1:18" x14ac:dyDescent="0.2">
      <c r="A19" s="22" t="s">
        <v>139</v>
      </c>
      <c r="B19" t="str">
        <f>INDEX(Visits!$A$1:$X$338,MATCH('Manual Cleanup'!$A19,Visits!$E$1:$E$338,0),MATCH('Manual Cleanup'!B$1,Visits!$A$1:$X$1,0))</f>
        <v>Louise</v>
      </c>
      <c r="C19" t="str">
        <f>INDEX(Visits!$A$1:$X$338,MATCH('Manual Cleanup'!$A19,Visits!$E$1:$E$338,0),MATCH('Manual Cleanup'!C$1,Visits!$A$1:$X$1,0))</f>
        <v>Chow</v>
      </c>
      <c r="D19" s="22" t="s">
        <v>140</v>
      </c>
      <c r="E19" t="s">
        <v>117</v>
      </c>
      <c r="F19" t="s">
        <v>134</v>
      </c>
      <c r="G19" s="1" cm="1">
        <f t="array" ref="G19">MAX(_xlfn._xlws.FILTER(Visits!U:U,Visits!P:P='Manual Cleanup'!A19))</f>
        <v>45388</v>
      </c>
      <c r="H19">
        <v>2</v>
      </c>
      <c r="I19">
        <v>0</v>
      </c>
      <c r="J19" s="25">
        <v>2</v>
      </c>
      <c r="K19">
        <v>0</v>
      </c>
      <c r="L19">
        <v>0</v>
      </c>
      <c r="M19">
        <v>1</v>
      </c>
      <c r="N19">
        <v>0</v>
      </c>
      <c r="O19" s="5">
        <v>15</v>
      </c>
      <c r="P19" s="5">
        <v>15</v>
      </c>
      <c r="Q19" s="19">
        <f t="shared" si="0"/>
        <v>7.5</v>
      </c>
      <c r="R19" s="19">
        <f t="shared" si="1"/>
        <v>7.5</v>
      </c>
    </row>
    <row r="20" spans="1:18" x14ac:dyDescent="0.2">
      <c r="A20" t="s">
        <v>141</v>
      </c>
      <c r="B20" t="str">
        <f>INDEX(Visits!$A$1:$X$338,MATCH('Manual Cleanup'!$A20,Visits!$E$1:$E$338,0),MATCH('Manual Cleanup'!B$1,Visits!$A$1:$X$1,0))</f>
        <v>Mouna</v>
      </c>
      <c r="C20" t="str">
        <f>INDEX(Visits!$A$1:$X$338,MATCH('Manual Cleanup'!$A20,Visits!$E$1:$E$338,0),MATCH('Manual Cleanup'!C$1,Visits!$A$1:$X$1,0))</f>
        <v>Iraqi</v>
      </c>
      <c r="G20" s="1" cm="1">
        <f t="array" ref="G20">MAX(_xlfn._xlws.FILTER(Visits!U:U,Visits!P:P='Manual Cleanup'!A20))</f>
        <v>45374</v>
      </c>
      <c r="H20">
        <f>COUNTIF(Visits!$E$2:$E$89,'Manual Cleanup'!$A20)</f>
        <v>1</v>
      </c>
      <c r="I20">
        <f>COUNTIFS(Visits!$E$2:$E$89,'Manual Cleanup'!$A6,Visits!$U$2:$U$89,"&gt;4/20/24")</f>
        <v>0</v>
      </c>
      <c r="J20" s="25">
        <f>COUNTIFS(Visits!$E$2:$E$89,'Manual Cleanup'!$A20,Visits!$U$2:$U$89,"&gt;3/28/24")</f>
        <v>0</v>
      </c>
      <c r="K20">
        <f>COUNTIFS(Visits!$E$2:$E$89,'Manual Cleanup'!$A6,Visits!$U$2:$U$89,"&lt;3/28/24")</f>
        <v>1</v>
      </c>
      <c r="L20">
        <f t="shared" ref="L20:L32" si="5">IF(H20-I20=0,1,0)</f>
        <v>0</v>
      </c>
      <c r="M20">
        <f t="shared" ref="M20:M32" si="6">IF(J20&gt;0,1,0)</f>
        <v>0</v>
      </c>
      <c r="N20">
        <f t="shared" ref="N20:N32" si="7">IF(J20&gt;2,M20,0)</f>
        <v>0</v>
      </c>
      <c r="O20" s="5">
        <f>SUMIF(Visits!$E$2:$E$89,'Manual Cleanup'!$A20,Visits!$L$2:$L$89)</f>
        <v>40</v>
      </c>
      <c r="P20" s="5">
        <f>SUMIFS(Visits!$L$2:$L$89,Visits!$E$2:$E$89,'Manual Cleanup'!$A20,Visits!$U$2:$U$89,"&gt;3/28/24")</f>
        <v>0</v>
      </c>
      <c r="Q20" s="19">
        <f t="shared" si="0"/>
        <v>40</v>
      </c>
      <c r="R20" s="19" t="str">
        <f t="shared" si="1"/>
        <v>n/a</v>
      </c>
    </row>
    <row r="21" spans="1:18" x14ac:dyDescent="0.2">
      <c r="A21" t="s">
        <v>142</v>
      </c>
      <c r="B21" t="str">
        <f>INDEX(Visits!$A$1:$X$338,MATCH('Manual Cleanup'!$A21,Visits!$E$1:$E$338,0),MATCH('Manual Cleanup'!B$1,Visits!$A$1:$X$1,0))</f>
        <v>Susan</v>
      </c>
      <c r="C21" t="str">
        <f>INDEX(Visits!$A$1:$X$338,MATCH('Manual Cleanup'!$A21,Visits!$E$1:$E$338,0),MATCH('Manual Cleanup'!C$1,Visits!$A$1:$X$1,0))</f>
        <v>Durkan Jackson</v>
      </c>
      <c r="E21" t="s">
        <v>130</v>
      </c>
      <c r="G21" s="1" cm="1">
        <f t="array" ref="G21">MAX(_xlfn._xlws.FILTER(Visits!U:U,Visits!P:P='Manual Cleanup'!A21))</f>
        <v>45374</v>
      </c>
      <c r="H21">
        <f>COUNTIF(Visits!$E$2:$E$89,'Manual Cleanup'!$A21)</f>
        <v>1</v>
      </c>
      <c r="I21">
        <f>COUNTIFS(Visits!$E$2:$E$89,'Manual Cleanup'!$A7,Visits!$U$2:$U$89,"&gt;4/20/24")</f>
        <v>0</v>
      </c>
      <c r="J21" s="25">
        <f>COUNTIFS(Visits!$E$2:$E$89,'Manual Cleanup'!$A21,Visits!$U$2:$U$89,"&gt;3/28/24")</f>
        <v>0</v>
      </c>
      <c r="K21">
        <f>COUNTIFS(Visits!$E$2:$E$89,'Manual Cleanup'!$A7,Visits!$U$2:$U$89,"&lt;3/28/24")</f>
        <v>1</v>
      </c>
      <c r="L21">
        <f t="shared" si="5"/>
        <v>0</v>
      </c>
      <c r="M21">
        <f t="shared" si="6"/>
        <v>0</v>
      </c>
      <c r="N21">
        <f t="shared" si="7"/>
        <v>0</v>
      </c>
      <c r="O21" s="5">
        <f>SUMIF(Visits!$E$2:$E$89,'Manual Cleanup'!$A21,Visits!$L$2:$L$89)</f>
        <v>40</v>
      </c>
      <c r="P21" s="5">
        <f>SUMIFS(Visits!$L$2:$L$89,Visits!$E$2:$E$89,'Manual Cleanup'!$A21,Visits!$U$2:$U$89,"&gt;3/28/24")</f>
        <v>0</v>
      </c>
      <c r="Q21" s="19">
        <f t="shared" si="0"/>
        <v>40</v>
      </c>
      <c r="R21" s="19" t="str">
        <f t="shared" si="1"/>
        <v>n/a</v>
      </c>
    </row>
    <row r="22" spans="1:18" x14ac:dyDescent="0.2">
      <c r="A22" t="s">
        <v>143</v>
      </c>
      <c r="B22" t="str">
        <f>INDEX(Visits!$A$1:$X$338,MATCH('Manual Cleanup'!$A22,Visits!$E$1:$E$338,0),MATCH('Manual Cleanup'!B$1,Visits!$A$1:$X$1,0))</f>
        <v>Nathanael</v>
      </c>
      <c r="C22" t="str">
        <f>INDEX(Visits!$A$1:$X$338,MATCH('Manual Cleanup'!$A22,Visits!$E$1:$E$338,0),MATCH('Manual Cleanup'!C$1,Visits!$A$1:$X$1,0))</f>
        <v>Geman</v>
      </c>
      <c r="G22" s="1" cm="1">
        <f t="array" ref="G22">MAX(_xlfn._xlws.FILTER(Visits!U:U,Visits!P:P='Manual Cleanup'!A22))</f>
        <v>45374</v>
      </c>
      <c r="H22">
        <f>COUNTIF(Visits!$E$2:$E$89,'Manual Cleanup'!$A22)</f>
        <v>1</v>
      </c>
      <c r="I22">
        <f>COUNTIFS(Visits!$E$2:$E$89,'Manual Cleanup'!$A11,Visits!$U$2:$U$89,"&gt;4/20/24")</f>
        <v>0</v>
      </c>
      <c r="J22" s="25">
        <f>COUNTIFS(Visits!$E$2:$E$89,'Manual Cleanup'!$A22,Visits!$U$2:$U$89,"&gt;3/28/24")</f>
        <v>0</v>
      </c>
      <c r="K22">
        <f>COUNTIFS(Visits!$E$2:$E$89,'Manual Cleanup'!$A11,Visits!$U$2:$U$89,"&lt;3/28/24")</f>
        <v>1</v>
      </c>
      <c r="L22">
        <f t="shared" si="5"/>
        <v>0</v>
      </c>
      <c r="M22">
        <f t="shared" si="6"/>
        <v>0</v>
      </c>
      <c r="N22">
        <f t="shared" si="7"/>
        <v>0</v>
      </c>
      <c r="O22" s="5">
        <f>SUMIF(Visits!$E$2:$E$89,'Manual Cleanup'!$A22,Visits!$L$2:$L$89)</f>
        <v>25</v>
      </c>
      <c r="P22" s="5">
        <f>SUMIFS(Visits!$L$2:$L$89,Visits!$E$2:$E$89,'Manual Cleanup'!$A22,Visits!$U$2:$U$89,"&gt;3/28/24")</f>
        <v>0</v>
      </c>
      <c r="Q22" s="19">
        <f t="shared" si="0"/>
        <v>25</v>
      </c>
      <c r="R22" s="19" t="str">
        <f t="shared" si="1"/>
        <v>n/a</v>
      </c>
    </row>
    <row r="23" spans="1:18" x14ac:dyDescent="0.2">
      <c r="A23" t="s">
        <v>144</v>
      </c>
      <c r="B23" t="str">
        <f>INDEX(Visits!$A$1:$X$338,MATCH('Manual Cleanup'!$A23,Visits!$E$1:$E$338,0),MATCH('Manual Cleanup'!B$1,Visits!$A$1:$X$1,0))</f>
        <v>Daniela</v>
      </c>
      <c r="C23" t="str">
        <f>INDEX(Visits!$A$1:$X$338,MATCH('Manual Cleanup'!$A23,Visits!$E$1:$E$338,0),MATCH('Manual Cleanup'!C$1,Visits!$A$1:$X$1,0))</f>
        <v>Jone</v>
      </c>
      <c r="G23" s="1" t="e" cm="1">
        <f t="array" ref="G23">MAX(_xlfn._xlws.FILTER(Visits!U:U,Visits!P:P='Manual Cleanup'!A23))</f>
        <v>#N/A</v>
      </c>
      <c r="H23">
        <f>COUNTIF(Visits!$E$2:$E$89,'Manual Cleanup'!$A23)</f>
        <v>2</v>
      </c>
      <c r="I23">
        <f>COUNTIFS(Visits!$E$2:$E$89,'Manual Cleanup'!$A14,Visits!$U$2:$U$89,"&gt;4/20/24")</f>
        <v>0</v>
      </c>
      <c r="J23" s="25">
        <f>COUNTIFS(Visits!$E$2:$E$89,'Manual Cleanup'!$A23,Visits!$U$2:$U$89,"&gt;3/28/24")</f>
        <v>2</v>
      </c>
      <c r="K23">
        <f>COUNTIFS(Visits!$E$2:$E$89,'Manual Cleanup'!$A14,Visits!$U$2:$U$89,"&lt;3/28/24")</f>
        <v>1</v>
      </c>
      <c r="L23">
        <f t="shared" si="5"/>
        <v>0</v>
      </c>
      <c r="M23">
        <f t="shared" si="6"/>
        <v>1</v>
      </c>
      <c r="N23">
        <f t="shared" si="7"/>
        <v>0</v>
      </c>
      <c r="O23" s="5">
        <f>SUMIF(Visits!$E$2:$E$89,'Manual Cleanup'!$A23,Visits!$L$2:$L$89)</f>
        <v>30</v>
      </c>
      <c r="P23" s="5">
        <f>SUMIFS(Visits!$L$2:$L$89,Visits!$E$2:$E$89,'Manual Cleanup'!$A23,Visits!$U$2:$U$89,"&gt;3/28/24")</f>
        <v>30</v>
      </c>
      <c r="Q23" s="19">
        <f t="shared" si="0"/>
        <v>15</v>
      </c>
      <c r="R23" s="19">
        <f t="shared" si="1"/>
        <v>15</v>
      </c>
    </row>
    <row r="24" spans="1:18" x14ac:dyDescent="0.2">
      <c r="A24" t="s">
        <v>145</v>
      </c>
      <c r="B24" t="str">
        <f>INDEX(Visits!$A$1:$X$338,MATCH('Manual Cleanup'!$A24,Visits!$E$1:$E$338,0),MATCH('Manual Cleanup'!B$1,Visits!$A$1:$X$1,0))</f>
        <v>eoghan</v>
      </c>
      <c r="C24" t="str">
        <f>INDEX(Visits!$A$1:$X$338,MATCH('Manual Cleanup'!$A24,Visits!$E$1:$E$338,0),MATCH('Manual Cleanup'!C$1,Visits!$A$1:$X$1,0))</f>
        <v>naughton</v>
      </c>
      <c r="E24" t="s">
        <v>146</v>
      </c>
      <c r="G24" s="1" t="e" cm="1">
        <f t="array" ref="G24">MAX(_xlfn._xlws.FILTER(Visits!U:U,Visits!P:P='Manual Cleanup'!A24))</f>
        <v>#N/A</v>
      </c>
      <c r="H24">
        <f>COUNTIF(Visits!$E$2:$E$89,'Manual Cleanup'!$A24)</f>
        <v>2</v>
      </c>
      <c r="I24">
        <f>COUNTIFS(Visits!$E$2:$E$89,'Manual Cleanup'!$A15,Visits!$U$2:$U$89,"&gt;4/20/24")</f>
        <v>0</v>
      </c>
      <c r="J24" s="25">
        <f>COUNTIFS(Visits!$E$2:$E$89,'Manual Cleanup'!$A24,Visits!$U$2:$U$89,"&gt;3/28/24")</f>
        <v>1</v>
      </c>
      <c r="K24">
        <f>COUNTIFS(Visits!$E$2:$E$89,'Manual Cleanup'!$A15,Visits!$U$2:$U$89,"&lt;3/28/24")</f>
        <v>1</v>
      </c>
      <c r="L24">
        <f t="shared" si="5"/>
        <v>0</v>
      </c>
      <c r="M24">
        <f t="shared" si="6"/>
        <v>1</v>
      </c>
      <c r="N24">
        <f t="shared" si="7"/>
        <v>0</v>
      </c>
      <c r="O24" s="5">
        <f>SUMIF(Visits!$E$2:$E$89,'Manual Cleanup'!$A24,Visits!$L$2:$L$89)</f>
        <v>15</v>
      </c>
      <c r="P24" s="5">
        <f>SUMIFS(Visits!$L$2:$L$89,Visits!$E$2:$E$89,'Manual Cleanup'!$A24,Visits!$U$2:$U$89,"&gt;3/28/24")</f>
        <v>15</v>
      </c>
      <c r="Q24" s="19">
        <f t="shared" si="0"/>
        <v>7.5</v>
      </c>
      <c r="R24" s="19">
        <f t="shared" si="1"/>
        <v>15</v>
      </c>
    </row>
    <row r="25" spans="1:18" x14ac:dyDescent="0.2">
      <c r="A25" t="s">
        <v>147</v>
      </c>
      <c r="B25" t="str">
        <f>INDEX(Visits!$A$1:$X$338,MATCH('Manual Cleanup'!$A25,Visits!$E$1:$E$338,0),MATCH('Manual Cleanup'!B$1,Visits!$A$1:$X$1,0))</f>
        <v>Sophia</v>
      </c>
      <c r="C25" t="str">
        <f>INDEX(Visits!$A$1:$X$338,MATCH('Manual Cleanup'!$A25,Visits!$E$1:$E$338,0),MATCH('Manual Cleanup'!C$1,Visits!$A$1:$X$1,0))</f>
        <v>S</v>
      </c>
      <c r="G25" s="1" cm="1">
        <f t="array" ref="G25">MAX(_xlfn._xlws.FILTER(Visits!U:U,Visits!P:P='Manual Cleanup'!A25))</f>
        <v>45386</v>
      </c>
      <c r="H25">
        <f>COUNTIF(Visits!$E$2:$E$89,'Manual Cleanup'!$A25)</f>
        <v>1</v>
      </c>
      <c r="I25">
        <f>COUNTIFS(Visits!$E$2:$E$89,'Manual Cleanup'!$A18,Visits!$U$2:$U$89,"&gt;4/20/24")</f>
        <v>0</v>
      </c>
      <c r="J25" s="25">
        <f>COUNTIFS(Visits!$E$2:$E$89,'Manual Cleanup'!$A25,Visits!$U$2:$U$89,"&gt;3/28/24")</f>
        <v>1</v>
      </c>
      <c r="K25">
        <f>COUNTIFS(Visits!$E$2:$E$89,'Manual Cleanup'!$A18,Visits!$U$2:$U$89,"&lt;3/28/24")</f>
        <v>0</v>
      </c>
      <c r="L25">
        <f t="shared" si="5"/>
        <v>0</v>
      </c>
      <c r="M25">
        <f t="shared" si="6"/>
        <v>1</v>
      </c>
      <c r="N25">
        <f t="shared" si="7"/>
        <v>0</v>
      </c>
      <c r="O25" s="5">
        <f>SUMIF(Visits!$E$2:$E$89,'Manual Cleanup'!$A25,Visits!$L$2:$L$89)</f>
        <v>15</v>
      </c>
      <c r="P25" s="5">
        <f>SUMIFS(Visits!$L$2:$L$89,Visits!$E$2:$E$89,'Manual Cleanup'!$A25,Visits!$U$2:$U$89,"&gt;3/28/24")</f>
        <v>15</v>
      </c>
      <c r="Q25" s="19">
        <f t="shared" si="0"/>
        <v>15</v>
      </c>
      <c r="R25" s="19">
        <f t="shared" si="1"/>
        <v>15</v>
      </c>
    </row>
    <row r="26" spans="1:18" x14ac:dyDescent="0.2">
      <c r="A26" t="s">
        <v>148</v>
      </c>
      <c r="B26" t="str">
        <f>INDEX(Visits!$A$1:$X$338,MATCH('Manual Cleanup'!$A26,Visits!$E$1:$E$338,0),MATCH('Manual Cleanup'!B$1,Visits!$A$1:$X$1,0))</f>
        <v>Cecilia</v>
      </c>
      <c r="C26" t="str">
        <f>INDEX(Visits!$A$1:$X$338,MATCH('Manual Cleanup'!$A26,Visits!$E$1:$E$338,0),MATCH('Manual Cleanup'!C$1,Visits!$A$1:$X$1,0))</f>
        <v>Lee</v>
      </c>
      <c r="G26" s="1" cm="1">
        <f t="array" ref="G26">MAX(_xlfn._xlws.FILTER(Visits!U:U,Visits!P:P='Manual Cleanup'!A26))</f>
        <v>45388</v>
      </c>
      <c r="H26">
        <f>COUNTIF(Visits!$E$2:$E$89,'Manual Cleanup'!$A26)</f>
        <v>1</v>
      </c>
      <c r="I26">
        <f>COUNTIFS(Visits!$E$2:$E$89,'Manual Cleanup'!$A19,Visits!$U$2:$U$89,"&gt;4/20/24")</f>
        <v>0</v>
      </c>
      <c r="J26" s="25">
        <f>COUNTIFS(Visits!$E$2:$E$89,'Manual Cleanup'!$A26,Visits!$U$2:$U$89,"&gt;3/28/24")</f>
        <v>1</v>
      </c>
      <c r="K26">
        <f>COUNTIFS(Visits!$E$2:$E$89,'Manual Cleanup'!$A19,Visits!$U$2:$U$89,"&lt;3/28/24")</f>
        <v>0</v>
      </c>
      <c r="L26">
        <f t="shared" si="5"/>
        <v>0</v>
      </c>
      <c r="M26">
        <f t="shared" si="6"/>
        <v>1</v>
      </c>
      <c r="N26">
        <f t="shared" si="7"/>
        <v>0</v>
      </c>
      <c r="O26" s="5">
        <f>SUMIF(Visits!$E$2:$E$89,'Manual Cleanup'!$A26,Visits!$L$2:$L$89)</f>
        <v>10</v>
      </c>
      <c r="P26" s="5">
        <f>SUMIFS(Visits!$L$2:$L$89,Visits!$E$2:$E$89,'Manual Cleanup'!$A26,Visits!$U$2:$U$89,"&gt;3/28/24")</f>
        <v>10</v>
      </c>
      <c r="Q26" s="19">
        <f t="shared" si="0"/>
        <v>10</v>
      </c>
      <c r="R26" s="19">
        <f t="shared" si="1"/>
        <v>10</v>
      </c>
    </row>
    <row r="27" spans="1:18" x14ac:dyDescent="0.2">
      <c r="A27" t="s">
        <v>149</v>
      </c>
      <c r="B27" t="e">
        <f>INDEX(Visits!$A$1:$X$338,MATCH('Manual Cleanup'!$A27,Visits!$E$1:$E$338,0),MATCH('Manual Cleanup'!B$1,Visits!$A$1:$X$1,0))</f>
        <v>#N/A</v>
      </c>
      <c r="C27" t="e">
        <f>INDEX(Visits!$A$1:$X$338,MATCH('Manual Cleanup'!$A27,Visits!$E$1:$E$338,0),MATCH('Manual Cleanup'!C$1,Visits!$A$1:$X$1,0))</f>
        <v>#N/A</v>
      </c>
      <c r="E27" t="s">
        <v>117</v>
      </c>
      <c r="G27" s="1" cm="1">
        <f t="array" ref="G27">MAX(_xlfn._xlws.FILTER(Visits!U:U,Visits!P:P='Manual Cleanup'!A27))</f>
        <v>45386</v>
      </c>
      <c r="H27">
        <f>COUNTIF(Visits!$E$2:$E$89,'Manual Cleanup'!$A27)</f>
        <v>0</v>
      </c>
      <c r="I27">
        <f>COUNTIFS(Visits!$E$2:$E$89,'Manual Cleanup'!$A21,Visits!$U$2:$U$89,"&gt;4/20/24")</f>
        <v>0</v>
      </c>
      <c r="J27" s="25">
        <f>COUNTIFS(Visits!$E$2:$E$89,'Manual Cleanup'!$A27,Visits!$U$2:$U$89,"&gt;3/28/24")</f>
        <v>0</v>
      </c>
      <c r="K27">
        <f>COUNTIFS(Visits!$E$2:$E$89,'Manual Cleanup'!$A21,Visits!$U$2:$U$89,"&lt;3/28/24")</f>
        <v>1</v>
      </c>
      <c r="L27">
        <f t="shared" si="5"/>
        <v>1</v>
      </c>
      <c r="M27">
        <f t="shared" si="6"/>
        <v>0</v>
      </c>
      <c r="N27">
        <f t="shared" si="7"/>
        <v>0</v>
      </c>
      <c r="O27" s="5">
        <f>SUMIF(Visits!$E$2:$E$89,'Manual Cleanup'!$A27,Visits!$L$2:$L$89)</f>
        <v>0</v>
      </c>
      <c r="P27" s="5">
        <f>SUMIFS(Visits!$L$2:$L$89,Visits!$E$2:$E$89,'Manual Cleanup'!$A27,Visits!$U$2:$U$89,"&gt;3/28/24")</f>
        <v>0</v>
      </c>
      <c r="Q27" s="19" t="e">
        <f t="shared" si="0"/>
        <v>#DIV/0!</v>
      </c>
      <c r="R27" s="19" t="str">
        <f t="shared" si="1"/>
        <v>n/a</v>
      </c>
    </row>
    <row r="28" spans="1:18" x14ac:dyDescent="0.2">
      <c r="A28" t="s">
        <v>150</v>
      </c>
      <c r="B28" t="str">
        <f>INDEX(Visits!$A$1:$X$338,MATCH('Manual Cleanup'!$A28,Visits!$E$1:$E$338,0),MATCH('Manual Cleanup'!B$1,Visits!$A$1:$X$1,0))</f>
        <v>Kostas</v>
      </c>
      <c r="C28" t="str">
        <f>INDEX(Visits!$A$1:$X$338,MATCH('Manual Cleanup'!$A28,Visits!$E$1:$E$338,0),MATCH('Manual Cleanup'!C$1,Visits!$A$1:$X$1,0))</f>
        <v>Palierakis</v>
      </c>
      <c r="G28" s="1" cm="1">
        <f t="array" ref="G28">MAX(_xlfn._xlws.FILTER(Visits!U:U,Visits!P:P='Manual Cleanup'!A28))</f>
        <v>45381</v>
      </c>
      <c r="H28">
        <f>COUNTIF(Visits!$E$2:$E$89,'Manual Cleanup'!$A28)</f>
        <v>1</v>
      </c>
      <c r="I28">
        <f>COUNTIFS(Visits!$E$2:$E$89,'Manual Cleanup'!$A23,Visits!$U$2:$U$89,"&gt;4/20/24")</f>
        <v>0</v>
      </c>
      <c r="J28" s="25">
        <f>COUNTIFS(Visits!$E$2:$E$89,'Manual Cleanup'!$A28,Visits!$U$2:$U$89,"&gt;3/28/24")</f>
        <v>1</v>
      </c>
      <c r="K28">
        <f>COUNTIFS(Visits!$E$2:$E$89,'Manual Cleanup'!$A23,Visits!$U$2:$U$89,"&lt;3/28/24")</f>
        <v>0</v>
      </c>
      <c r="L28">
        <f t="shared" si="5"/>
        <v>0</v>
      </c>
      <c r="M28">
        <f t="shared" si="6"/>
        <v>1</v>
      </c>
      <c r="N28">
        <f t="shared" si="7"/>
        <v>0</v>
      </c>
      <c r="O28" s="5">
        <f>SUMIF(Visits!$E$2:$E$89,'Manual Cleanup'!$A28,Visits!$L$2:$L$89)</f>
        <v>5</v>
      </c>
      <c r="P28" s="5">
        <f>SUMIFS(Visits!$L$2:$L$89,Visits!$E$2:$E$89,'Manual Cleanup'!$A28,Visits!$U$2:$U$89,"&gt;3/28/24")</f>
        <v>5</v>
      </c>
      <c r="Q28" s="19">
        <f t="shared" si="0"/>
        <v>5</v>
      </c>
      <c r="R28" s="19">
        <f t="shared" si="1"/>
        <v>5</v>
      </c>
    </row>
    <row r="29" spans="1:18" x14ac:dyDescent="0.2">
      <c r="A29" t="s">
        <v>151</v>
      </c>
      <c r="B29" t="str">
        <f>INDEX(Visits!$A$1:$X$338,MATCH('Manual Cleanup'!$A29,Visits!$E$1:$E$338,0),MATCH('Manual Cleanup'!B$1,Visits!$A$1:$X$1,0))</f>
        <v>Silviu</v>
      </c>
      <c r="C29" t="str">
        <f>INDEX(Visits!$A$1:$X$338,MATCH('Manual Cleanup'!$A29,Visits!$E$1:$E$338,0),MATCH('Manual Cleanup'!C$1,Visits!$A$1:$X$1,0))</f>
        <v>Burca</v>
      </c>
      <c r="G29" s="1" cm="1">
        <f t="array" ref="G29">MAX(_xlfn._xlws.FILTER(Visits!U:U,Visits!P:P='Manual Cleanup'!A29))</f>
        <v>45381</v>
      </c>
      <c r="H29">
        <f>COUNTIF(Visits!$E$2:$E$89,'Manual Cleanup'!$A29)</f>
        <v>1</v>
      </c>
      <c r="I29">
        <f>COUNTIFS(Visits!$E$2:$E$89,'Manual Cleanup'!$A24,Visits!$U$2:$U$89,"&gt;4/20/24")</f>
        <v>0</v>
      </c>
      <c r="J29" s="25">
        <f>COUNTIFS(Visits!$E$2:$E$89,'Manual Cleanup'!$A29,Visits!$U$2:$U$89,"&gt;3/28/24")</f>
        <v>1</v>
      </c>
      <c r="K29">
        <f>COUNTIFS(Visits!$E$2:$E$89,'Manual Cleanup'!$A24,Visits!$U$2:$U$89,"&lt;3/28/24")</f>
        <v>0</v>
      </c>
      <c r="L29">
        <f t="shared" si="5"/>
        <v>0</v>
      </c>
      <c r="M29">
        <f t="shared" si="6"/>
        <v>1</v>
      </c>
      <c r="N29">
        <f t="shared" si="7"/>
        <v>0</v>
      </c>
      <c r="O29" s="5">
        <f>SUMIF(Visits!$E$2:$E$89,'Manual Cleanup'!$A29,Visits!$L$2:$L$89)</f>
        <v>5</v>
      </c>
      <c r="P29" s="5">
        <f>SUMIFS(Visits!$L$2:$L$89,Visits!$E$2:$E$89,'Manual Cleanup'!$A29,Visits!$U$2:$U$89,"&gt;3/28/24")</f>
        <v>5</v>
      </c>
      <c r="Q29" s="19">
        <f t="shared" si="0"/>
        <v>5</v>
      </c>
      <c r="R29" s="19">
        <f t="shared" si="1"/>
        <v>5</v>
      </c>
    </row>
    <row r="30" spans="1:18" x14ac:dyDescent="0.2">
      <c r="A30" t="s">
        <v>152</v>
      </c>
      <c r="B30" t="str">
        <f>INDEX(Visits!$A$1:$X$338,MATCH('Manual Cleanup'!$A30,Visits!$E$1:$E$338,0),MATCH('Manual Cleanup'!B$1,Visits!$A$1:$X$1,0))</f>
        <v>ezgi</v>
      </c>
      <c r="C30" t="str">
        <f>INDEX(Visits!$A$1:$X$338,MATCH('Manual Cleanup'!$A30,Visits!$E$1:$E$338,0),MATCH('Manual Cleanup'!C$1,Visits!$A$1:$X$1,0))</f>
        <v>çakmak</v>
      </c>
      <c r="G30" s="1" cm="1">
        <f t="array" ref="G30">MAX(_xlfn._xlws.FILTER(Visits!U:U,Visits!P:P='Manual Cleanup'!A30))</f>
        <v>45381</v>
      </c>
      <c r="H30">
        <f>COUNTIF(Visits!$E$2:$E$89,'Manual Cleanup'!$A30)</f>
        <v>1</v>
      </c>
      <c r="I30">
        <f>COUNTIFS(Visits!$E$2:$E$89,'Manual Cleanup'!$A25,Visits!$U$2:$U$89,"&gt;4/20/24")</f>
        <v>0</v>
      </c>
      <c r="J30" s="25">
        <f>COUNTIFS(Visits!$E$2:$E$89,'Manual Cleanup'!$A30,Visits!$U$2:$U$89,"&gt;3/28/24")</f>
        <v>1</v>
      </c>
      <c r="K30">
        <f>COUNTIFS(Visits!$E$2:$E$89,'Manual Cleanup'!$A25,Visits!$U$2:$U$89,"&lt;3/28/24")</f>
        <v>0</v>
      </c>
      <c r="L30">
        <f t="shared" si="5"/>
        <v>0</v>
      </c>
      <c r="M30">
        <f t="shared" si="6"/>
        <v>1</v>
      </c>
      <c r="N30">
        <f t="shared" si="7"/>
        <v>0</v>
      </c>
      <c r="O30" s="5">
        <f>SUMIF(Visits!$E$2:$E$89,'Manual Cleanup'!$A30,Visits!$L$2:$L$89)</f>
        <v>5</v>
      </c>
      <c r="P30" s="5">
        <f>SUMIFS(Visits!$L$2:$L$89,Visits!$E$2:$E$89,'Manual Cleanup'!$A30,Visits!$U$2:$U$89,"&gt;3/28/24")</f>
        <v>5</v>
      </c>
      <c r="Q30" s="19">
        <f t="shared" si="0"/>
        <v>5</v>
      </c>
      <c r="R30" s="19">
        <f t="shared" si="1"/>
        <v>5</v>
      </c>
    </row>
    <row r="31" spans="1:18" x14ac:dyDescent="0.2">
      <c r="A31" t="s">
        <v>153</v>
      </c>
      <c r="B31" t="str">
        <f>INDEX(Visits!$A$1:$X$338,MATCH('Manual Cleanup'!$A31,Visits!$E$1:$E$338,0),MATCH('Manual Cleanup'!B$1,Visits!$A$1:$X$1,0))</f>
        <v>Simona</v>
      </c>
      <c r="C31" t="str">
        <f>INDEX(Visits!$A$1:$X$338,MATCH('Manual Cleanup'!$A31,Visits!$E$1:$E$338,0),MATCH('Manual Cleanup'!C$1,Visits!$A$1:$X$1,0))</f>
        <v>Vicol</v>
      </c>
      <c r="G31" s="1" cm="1">
        <f t="array" ref="G31">MAX(_xlfn._xlws.FILTER(Visits!U:U,Visits!P:P='Manual Cleanup'!A31))</f>
        <v>45381</v>
      </c>
      <c r="H31">
        <f>COUNTIF(Visits!$E$2:$E$89,'Manual Cleanup'!$A31)</f>
        <v>1</v>
      </c>
      <c r="I31">
        <f>COUNTIFS(Visits!$E$2:$E$89,'Manual Cleanup'!$A26,Visits!$U$2:$U$89,"&gt;4/20/24")</f>
        <v>0</v>
      </c>
      <c r="J31" s="25">
        <f>COUNTIFS(Visits!$E$2:$E$89,'Manual Cleanup'!$A31,Visits!$U$2:$U$89,"&gt;3/28/24")</f>
        <v>1</v>
      </c>
      <c r="K31">
        <f>COUNTIFS(Visits!$E$2:$E$89,'Manual Cleanup'!$A26,Visits!$U$2:$U$89,"&lt;3/28/24")</f>
        <v>0</v>
      </c>
      <c r="L31">
        <f t="shared" si="5"/>
        <v>0</v>
      </c>
      <c r="M31">
        <f t="shared" si="6"/>
        <v>1</v>
      </c>
      <c r="N31">
        <f t="shared" si="7"/>
        <v>0</v>
      </c>
      <c r="O31" s="5">
        <f>SUMIF(Visits!$E$2:$E$89,'Manual Cleanup'!$A31,Visits!$L$2:$L$89)</f>
        <v>5</v>
      </c>
      <c r="P31" s="5">
        <f>SUMIFS(Visits!$L$2:$L$89,Visits!$E$2:$E$89,'Manual Cleanup'!$A31,Visits!$U$2:$U$89,"&gt;3/28/24")</f>
        <v>5</v>
      </c>
      <c r="Q31" s="19">
        <f t="shared" si="0"/>
        <v>5</v>
      </c>
      <c r="R31" s="19">
        <f t="shared" si="1"/>
        <v>5</v>
      </c>
    </row>
    <row r="32" spans="1:18" x14ac:dyDescent="0.2">
      <c r="A32" t="s">
        <v>154</v>
      </c>
      <c r="B32" t="str">
        <f>INDEX(Visits!$A$1:$X$338,MATCH('Manual Cleanup'!$A32,Visits!$E$1:$E$338,0),MATCH('Manual Cleanup'!B$1,Visits!$A$1:$X$1,0))</f>
        <v>David</v>
      </c>
      <c r="C32" t="str">
        <f>INDEX(Visits!$A$1:$X$338,MATCH('Manual Cleanup'!$A32,Visits!$E$1:$E$338,0),MATCH('Manual Cleanup'!C$1,Visits!$A$1:$X$1,0))</f>
        <v>Barden</v>
      </c>
      <c r="G32" s="1" cm="1">
        <f t="array" ref="G32">MAX(_xlfn._xlws.FILTER(Visits!U:U,Visits!P:P='Manual Cleanup'!A32))</f>
        <v>45381</v>
      </c>
      <c r="H32">
        <f>COUNTIF(Visits!$E$2:$E$89,'Manual Cleanup'!$A32)</f>
        <v>1</v>
      </c>
      <c r="I32">
        <f>COUNTIFS(Visits!$E$2:$E$89,'Manual Cleanup'!$A27,Visits!$U$2:$U$89,"&gt;4/20/24")</f>
        <v>0</v>
      </c>
      <c r="J32" s="25">
        <f>COUNTIFS(Visits!$E$2:$E$89,'Manual Cleanup'!$A32,Visits!$U$2:$U$89,"&gt;3/28/24")</f>
        <v>1</v>
      </c>
      <c r="K32">
        <f>COUNTIFS(Visits!$E$2:$E$89,'Manual Cleanup'!$A27,Visits!$U$2:$U$89,"&lt;3/28/24")</f>
        <v>0</v>
      </c>
      <c r="L32">
        <f t="shared" si="5"/>
        <v>0</v>
      </c>
      <c r="M32">
        <f t="shared" si="6"/>
        <v>1</v>
      </c>
      <c r="N32">
        <f t="shared" si="7"/>
        <v>0</v>
      </c>
      <c r="O32" s="5">
        <f>SUMIF(Visits!$E$2:$E$89,'Manual Cleanup'!$A32,Visits!$L$2:$L$89)</f>
        <v>5</v>
      </c>
      <c r="P32" s="5">
        <f>SUMIFS(Visits!$L$2:$L$89,Visits!$E$2:$E$89,'Manual Cleanup'!$A32,Visits!$U$2:$U$89,"&gt;3/28/24")</f>
        <v>5</v>
      </c>
      <c r="Q32" s="19">
        <f t="shared" si="0"/>
        <v>5</v>
      </c>
      <c r="R32" s="19">
        <f t="shared" si="1"/>
        <v>5</v>
      </c>
    </row>
    <row r="33" spans="1:18" x14ac:dyDescent="0.2">
      <c r="A33" s="21" t="s">
        <v>155</v>
      </c>
      <c r="B33" t="str">
        <f>INDEX(Visits!$A$1:$X$338,MATCH('Manual Cleanup'!$A33,Visits!$E$1:$E$338,0),MATCH('Manual Cleanup'!B$1,Visits!$A$1:$X$1,0))</f>
        <v>Audrey</v>
      </c>
      <c r="C33" t="str">
        <f>INDEX(Visits!$A$1:$X$338,MATCH('Manual Cleanup'!$A33,Visits!$E$1:$E$338,0),MATCH('Manual Cleanup'!C$1,Visits!$A$1:$X$1,0))</f>
        <v>Hutabarat</v>
      </c>
      <c r="D33" s="21" t="s">
        <v>156</v>
      </c>
      <c r="G33" s="1">
        <v>45388</v>
      </c>
      <c r="H33">
        <v>2</v>
      </c>
      <c r="I33">
        <v>0</v>
      </c>
      <c r="J33" s="25">
        <v>2</v>
      </c>
      <c r="K33">
        <v>0</v>
      </c>
      <c r="L33">
        <v>0</v>
      </c>
      <c r="M33">
        <v>1</v>
      </c>
      <c r="N33">
        <v>0</v>
      </c>
      <c r="O33" s="5">
        <v>15</v>
      </c>
      <c r="P33" s="5">
        <v>15</v>
      </c>
      <c r="Q33" s="19">
        <f t="shared" si="0"/>
        <v>7.5</v>
      </c>
      <c r="R33" s="19">
        <f t="shared" si="1"/>
        <v>7.5</v>
      </c>
    </row>
    <row r="34" spans="1:18" x14ac:dyDescent="0.2">
      <c r="A34" t="s">
        <v>157</v>
      </c>
      <c r="B34" t="str">
        <f>INDEX(Visits!$A$1:$X$338,MATCH('Manual Cleanup'!$A34,Visits!$E$1:$E$338,0),MATCH('Manual Cleanup'!B$1,Visits!$A$1:$X$1,0))</f>
        <v>Monique</v>
      </c>
      <c r="C34" t="str">
        <f>INDEX(Visits!$A$1:$X$338,MATCH('Manual Cleanup'!$A34,Visits!$E$1:$E$338,0),MATCH('Manual Cleanup'!C$1,Visits!$A$1:$X$1,0))</f>
        <v>Blemur</v>
      </c>
      <c r="G34" s="1" cm="1">
        <f t="array" ref="G34">MAX(_xlfn._xlws.FILTER(Visits!U:U,Visits!P:P='Manual Cleanup'!A34))</f>
        <v>45445</v>
      </c>
      <c r="H34">
        <f>COUNTIF(Visits!$E$2:$E$89,'Manual Cleanup'!$A34)</f>
        <v>1</v>
      </c>
      <c r="I34">
        <f>COUNTIFS(Visits!$E$2:$E$89,'Manual Cleanup'!$A29,Visits!$U$2:$U$89,"&gt;4/20/24")</f>
        <v>0</v>
      </c>
      <c r="J34" s="25">
        <f>COUNTIFS(Visits!$E$2:$E$89,'Manual Cleanup'!$A34,Visits!$U$2:$U$89,"&gt;3/28/24")</f>
        <v>1</v>
      </c>
      <c r="K34">
        <f>COUNTIFS(Visits!$E$2:$E$89,'Manual Cleanup'!$A29,Visits!$U$2:$U$89,"&lt;3/28/24")</f>
        <v>0</v>
      </c>
      <c r="L34">
        <f t="shared" ref="L34:L55" si="8">IF(H34-I34=0,1,0)</f>
        <v>0</v>
      </c>
      <c r="M34">
        <f t="shared" ref="M34:M55" si="9">IF(J34&gt;0,1,0)</f>
        <v>1</v>
      </c>
      <c r="N34">
        <f t="shared" ref="N34:N55" si="10">IF(J34&gt;2,M34,0)</f>
        <v>0</v>
      </c>
      <c r="O34" s="5">
        <f>SUMIF(Visits!$E$2:$E$89,'Manual Cleanup'!$A34,Visits!$L$2:$L$89)</f>
        <v>0</v>
      </c>
      <c r="P34" s="5">
        <f>SUMIFS(Visits!$L$2:$L$89,Visits!$E$2:$E$89,'Manual Cleanup'!$A34,Visits!$U$2:$U$89,"&gt;3/28/24")</f>
        <v>0</v>
      </c>
      <c r="Q34" s="19">
        <f t="shared" ref="Q34:Q55" si="11">O34/H34</f>
        <v>0</v>
      </c>
      <c r="R34" s="19">
        <f t="shared" ref="R34:R55" si="12">IFERROR(P34/J34,"n/a")</f>
        <v>0</v>
      </c>
    </row>
    <row r="35" spans="1:18" x14ac:dyDescent="0.2">
      <c r="A35" t="s">
        <v>158</v>
      </c>
      <c r="B35" t="str">
        <f>INDEX(Visits!$A$1:$X$338,MATCH('Manual Cleanup'!$A35,Visits!$E$1:$E$338,0),MATCH('Manual Cleanup'!B$1,Visits!$A$1:$X$1,0))</f>
        <v>Hanna</v>
      </c>
      <c r="C35" t="str">
        <f>INDEX(Visits!$A$1:$X$338,MATCH('Manual Cleanup'!$A35,Visits!$E$1:$E$338,0),MATCH('Manual Cleanup'!C$1,Visits!$A$1:$X$1,0))</f>
        <v>N</v>
      </c>
      <c r="G35" s="1" t="e" cm="1">
        <f t="array" ref="G35">MAX(_xlfn._xlws.FILTER(Visits!U:U,Visits!P:P='Manual Cleanup'!A35))</f>
        <v>#N/A</v>
      </c>
      <c r="H35">
        <f>COUNTIF(Visits!$E$2:$E$89,'Manual Cleanup'!$A35)</f>
        <v>2</v>
      </c>
      <c r="I35">
        <f>COUNTIFS(Visits!$E$2:$E$89,'Manual Cleanup'!$A30,Visits!$U$2:$U$89,"&gt;4/20/24")</f>
        <v>0</v>
      </c>
      <c r="J35" s="25">
        <f>COUNTIFS(Visits!$E$2:$E$89,'Manual Cleanup'!$A35,Visits!$U$2:$U$89,"&gt;3/28/24")</f>
        <v>1</v>
      </c>
      <c r="K35">
        <f>COUNTIFS(Visits!$E$2:$E$89,'Manual Cleanup'!$A30,Visits!$U$2:$U$89,"&lt;3/28/24")</f>
        <v>0</v>
      </c>
      <c r="L35">
        <f t="shared" si="8"/>
        <v>0</v>
      </c>
      <c r="M35">
        <f t="shared" si="9"/>
        <v>1</v>
      </c>
      <c r="N35">
        <f t="shared" si="10"/>
        <v>0</v>
      </c>
      <c r="O35" s="5">
        <f>SUMIF(Visits!$E$2:$E$89,'Manual Cleanup'!$A35,Visits!$L$2:$L$89)</f>
        <v>30</v>
      </c>
      <c r="P35" s="5">
        <f>SUMIFS(Visits!$L$2:$L$89,Visits!$E$2:$E$89,'Manual Cleanup'!$A35,Visits!$U$2:$U$89,"&gt;3/28/24")</f>
        <v>15</v>
      </c>
      <c r="Q35" s="19">
        <f t="shared" si="11"/>
        <v>15</v>
      </c>
      <c r="R35" s="19">
        <f t="shared" si="12"/>
        <v>15</v>
      </c>
    </row>
    <row r="36" spans="1:18" x14ac:dyDescent="0.2">
      <c r="A36" t="s">
        <v>159</v>
      </c>
      <c r="B36" t="str">
        <f>INDEX(Visits!$A$1:$X$338,MATCH('Manual Cleanup'!$A36,Visits!$E$1:$E$338,0),MATCH('Manual Cleanup'!B$1,Visits!$A$1:$X$1,0))</f>
        <v>Anamaria</v>
      </c>
      <c r="C36" t="str">
        <f>INDEX(Visits!$A$1:$X$338,MATCH('Manual Cleanup'!$A36,Visits!$E$1:$E$338,0),MATCH('Manual Cleanup'!C$1,Visits!$A$1:$X$1,0))</f>
        <v>Parsons</v>
      </c>
      <c r="G36" s="1" cm="1">
        <f t="array" ref="G36">MAX(_xlfn._xlws.FILTER(Visits!U:U,Visits!P:P='Manual Cleanup'!A36))</f>
        <v>45388</v>
      </c>
      <c r="H36">
        <f>COUNTIF(Visits!$E$2:$E$89,'Manual Cleanup'!$A36)</f>
        <v>1</v>
      </c>
      <c r="I36">
        <f>COUNTIFS(Visits!$E$2:$E$89,'Manual Cleanup'!$A31,Visits!$U$2:$U$89,"&gt;4/20/24")</f>
        <v>0</v>
      </c>
      <c r="J36" s="25">
        <f>COUNTIFS(Visits!$E$2:$E$89,'Manual Cleanup'!$A36,Visits!$U$2:$U$89,"&gt;3/28/24")</f>
        <v>1</v>
      </c>
      <c r="K36">
        <f>COUNTIFS(Visits!$E$2:$E$89,'Manual Cleanup'!$A31,Visits!$U$2:$U$89,"&lt;3/28/24")</f>
        <v>0</v>
      </c>
      <c r="L36">
        <f t="shared" si="8"/>
        <v>0</v>
      </c>
      <c r="M36">
        <f t="shared" si="9"/>
        <v>1</v>
      </c>
      <c r="N36">
        <f t="shared" si="10"/>
        <v>0</v>
      </c>
      <c r="O36" s="5">
        <f>SUMIF(Visits!$E$2:$E$89,'Manual Cleanup'!$A36,Visits!$L$2:$L$89)</f>
        <v>15</v>
      </c>
      <c r="P36" s="5">
        <f>SUMIFS(Visits!$L$2:$L$89,Visits!$E$2:$E$89,'Manual Cleanup'!$A36,Visits!$U$2:$U$89,"&gt;3/28/24")</f>
        <v>15</v>
      </c>
      <c r="Q36" s="19">
        <f t="shared" si="11"/>
        <v>15</v>
      </c>
      <c r="R36" s="19">
        <f t="shared" si="12"/>
        <v>15</v>
      </c>
    </row>
    <row r="37" spans="1:18" x14ac:dyDescent="0.2">
      <c r="A37" t="s">
        <v>160</v>
      </c>
      <c r="B37" t="str">
        <f>INDEX(Visits!$A$1:$X$338,MATCH('Manual Cleanup'!$A37,Visits!$E$1:$E$338,0),MATCH('Manual Cleanup'!B$1,Visits!$A$1:$X$1,0))</f>
        <v>Jonathan</v>
      </c>
      <c r="C37" t="str">
        <f>INDEX(Visits!$A$1:$X$338,MATCH('Manual Cleanup'!$A37,Visits!$E$1:$E$338,0),MATCH('Manual Cleanup'!C$1,Visits!$A$1:$X$1,0))</f>
        <v>Chikly</v>
      </c>
      <c r="G37" s="1" cm="1">
        <f t="array" ref="G37">MAX(_xlfn._xlws.FILTER(Visits!U:U,Visits!P:P='Manual Cleanup'!A37))</f>
        <v>45388</v>
      </c>
      <c r="H37">
        <f>COUNTIF(Visits!$E$2:$E$89,'Manual Cleanup'!$A37)</f>
        <v>1</v>
      </c>
      <c r="I37">
        <f>COUNTIFS(Visits!$E$2:$E$89,'Manual Cleanup'!$A34,Visits!$U$2:$U$89,"&gt;4/20/24")</f>
        <v>0</v>
      </c>
      <c r="J37" s="25">
        <f>COUNTIFS(Visits!$E$2:$E$89,'Manual Cleanup'!$A37,Visits!$U$2:$U$89,"&gt;3/28/24")</f>
        <v>1</v>
      </c>
      <c r="K37">
        <f>COUNTIFS(Visits!$E$2:$E$89,'Manual Cleanup'!$A34,Visits!$U$2:$U$89,"&lt;3/28/24")</f>
        <v>0</v>
      </c>
      <c r="L37">
        <f t="shared" si="8"/>
        <v>0</v>
      </c>
      <c r="M37">
        <f t="shared" si="9"/>
        <v>1</v>
      </c>
      <c r="N37">
        <f t="shared" si="10"/>
        <v>0</v>
      </c>
      <c r="O37" s="5">
        <f>SUMIF(Visits!$E$2:$E$89,'Manual Cleanup'!$A37,Visits!$L$2:$L$89)</f>
        <v>15</v>
      </c>
      <c r="P37" s="5">
        <f>SUMIFS(Visits!$L$2:$L$89,Visits!$E$2:$E$89,'Manual Cleanup'!$A37,Visits!$U$2:$U$89,"&gt;3/28/24")</f>
        <v>15</v>
      </c>
      <c r="Q37" s="19">
        <f t="shared" si="11"/>
        <v>15</v>
      </c>
      <c r="R37" s="19">
        <f t="shared" si="12"/>
        <v>15</v>
      </c>
    </row>
    <row r="38" spans="1:18" x14ac:dyDescent="0.2">
      <c r="A38" t="s">
        <v>161</v>
      </c>
      <c r="B38" t="str">
        <f>INDEX(Visits!$A$1:$X$338,MATCH('Manual Cleanup'!$A38,Visits!$E$1:$E$338,0),MATCH('Manual Cleanup'!B$1,Visits!$A$1:$X$1,0))</f>
        <v>Rowan</v>
      </c>
      <c r="C38" t="str">
        <f>INDEX(Visits!$A$1:$X$338,MATCH('Manual Cleanup'!$A38,Visits!$E$1:$E$338,0),MATCH('Manual Cleanup'!C$1,Visits!$A$1:$X$1,0))</f>
        <v>El Atrache</v>
      </c>
      <c r="G38" s="1" cm="1">
        <f t="array" ref="G38">MAX(_xlfn._xlws.FILTER(Visits!U:U,Visits!P:P='Manual Cleanup'!A38))</f>
        <v>45437</v>
      </c>
      <c r="H38">
        <f>COUNTIF(Visits!$E$2:$E$89,'Manual Cleanup'!$A38)</f>
        <v>1</v>
      </c>
      <c r="I38">
        <f>COUNTIFS(Visits!$E$2:$E$89,'Manual Cleanup'!$A36,Visits!$U$2:$U$89,"&gt;4/20/24")</f>
        <v>0</v>
      </c>
      <c r="J38" s="25">
        <f>COUNTIFS(Visits!$E$2:$E$89,'Manual Cleanup'!$A38,Visits!$U$2:$U$89,"&gt;3/28/24")</f>
        <v>1</v>
      </c>
      <c r="K38">
        <f>COUNTIFS(Visits!$E$2:$E$89,'Manual Cleanup'!$A36,Visits!$U$2:$U$89,"&lt;3/28/24")</f>
        <v>0</v>
      </c>
      <c r="L38">
        <f t="shared" si="8"/>
        <v>0</v>
      </c>
      <c r="M38">
        <f t="shared" si="9"/>
        <v>1</v>
      </c>
      <c r="N38">
        <f t="shared" si="10"/>
        <v>0</v>
      </c>
      <c r="O38" s="5">
        <f>SUMIF(Visits!$E$2:$E$89,'Manual Cleanup'!$A38,Visits!$L$2:$L$89)</f>
        <v>15</v>
      </c>
      <c r="P38" s="5">
        <f>SUMIFS(Visits!$L$2:$L$89,Visits!$E$2:$E$89,'Manual Cleanup'!$A38,Visits!$U$2:$U$89,"&gt;3/28/24")</f>
        <v>15</v>
      </c>
      <c r="Q38" s="19">
        <f t="shared" si="11"/>
        <v>15</v>
      </c>
      <c r="R38" s="19">
        <f t="shared" si="12"/>
        <v>15</v>
      </c>
    </row>
    <row r="39" spans="1:18" x14ac:dyDescent="0.2">
      <c r="A39" t="s">
        <v>162</v>
      </c>
      <c r="B39" t="str">
        <f>INDEX(Visits!$A$1:$X$338,MATCH('Manual Cleanup'!$A39,Visits!$E$1:$E$338,0),MATCH('Manual Cleanup'!B$1,Visits!$A$1:$X$1,0))</f>
        <v>Anahita</v>
      </c>
      <c r="C39" t="str">
        <f>INDEX(Visits!$A$1:$X$338,MATCH('Manual Cleanup'!$A39,Visits!$E$1:$E$338,0),MATCH('Manual Cleanup'!C$1,Visits!$A$1:$X$1,0))</f>
        <v>Yousefi</v>
      </c>
      <c r="G39" s="1" cm="1">
        <f t="array" ref="G39">MAX(_xlfn._xlws.FILTER(Visits!U:U,Visits!P:P='Manual Cleanup'!A39))</f>
        <v>45388</v>
      </c>
      <c r="H39">
        <f>COUNTIF(Visits!$E$2:$E$89,'Manual Cleanup'!$A39)</f>
        <v>1</v>
      </c>
      <c r="I39">
        <f>COUNTIFS(Visits!$E$2:$E$89,'Manual Cleanup'!$D33,Visits!$U$2:$U$89,"&gt;4/20/24")</f>
        <v>0</v>
      </c>
      <c r="J39" s="25">
        <f>COUNTIFS(Visits!$E$2:$E$89,'Manual Cleanup'!$A39,Visits!$U$2:$U$89,"&gt;3/28/24")</f>
        <v>1</v>
      </c>
      <c r="K39">
        <f>COUNTIFS(Visits!$E$2:$E$89,'Manual Cleanup'!$D33,Visits!$U$2:$U$89,"&lt;3/28/24")</f>
        <v>0</v>
      </c>
      <c r="L39">
        <f t="shared" si="8"/>
        <v>0</v>
      </c>
      <c r="M39">
        <f t="shared" si="9"/>
        <v>1</v>
      </c>
      <c r="N39">
        <f t="shared" si="10"/>
        <v>0</v>
      </c>
      <c r="O39" s="5">
        <f>SUMIF(Visits!$E$2:$E$89,'Manual Cleanup'!$A39,Visits!$L$2:$L$89)</f>
        <v>15</v>
      </c>
      <c r="P39" s="5">
        <f>SUMIFS(Visits!$L$2:$L$89,Visits!$E$2:$E$89,'Manual Cleanup'!$A39,Visits!$U$2:$U$89,"&gt;3/28/24")</f>
        <v>15</v>
      </c>
      <c r="Q39" s="19">
        <f t="shared" si="11"/>
        <v>15</v>
      </c>
      <c r="R39" s="19">
        <f t="shared" si="12"/>
        <v>15</v>
      </c>
    </row>
    <row r="40" spans="1:18" x14ac:dyDescent="0.2">
      <c r="A40" t="s">
        <v>163</v>
      </c>
      <c r="B40" t="str">
        <f>INDEX(Visits!$A$1:$X$338,MATCH('Manual Cleanup'!$A40,Visits!$E$1:$E$338,0),MATCH('Manual Cleanup'!B$1,Visits!$A$1:$X$1,0))</f>
        <v>Davide</v>
      </c>
      <c r="C40" t="str">
        <f>INDEX(Visits!$A$1:$X$338,MATCH('Manual Cleanup'!$A40,Visits!$E$1:$E$338,0),MATCH('Manual Cleanup'!C$1,Visits!$A$1:$X$1,0))</f>
        <v>Veronese</v>
      </c>
      <c r="G40" s="1" cm="1">
        <f t="array" ref="G40">MAX(_xlfn._xlws.FILTER(Visits!U:U,Visits!P:P='Manual Cleanup'!A40))</f>
        <v>45437</v>
      </c>
      <c r="H40">
        <f>COUNTIF(Visits!$E$2:$E$89,'Manual Cleanup'!$A40)</f>
        <v>1</v>
      </c>
      <c r="I40">
        <f>COUNTIFS(Visits!$E$2:$E$89,'Manual Cleanup'!$A38,Visits!$U$2:$U$89,"&gt;4/20/24")</f>
        <v>0</v>
      </c>
      <c r="J40" s="25">
        <f>COUNTIFS(Visits!$E$2:$E$89,'Manual Cleanup'!$A40,Visits!$U$2:$U$89,"&gt;3/28/24")</f>
        <v>1</v>
      </c>
      <c r="K40">
        <f>COUNTIFS(Visits!$E$2:$E$89,'Manual Cleanup'!$A38,Visits!$U$2:$U$89,"&lt;3/28/24")</f>
        <v>0</v>
      </c>
      <c r="L40">
        <f t="shared" si="8"/>
        <v>0</v>
      </c>
      <c r="M40">
        <f t="shared" si="9"/>
        <v>1</v>
      </c>
      <c r="N40">
        <f t="shared" si="10"/>
        <v>0</v>
      </c>
      <c r="O40" s="5">
        <f>SUMIF(Visits!$E$2:$E$89,'Manual Cleanup'!$A40,Visits!$L$2:$L$89)</f>
        <v>15</v>
      </c>
      <c r="P40" s="5">
        <f>SUMIFS(Visits!$L$2:$L$89,Visits!$E$2:$E$89,'Manual Cleanup'!$A40,Visits!$U$2:$U$89,"&gt;3/28/24")</f>
        <v>15</v>
      </c>
      <c r="Q40" s="19">
        <f t="shared" si="11"/>
        <v>15</v>
      </c>
      <c r="R40" s="19">
        <f t="shared" si="12"/>
        <v>15</v>
      </c>
    </row>
    <row r="41" spans="1:18" x14ac:dyDescent="0.2">
      <c r="A41" t="s">
        <v>164</v>
      </c>
      <c r="B41" t="str">
        <f>INDEX(Visits!$A$1:$X$338,MATCH('Manual Cleanup'!$A41,Visits!$E$1:$E$338,0),MATCH('Manual Cleanup'!B$1,Visits!$A$1:$X$1,0))</f>
        <v>Isadora</v>
      </c>
      <c r="C41" t="str">
        <f>INDEX(Visits!$A$1:$X$338,MATCH('Manual Cleanup'!$A41,Visits!$E$1:$E$338,0),MATCH('Manual Cleanup'!C$1,Visits!$A$1:$X$1,0))</f>
        <v>de Miranda Mello Taam</v>
      </c>
      <c r="G41" s="1" cm="1">
        <f t="array" ref="G41">MAX(_xlfn._xlws.FILTER(Visits!U:U,Visits!P:P='Manual Cleanup'!A41))</f>
        <v>45388</v>
      </c>
      <c r="H41">
        <f>COUNTIF(Visits!$E$2:$E$89,'Manual Cleanup'!$A41)</f>
        <v>1</v>
      </c>
      <c r="I41">
        <f>COUNTIFS(Visits!$E$2:$E$89,'Manual Cleanup'!$A39,Visits!$U$2:$U$89,"&gt;4/20/24")</f>
        <v>0</v>
      </c>
      <c r="J41" s="25">
        <f>COUNTIFS(Visits!$E$2:$E$89,'Manual Cleanup'!$A41,Visits!$U$2:$U$89,"&gt;3/28/24")</f>
        <v>1</v>
      </c>
      <c r="K41">
        <f>COUNTIFS(Visits!$E$2:$E$89,'Manual Cleanup'!$A39,Visits!$U$2:$U$89,"&lt;3/28/24")</f>
        <v>0</v>
      </c>
      <c r="L41">
        <f t="shared" si="8"/>
        <v>0</v>
      </c>
      <c r="M41">
        <f t="shared" si="9"/>
        <v>1</v>
      </c>
      <c r="N41">
        <f t="shared" si="10"/>
        <v>0</v>
      </c>
      <c r="O41" s="5">
        <f>SUMIF(Visits!$E$2:$E$89,'Manual Cleanup'!$A41,Visits!$L$2:$L$89)</f>
        <v>15</v>
      </c>
      <c r="P41" s="5">
        <f>SUMIFS(Visits!$L$2:$L$89,Visits!$E$2:$E$89,'Manual Cleanup'!$A41,Visits!$U$2:$U$89,"&gt;3/28/24")</f>
        <v>15</v>
      </c>
      <c r="Q41" s="19">
        <f t="shared" si="11"/>
        <v>15</v>
      </c>
      <c r="R41" s="19">
        <f t="shared" si="12"/>
        <v>15</v>
      </c>
    </row>
    <row r="42" spans="1:18" x14ac:dyDescent="0.2">
      <c r="A42" t="s">
        <v>165</v>
      </c>
      <c r="B42" t="str">
        <f>INDEX(Visits!$A$1:$X$338,MATCH('Manual Cleanup'!$A42,Visits!$E$1:$E$338,0),MATCH('Manual Cleanup'!B$1,Visits!$A$1:$X$1,0))</f>
        <v>Tanvi</v>
      </c>
      <c r="C42" t="str">
        <f>INDEX(Visits!$A$1:$X$338,MATCH('Manual Cleanup'!$A42,Visits!$E$1:$E$338,0),MATCH('Manual Cleanup'!C$1,Visits!$A$1:$X$1,0))</f>
        <v>Sethi</v>
      </c>
      <c r="G42" s="1" cm="1">
        <f t="array" ref="G42">MAX(_xlfn._xlws.FILTER(Visits!U:U,Visits!P:P='Manual Cleanup'!A42))</f>
        <v>45457</v>
      </c>
      <c r="H42">
        <f>COUNTIF(Visits!$E$2:$E$89,'Manual Cleanup'!$A42)</f>
        <v>2</v>
      </c>
      <c r="I42">
        <f>COUNTIFS(Visits!$E$2:$E$89,'Manual Cleanup'!$A40,Visits!$U$2:$U$89,"&gt;4/20/24")</f>
        <v>0</v>
      </c>
      <c r="J42" s="25">
        <f>COUNTIFS(Visits!$E$2:$E$89,'Manual Cleanup'!$A42,Visits!$U$2:$U$89,"&gt;3/28/24")</f>
        <v>2</v>
      </c>
      <c r="K42">
        <f>COUNTIFS(Visits!$E$2:$E$89,'Manual Cleanup'!$A40,Visits!$U$2:$U$89,"&lt;3/28/24")</f>
        <v>0</v>
      </c>
      <c r="L42">
        <f t="shared" si="8"/>
        <v>0</v>
      </c>
      <c r="M42">
        <f t="shared" si="9"/>
        <v>1</v>
      </c>
      <c r="N42">
        <f t="shared" si="10"/>
        <v>0</v>
      </c>
      <c r="O42" s="5">
        <f>SUMIF(Visits!$E$2:$E$89,'Manual Cleanup'!$A42,Visits!$L$2:$L$89)</f>
        <v>20</v>
      </c>
      <c r="P42" s="5">
        <f>SUMIFS(Visits!$L$2:$L$89,Visits!$E$2:$E$89,'Manual Cleanup'!$A42,Visits!$U$2:$U$89,"&gt;3/28/24")</f>
        <v>20</v>
      </c>
      <c r="Q42" s="19">
        <f t="shared" si="11"/>
        <v>10</v>
      </c>
      <c r="R42" s="19">
        <f t="shared" si="12"/>
        <v>10</v>
      </c>
    </row>
    <row r="43" spans="1:18" x14ac:dyDescent="0.2">
      <c r="A43" t="s">
        <v>166</v>
      </c>
      <c r="B43" t="str">
        <f>INDEX(Visits!$A$1:$X$338,MATCH('Manual Cleanup'!$A43,Visits!$E$1:$E$338,0),MATCH('Manual Cleanup'!B$1,Visits!$A$1:$X$1,0))</f>
        <v>zinab</v>
      </c>
      <c r="C43" t="str">
        <f>INDEX(Visits!$A$1:$X$338,MATCH('Manual Cleanup'!$A43,Visits!$E$1:$E$338,0),MATCH('Manual Cleanup'!C$1,Visits!$A$1:$X$1,0))</f>
        <v>al ramathany</v>
      </c>
      <c r="G43" s="1" t="e" cm="1">
        <f t="array" ref="G43">MAX(_xlfn._xlws.FILTER(Visits!U:U,Visits!P:P='Manual Cleanup'!A43))</f>
        <v>#N/A</v>
      </c>
      <c r="H43">
        <f>COUNTIF(Visits!$E$2:$E$89,'Manual Cleanup'!$A43)</f>
        <v>2</v>
      </c>
      <c r="I43">
        <f>COUNTIFS(Visits!$E$2:$E$89,'Manual Cleanup'!$A41,Visits!$U$2:$U$89,"&gt;4/20/24")</f>
        <v>0</v>
      </c>
      <c r="J43" s="25">
        <f>COUNTIFS(Visits!$E$2:$E$89,'Manual Cleanup'!$A43,Visits!$U$2:$U$89,"&gt;3/28/24")</f>
        <v>0</v>
      </c>
      <c r="K43">
        <f>COUNTIFS(Visits!$E$2:$E$89,'Manual Cleanup'!$A41,Visits!$U$2:$U$89,"&lt;3/28/24")</f>
        <v>0</v>
      </c>
      <c r="L43">
        <f t="shared" si="8"/>
        <v>0</v>
      </c>
      <c r="M43">
        <f t="shared" si="9"/>
        <v>0</v>
      </c>
      <c r="N43">
        <f t="shared" si="10"/>
        <v>0</v>
      </c>
      <c r="O43" s="5">
        <f>SUMIF(Visits!$E$2:$E$89,'Manual Cleanup'!$A43,Visits!$L$2:$L$89)</f>
        <v>15</v>
      </c>
      <c r="P43" s="5">
        <f>SUMIFS(Visits!$L$2:$L$89,Visits!$E$2:$E$89,'Manual Cleanup'!$A43,Visits!$U$2:$U$89,"&gt;3/28/24")</f>
        <v>0</v>
      </c>
      <c r="Q43" s="19">
        <f t="shared" si="11"/>
        <v>7.5</v>
      </c>
      <c r="R43" s="19" t="str">
        <f t="shared" si="12"/>
        <v>n/a</v>
      </c>
    </row>
    <row r="44" spans="1:18" x14ac:dyDescent="0.2">
      <c r="A44" t="s">
        <v>167</v>
      </c>
      <c r="B44" t="str">
        <f>INDEX(Visits!$A$1:$X$338,MATCH('Manual Cleanup'!$A44,Visits!$E$1:$E$338,0),MATCH('Manual Cleanup'!B$1,Visits!$A$1:$X$1,0))</f>
        <v>Win</v>
      </c>
      <c r="C44" t="str">
        <f>INDEX(Visits!$A$1:$X$338,MATCH('Manual Cleanup'!$A44,Visits!$E$1:$E$338,0),MATCH('Manual Cleanup'!C$1,Visits!$A$1:$X$1,0))</f>
        <v>Man</v>
      </c>
      <c r="G44" s="1" t="e" cm="1">
        <f t="array" ref="G44">MAX(_xlfn._xlws.FILTER(Visits!U:U,Visits!P:P='Manual Cleanup'!A44))</f>
        <v>#N/A</v>
      </c>
      <c r="H44">
        <f>COUNTIF(Visits!$E$2:$E$89,'Manual Cleanup'!$A44)</f>
        <v>1</v>
      </c>
      <c r="I44">
        <f>COUNTIFS(Visits!$E$2:$E$89,'Manual Cleanup'!$A42,Visits!$U$2:$U$89,"&gt;4/20/24")</f>
        <v>0</v>
      </c>
      <c r="J44" s="25">
        <f>COUNTIFS(Visits!$E$2:$E$89,'Manual Cleanup'!$A44,Visits!$U$2:$U$89,"&gt;3/28/24")</f>
        <v>0</v>
      </c>
      <c r="K44">
        <f>COUNTIFS(Visits!$E$2:$E$89,'Manual Cleanup'!$A42,Visits!$U$2:$U$89,"&lt;3/28/24")</f>
        <v>0</v>
      </c>
      <c r="L44">
        <f t="shared" si="8"/>
        <v>0</v>
      </c>
      <c r="M44">
        <f t="shared" si="9"/>
        <v>0</v>
      </c>
      <c r="N44">
        <f t="shared" si="10"/>
        <v>0</v>
      </c>
      <c r="O44" s="5">
        <f>SUMIF(Visits!$E$2:$E$89,'Manual Cleanup'!$A44,Visits!$L$2:$L$89)</f>
        <v>15</v>
      </c>
      <c r="P44" s="5">
        <f>SUMIFS(Visits!$L$2:$L$89,Visits!$E$2:$E$89,'Manual Cleanup'!$A44,Visits!$U$2:$U$89,"&gt;3/28/24")</f>
        <v>0</v>
      </c>
      <c r="Q44" s="19">
        <f t="shared" si="11"/>
        <v>15</v>
      </c>
      <c r="R44" s="19" t="str">
        <f t="shared" si="12"/>
        <v>n/a</v>
      </c>
    </row>
    <row r="45" spans="1:18" x14ac:dyDescent="0.2">
      <c r="A45" t="s">
        <v>168</v>
      </c>
      <c r="B45" t="str">
        <f>INDEX(Visits!$A$1:$X$338,MATCH('Manual Cleanup'!$A45,Visits!$E$1:$E$338,0),MATCH('Manual Cleanup'!B$1,Visits!$A$1:$X$1,0))</f>
        <v>Elena</v>
      </c>
      <c r="C45" t="str">
        <f>INDEX(Visits!$A$1:$X$338,MATCH('Manual Cleanup'!$A45,Visits!$E$1:$E$338,0),MATCH('Manual Cleanup'!C$1,Visits!$A$1:$X$1,0))</f>
        <v>Kuvshinnikova</v>
      </c>
      <c r="G45" s="1" t="e" cm="1">
        <f t="array" ref="G45">MAX(_xlfn._xlws.FILTER(Visits!U:U,Visits!P:P='Manual Cleanup'!A45))</f>
        <v>#N/A</v>
      </c>
      <c r="H45">
        <f>COUNTIF(Visits!$E$2:$E$89,'Manual Cleanup'!$A45)</f>
        <v>1</v>
      </c>
      <c r="I45">
        <f>COUNTIFS(Visits!$E$2:$E$89,'Manual Cleanup'!$A43,Visits!$U$2:$U$89,"&gt;4/20/24")</f>
        <v>0</v>
      </c>
      <c r="J45" s="25">
        <f>COUNTIFS(Visits!$E$2:$E$89,'Manual Cleanup'!$A45,Visits!$U$2:$U$89,"&gt;3/28/24")</f>
        <v>0</v>
      </c>
      <c r="K45">
        <f>COUNTIFS(Visits!$E$2:$E$89,'Manual Cleanup'!$A43,Visits!$U$2:$U$89,"&lt;3/28/24")</f>
        <v>0</v>
      </c>
      <c r="L45">
        <f t="shared" si="8"/>
        <v>0</v>
      </c>
      <c r="M45">
        <f t="shared" si="9"/>
        <v>0</v>
      </c>
      <c r="N45">
        <f t="shared" si="10"/>
        <v>0</v>
      </c>
      <c r="O45" s="5">
        <f>SUMIF(Visits!$E$2:$E$89,'Manual Cleanup'!$A45,Visits!$L$2:$L$89)</f>
        <v>15</v>
      </c>
      <c r="P45" s="5">
        <f>SUMIFS(Visits!$L$2:$L$89,Visits!$E$2:$E$89,'Manual Cleanup'!$A45,Visits!$U$2:$U$89,"&gt;3/28/24")</f>
        <v>0</v>
      </c>
      <c r="Q45" s="19">
        <f t="shared" si="11"/>
        <v>15</v>
      </c>
      <c r="R45" s="19" t="str">
        <f t="shared" si="12"/>
        <v>n/a</v>
      </c>
    </row>
    <row r="46" spans="1:18" x14ac:dyDescent="0.2">
      <c r="A46" t="s">
        <v>169</v>
      </c>
      <c r="B46" t="str">
        <f>INDEX(Visits!$A$1:$X$338,MATCH('Manual Cleanup'!$A46,Visits!$E$1:$E$338,0),MATCH('Manual Cleanup'!B$1,Visits!$A$1:$X$1,0))</f>
        <v>Yasemin</v>
      </c>
      <c r="C46" t="str">
        <f>INDEX(Visits!$A$1:$X$338,MATCH('Manual Cleanup'!$A46,Visits!$E$1:$E$338,0),MATCH('Manual Cleanup'!C$1,Visits!$A$1:$X$1,0))</f>
        <v>Mermer</v>
      </c>
      <c r="G46" s="1" t="e" cm="1">
        <f t="array" ref="G46">MAX(_xlfn._xlws.FILTER(Visits!U:U,Visits!P:P='Manual Cleanup'!A46))</f>
        <v>#N/A</v>
      </c>
      <c r="H46">
        <f>COUNTIF(Visits!$E$2:$E$89,'Manual Cleanup'!$A46)</f>
        <v>1</v>
      </c>
      <c r="I46">
        <f>COUNTIFS(Visits!$E$2:$E$89,'Manual Cleanup'!$A44,Visits!$U$2:$U$89,"&gt;4/20/24")</f>
        <v>0</v>
      </c>
      <c r="J46" s="25">
        <f>COUNTIFS(Visits!$E$2:$E$89,'Manual Cleanup'!$A46,Visits!$U$2:$U$89,"&gt;3/28/24")</f>
        <v>0</v>
      </c>
      <c r="K46">
        <f>COUNTIFS(Visits!$E$2:$E$89,'Manual Cleanup'!$A44,Visits!$U$2:$U$89,"&lt;3/28/24")</f>
        <v>0</v>
      </c>
      <c r="L46">
        <f t="shared" si="8"/>
        <v>0</v>
      </c>
      <c r="M46">
        <f t="shared" si="9"/>
        <v>0</v>
      </c>
      <c r="N46">
        <f t="shared" si="10"/>
        <v>0</v>
      </c>
      <c r="O46" s="5">
        <f>SUMIF(Visits!$E$2:$E$89,'Manual Cleanup'!$A46,Visits!$L$2:$L$89)</f>
        <v>15</v>
      </c>
      <c r="P46" s="5">
        <f>SUMIFS(Visits!$L$2:$L$89,Visits!$E$2:$E$89,'Manual Cleanup'!$A46,Visits!$U$2:$U$89,"&gt;3/28/24")</f>
        <v>0</v>
      </c>
      <c r="Q46" s="19">
        <f t="shared" si="11"/>
        <v>15</v>
      </c>
      <c r="R46" s="19" t="str">
        <f t="shared" si="12"/>
        <v>n/a</v>
      </c>
    </row>
    <row r="47" spans="1:18" x14ac:dyDescent="0.2">
      <c r="A47" t="s">
        <v>170</v>
      </c>
      <c r="B47" t="str">
        <f>INDEX(Visits!$A$1:$X$338,MATCH('Manual Cleanup'!$A47,Visits!$E$1:$E$338,0),MATCH('Manual Cleanup'!B$1,Visits!$A$1:$X$1,0))</f>
        <v>Alina</v>
      </c>
      <c r="C47" t="str">
        <f>INDEX(Visits!$A$1:$X$338,MATCH('Manual Cleanup'!$A47,Visits!$E$1:$E$338,0),MATCH('Manual Cleanup'!C$1,Visits!$A$1:$X$1,0))</f>
        <v>Galimova</v>
      </c>
      <c r="G47" s="1" t="e" cm="1">
        <f t="array" ref="G47">MAX(_xlfn._xlws.FILTER(Visits!U:U,Visits!P:P='Manual Cleanup'!A47))</f>
        <v>#N/A</v>
      </c>
      <c r="H47">
        <f>COUNTIF(Visits!$E$2:$E$89,'Manual Cleanup'!$A47)</f>
        <v>1</v>
      </c>
      <c r="I47">
        <f>COUNTIFS(Visits!$E$2:$E$89,'Manual Cleanup'!$A45,Visits!$U$2:$U$89,"&gt;4/20/24")</f>
        <v>0</v>
      </c>
      <c r="J47" s="25">
        <f>COUNTIFS(Visits!$E$2:$E$89,'Manual Cleanup'!$A47,Visits!$U$2:$U$89,"&gt;3/28/24")</f>
        <v>0</v>
      </c>
      <c r="K47">
        <f>COUNTIFS(Visits!$E$2:$E$89,'Manual Cleanup'!$A45,Visits!$U$2:$U$89,"&lt;3/28/24")</f>
        <v>0</v>
      </c>
      <c r="L47">
        <f t="shared" si="8"/>
        <v>0</v>
      </c>
      <c r="M47">
        <f t="shared" si="9"/>
        <v>0</v>
      </c>
      <c r="N47">
        <f t="shared" si="10"/>
        <v>0</v>
      </c>
      <c r="O47" s="5">
        <f>SUMIF(Visits!$E$2:$E$89,'Manual Cleanup'!$A47,Visits!$L$2:$L$89)</f>
        <v>10</v>
      </c>
      <c r="P47" s="5">
        <f>SUMIFS(Visits!$L$2:$L$89,Visits!$E$2:$E$89,'Manual Cleanup'!$A47,Visits!$U$2:$U$89,"&gt;3/28/24")</f>
        <v>0</v>
      </c>
      <c r="Q47" s="19">
        <f t="shared" si="11"/>
        <v>10</v>
      </c>
      <c r="R47" s="19" t="str">
        <f t="shared" si="12"/>
        <v>n/a</v>
      </c>
    </row>
    <row r="48" spans="1:18" x14ac:dyDescent="0.2">
      <c r="A48" t="s">
        <v>171</v>
      </c>
      <c r="B48" t="str">
        <f>INDEX(Visits!$A$1:$X$338,MATCH('Manual Cleanup'!$A48,Visits!$E$1:$E$338,0),MATCH('Manual Cleanup'!B$1,Visits!$A$1:$X$1,0))</f>
        <v>Egemen</v>
      </c>
      <c r="C48" t="str">
        <f>INDEX(Visits!$A$1:$X$338,MATCH('Manual Cleanup'!$A48,Visits!$E$1:$E$338,0),MATCH('Manual Cleanup'!C$1,Visits!$A$1:$X$1,0))</f>
        <v>U</v>
      </c>
      <c r="G48" s="1" t="e" cm="1">
        <f t="array" ref="G48">MAX(_xlfn._xlws.FILTER(Visits!U:U,Visits!P:P='Manual Cleanup'!A48))</f>
        <v>#N/A</v>
      </c>
      <c r="H48">
        <f>COUNTIF(Visits!$E$2:$E$89,'Manual Cleanup'!$A48)</f>
        <v>1</v>
      </c>
      <c r="I48">
        <f>COUNTIFS(Visits!$E$2:$E$89,'Manual Cleanup'!$A47,Visits!$U$2:$U$89,"&gt;4/20/24")</f>
        <v>0</v>
      </c>
      <c r="J48" s="25">
        <f>COUNTIFS(Visits!$E$2:$E$89,'Manual Cleanup'!$A48,Visits!$U$2:$U$89,"&gt;3/28/24")</f>
        <v>0</v>
      </c>
      <c r="K48">
        <f>COUNTIFS(Visits!$E$2:$E$89,'Manual Cleanup'!$A47,Visits!$U$2:$U$89,"&lt;3/28/24")</f>
        <v>0</v>
      </c>
      <c r="L48">
        <f t="shared" si="8"/>
        <v>0</v>
      </c>
      <c r="M48">
        <f t="shared" si="9"/>
        <v>0</v>
      </c>
      <c r="N48">
        <f t="shared" si="10"/>
        <v>0</v>
      </c>
      <c r="O48" s="5">
        <f>SUMIF(Visits!$E$2:$E$89,'Manual Cleanup'!$A48,Visits!$L$2:$L$89)</f>
        <v>10</v>
      </c>
      <c r="P48" s="5">
        <f>SUMIFS(Visits!$L$2:$L$89,Visits!$E$2:$E$89,'Manual Cleanup'!$A48,Visits!$U$2:$U$89,"&gt;3/28/24")</f>
        <v>0</v>
      </c>
      <c r="Q48" s="19">
        <f t="shared" si="11"/>
        <v>10</v>
      </c>
      <c r="R48" s="19" t="str">
        <f t="shared" si="12"/>
        <v>n/a</v>
      </c>
    </row>
    <row r="49" spans="1:18" x14ac:dyDescent="0.2">
      <c r="A49" t="s">
        <v>172</v>
      </c>
      <c r="B49" t="str">
        <f>INDEX(Visits!$A$1:$X$338,MATCH('Manual Cleanup'!$A49,Visits!$E$1:$E$338,0),MATCH('Manual Cleanup'!B$1,Visits!$A$1:$X$1,0))</f>
        <v>Andrew</v>
      </c>
      <c r="C49" t="str">
        <f>INDEX(Visits!$A$1:$X$338,MATCH('Manual Cleanup'!$A49,Visits!$E$1:$E$338,0),MATCH('Manual Cleanup'!C$1,Visits!$A$1:$X$1,0))</f>
        <v>Hetherington</v>
      </c>
      <c r="G49" s="1" t="e" cm="1">
        <f t="array" ref="G49">MAX(_xlfn._xlws.FILTER(Visits!U:U,Visits!P:P='Manual Cleanup'!A49))</f>
        <v>#N/A</v>
      </c>
      <c r="H49">
        <f>COUNTIF(Visits!$E$2:$E$89,'Manual Cleanup'!$A49)</f>
        <v>1</v>
      </c>
      <c r="I49">
        <f>COUNTIFS(Visits!$E$2:$E$89,'Manual Cleanup'!$A49,Visits!$U$2:$U$89,"&gt;4/20/24")</f>
        <v>0</v>
      </c>
      <c r="J49" s="25">
        <f>COUNTIFS(Visits!$E$2:$E$89,'Manual Cleanup'!$A49,Visits!$U$2:$U$89,"&gt;3/28/24")</f>
        <v>0</v>
      </c>
      <c r="K49">
        <f>COUNTIFS(Visits!$E$2:$E$89,'Manual Cleanup'!$A49,Visits!$U$2:$U$89,"&lt;3/28/24")</f>
        <v>0</v>
      </c>
      <c r="L49">
        <f t="shared" si="8"/>
        <v>0</v>
      </c>
      <c r="M49">
        <f t="shared" si="9"/>
        <v>0</v>
      </c>
      <c r="N49">
        <f t="shared" si="10"/>
        <v>0</v>
      </c>
      <c r="O49" s="5">
        <f>SUMIF(Visits!$E$2:$E$89,'Manual Cleanup'!$A49,Visits!$L$2:$L$89)</f>
        <v>27</v>
      </c>
      <c r="P49" s="5">
        <f>SUMIFS(Visits!$L$2:$L$89,Visits!$E$2:$E$89,'Manual Cleanup'!$A49,Visits!$U$2:$U$89,"&gt;3/28/24")</f>
        <v>0</v>
      </c>
      <c r="Q49" s="19">
        <f t="shared" si="11"/>
        <v>27</v>
      </c>
      <c r="R49" s="19" t="str">
        <f t="shared" si="12"/>
        <v>n/a</v>
      </c>
    </row>
    <row r="50" spans="1:18" x14ac:dyDescent="0.2">
      <c r="A50" t="s">
        <v>173</v>
      </c>
      <c r="B50" t="str">
        <f>INDEX(Visits!$A$1:$X$338,MATCH('Manual Cleanup'!$A50,Visits!$E$1:$E$338,0),MATCH('Manual Cleanup'!B$1,Visits!$A$1:$X$1,0))</f>
        <v>T H</v>
      </c>
      <c r="C50" t="str">
        <f>INDEX(Visits!$A$1:$X$338,MATCH('Manual Cleanup'!$A50,Visits!$E$1:$E$338,0),MATCH('Manual Cleanup'!C$1,Visits!$A$1:$X$1,0))</f>
        <v>Saville</v>
      </c>
      <c r="G50" s="1" t="e" cm="1">
        <f t="array" ref="G50">MAX(_xlfn._xlws.FILTER(Visits!U:U,Visits!P:P='Manual Cleanup'!A50))</f>
        <v>#N/A</v>
      </c>
      <c r="H50">
        <f>COUNTIF(Visits!$E$2:$E$89,'Manual Cleanup'!$A50)</f>
        <v>1</v>
      </c>
      <c r="I50">
        <f>COUNTIFS(Visits!$E$2:$E$89,'Manual Cleanup'!$A50,Visits!$U$2:$U$89,"&gt;4/20/24")</f>
        <v>0</v>
      </c>
      <c r="J50" s="25">
        <f>COUNTIFS(Visits!$E$2:$E$89,'Manual Cleanup'!$A50,Visits!$U$2:$U$89,"&gt;3/28/24")</f>
        <v>0</v>
      </c>
      <c r="K50">
        <f>COUNTIFS(Visits!$E$2:$E$89,'Manual Cleanup'!$A50,Visits!$U$2:$U$89,"&lt;3/28/24")</f>
        <v>0</v>
      </c>
      <c r="L50">
        <f t="shared" si="8"/>
        <v>0</v>
      </c>
      <c r="M50">
        <f t="shared" si="9"/>
        <v>0</v>
      </c>
      <c r="N50">
        <f t="shared" si="10"/>
        <v>0</v>
      </c>
      <c r="O50" s="5">
        <f>SUMIF(Visits!$E$2:$E$89,'Manual Cleanup'!$A50,Visits!$L$2:$L$89)</f>
        <v>27</v>
      </c>
      <c r="P50" s="5">
        <f>SUMIFS(Visits!$L$2:$L$89,Visits!$E$2:$E$89,'Manual Cleanup'!$A50,Visits!$U$2:$U$89,"&gt;3/28/24")</f>
        <v>0</v>
      </c>
      <c r="Q50" s="19">
        <f t="shared" si="11"/>
        <v>27</v>
      </c>
      <c r="R50" s="19" t="str">
        <f t="shared" si="12"/>
        <v>n/a</v>
      </c>
    </row>
    <row r="51" spans="1:18" x14ac:dyDescent="0.2">
      <c r="A51" t="s">
        <v>174</v>
      </c>
      <c r="B51" t="str">
        <f>INDEX(Visits!$A$1:$X$338,MATCH('Manual Cleanup'!$A51,Visits!$E$1:$E$338,0),MATCH('Manual Cleanup'!B$1,Visits!$A$1:$X$1,0))</f>
        <v>Pragyapti</v>
      </c>
      <c r="C51" t="str">
        <f>INDEX(Visits!$A$1:$X$338,MATCH('Manual Cleanup'!$A51,Visits!$E$1:$E$338,0),MATCH('Manual Cleanup'!C$1,Visits!$A$1:$X$1,0))</f>
        <v>Bhandari</v>
      </c>
      <c r="G51" s="1" t="e" cm="1">
        <f t="array" ref="G51">MAX(_xlfn._xlws.FILTER(Visits!U:U,Visits!P:P='Manual Cleanup'!A51))</f>
        <v>#N/A</v>
      </c>
      <c r="H51">
        <f>COUNTIF(Visits!$E$2:$E$89,'Manual Cleanup'!$A51)</f>
        <v>1</v>
      </c>
      <c r="I51">
        <f>COUNTIFS(Visits!$E$2:$E$89,'Manual Cleanup'!$A51,Visits!$U$2:$U$89,"&gt;4/20/24")</f>
        <v>0</v>
      </c>
      <c r="J51" s="25">
        <f>COUNTIFS(Visits!$E$2:$E$89,'Manual Cleanup'!$A51,Visits!$U$2:$U$89,"&gt;3/28/24")</f>
        <v>0</v>
      </c>
      <c r="K51">
        <f>COUNTIFS(Visits!$E$2:$E$89,'Manual Cleanup'!$A51,Visits!$U$2:$U$89,"&lt;3/28/24")</f>
        <v>0</v>
      </c>
      <c r="L51">
        <f t="shared" si="8"/>
        <v>0</v>
      </c>
      <c r="M51">
        <f t="shared" si="9"/>
        <v>0</v>
      </c>
      <c r="N51">
        <f t="shared" si="10"/>
        <v>0</v>
      </c>
      <c r="O51" s="5">
        <f>SUMIF(Visits!$E$2:$E$89,'Manual Cleanup'!$A51,Visits!$L$2:$L$89)</f>
        <v>27</v>
      </c>
      <c r="P51" s="5">
        <f>SUMIFS(Visits!$L$2:$L$89,Visits!$E$2:$E$89,'Manual Cleanup'!$A51,Visits!$U$2:$U$89,"&gt;3/28/24")</f>
        <v>0</v>
      </c>
      <c r="Q51" s="19">
        <f t="shared" si="11"/>
        <v>27</v>
      </c>
      <c r="R51" s="19" t="str">
        <f t="shared" si="12"/>
        <v>n/a</v>
      </c>
    </row>
    <row r="52" spans="1:18" x14ac:dyDescent="0.2">
      <c r="A52" t="s">
        <v>175</v>
      </c>
      <c r="B52" t="str">
        <f>INDEX(Visits!$A$1:$X$338,MATCH('Manual Cleanup'!$A52,Visits!$E$1:$E$338,0),MATCH('Manual Cleanup'!B$1,Visits!$A$1:$X$1,0))</f>
        <v>Matthew</v>
      </c>
      <c r="C52" t="str">
        <f>INDEX(Visits!$A$1:$X$338,MATCH('Manual Cleanup'!$A52,Visits!$E$1:$E$338,0),MATCH('Manual Cleanup'!C$1,Visits!$A$1:$X$1,0))</f>
        <v>Watts</v>
      </c>
      <c r="G52" s="1" t="e" cm="1">
        <f t="array" ref="G52">MAX(_xlfn._xlws.FILTER(Visits!U:U,Visits!P:P='Manual Cleanup'!A52))</f>
        <v>#N/A</v>
      </c>
      <c r="H52">
        <f>COUNTIF(Visits!$E$2:$E$89,'Manual Cleanup'!$A52)</f>
        <v>1</v>
      </c>
      <c r="I52">
        <f>COUNTIFS(Visits!$E$2:$E$89,'Manual Cleanup'!$A52,Visits!$U$2:$U$89,"&gt;4/20/24")</f>
        <v>0</v>
      </c>
      <c r="J52" s="25">
        <f>COUNTIFS(Visits!$E$2:$E$89,'Manual Cleanup'!$A52,Visits!$U$2:$U$89,"&gt;3/28/24")</f>
        <v>0</v>
      </c>
      <c r="K52">
        <f>COUNTIFS(Visits!$E$2:$E$89,'Manual Cleanup'!$A52,Visits!$U$2:$U$89,"&lt;3/28/24")</f>
        <v>0</v>
      </c>
      <c r="L52">
        <f t="shared" si="8"/>
        <v>0</v>
      </c>
      <c r="M52">
        <f t="shared" si="9"/>
        <v>0</v>
      </c>
      <c r="N52">
        <f t="shared" si="10"/>
        <v>0</v>
      </c>
      <c r="O52" s="5">
        <f>SUMIF(Visits!$E$2:$E$89,'Manual Cleanup'!$A52,Visits!$L$2:$L$89)</f>
        <v>15</v>
      </c>
      <c r="P52" s="5">
        <f>SUMIFS(Visits!$L$2:$L$89,Visits!$E$2:$E$89,'Manual Cleanup'!$A52,Visits!$U$2:$U$89,"&gt;3/28/24")</f>
        <v>0</v>
      </c>
      <c r="Q52" s="19">
        <f t="shared" si="11"/>
        <v>15</v>
      </c>
      <c r="R52" s="19" t="str">
        <f t="shared" si="12"/>
        <v>n/a</v>
      </c>
    </row>
    <row r="53" spans="1:18" x14ac:dyDescent="0.2">
      <c r="A53" t="s">
        <v>176</v>
      </c>
      <c r="B53" t="str">
        <f>INDEX(Visits!$A$1:$X$338,MATCH('Manual Cleanup'!$A53,Visits!$E$1:$E$338,0),MATCH('Manual Cleanup'!B$1,Visits!$A$1:$X$1,0))</f>
        <v>Jinish</v>
      </c>
      <c r="C53" t="str">
        <f>INDEX(Visits!$A$1:$X$338,MATCH('Manual Cleanup'!$A53,Visits!$E$1:$E$338,0),MATCH('Manual Cleanup'!C$1,Visits!$A$1:$X$1,0))</f>
        <v>Gohil</v>
      </c>
      <c r="G53" s="1" t="e" cm="1">
        <f t="array" ref="G53">MAX(_xlfn._xlws.FILTER(Visits!U:U,Visits!P:P='Manual Cleanup'!A53))</f>
        <v>#N/A</v>
      </c>
      <c r="H53">
        <f>COUNTIF(Visits!$E$2:$E$89,'Manual Cleanup'!$A53)</f>
        <v>1</v>
      </c>
      <c r="I53">
        <f>COUNTIFS(Visits!$E$2:$E$89,'Manual Cleanup'!$A53,Visits!$U$2:$U$89,"&gt;4/20/24")</f>
        <v>0</v>
      </c>
      <c r="J53" s="25">
        <f>COUNTIFS(Visits!$E$2:$E$89,'Manual Cleanup'!$A53,Visits!$U$2:$U$89,"&gt;3/28/24")</f>
        <v>0</v>
      </c>
      <c r="K53">
        <f>COUNTIFS(Visits!$E$2:$E$89,'Manual Cleanup'!$A53,Visits!$U$2:$U$89,"&lt;3/28/24")</f>
        <v>0</v>
      </c>
      <c r="L53">
        <f t="shared" si="8"/>
        <v>0</v>
      </c>
      <c r="M53">
        <f t="shared" si="9"/>
        <v>0</v>
      </c>
      <c r="N53">
        <f t="shared" si="10"/>
        <v>0</v>
      </c>
      <c r="O53" s="5">
        <f>SUMIF(Visits!$E$2:$E$89,'Manual Cleanup'!$A53,Visits!$L$2:$L$89)</f>
        <v>15</v>
      </c>
      <c r="P53" s="5">
        <f>SUMIFS(Visits!$L$2:$L$89,Visits!$E$2:$E$89,'Manual Cleanup'!$A53,Visits!$U$2:$U$89,"&gt;3/28/24")</f>
        <v>0</v>
      </c>
      <c r="Q53" s="19">
        <f t="shared" si="11"/>
        <v>15</v>
      </c>
      <c r="R53" s="19" t="str">
        <f t="shared" si="12"/>
        <v>n/a</v>
      </c>
    </row>
    <row r="54" spans="1:18" x14ac:dyDescent="0.2">
      <c r="A54" t="s">
        <v>177</v>
      </c>
      <c r="B54" t="str">
        <f>INDEX(Visits!$A$1:$X$338,MATCH('Manual Cleanup'!$A54,Visits!$E$1:$E$338,0),MATCH('Manual Cleanup'!B$1,Visits!$A$1:$X$1,0))</f>
        <v>Jing</v>
      </c>
      <c r="C54" t="str">
        <f>INDEX(Visits!$A$1:$X$338,MATCH('Manual Cleanup'!$A54,Visits!$E$1:$E$338,0),MATCH('Manual Cleanup'!C$1,Visits!$A$1:$X$1,0))</f>
        <v>Zhang</v>
      </c>
      <c r="G54" s="1" t="e" cm="1">
        <f t="array" ref="G54">MAX(_xlfn._xlws.FILTER(Visits!U:U,Visits!P:P='Manual Cleanup'!A54))</f>
        <v>#N/A</v>
      </c>
      <c r="H54">
        <f>COUNTIF(Visits!$E$2:$E$89,'Manual Cleanup'!$A54)</f>
        <v>1</v>
      </c>
      <c r="I54">
        <f>COUNTIFS(Visits!$E$2:$E$89,'Manual Cleanup'!$A54,Visits!$U$2:$U$89,"&gt;4/20/24")</f>
        <v>0</v>
      </c>
      <c r="J54" s="25">
        <f>COUNTIFS(Visits!$E$2:$E$89,'Manual Cleanup'!$A54,Visits!$U$2:$U$89,"&gt;3/28/24")</f>
        <v>0</v>
      </c>
      <c r="K54">
        <f>COUNTIFS(Visits!$E$2:$E$89,'Manual Cleanup'!$A54,Visits!$U$2:$U$89,"&lt;3/28/24")</f>
        <v>0</v>
      </c>
      <c r="L54">
        <f t="shared" si="8"/>
        <v>0</v>
      </c>
      <c r="M54">
        <f t="shared" si="9"/>
        <v>0</v>
      </c>
      <c r="N54">
        <f t="shared" si="10"/>
        <v>0</v>
      </c>
      <c r="O54" s="5">
        <f>SUMIF(Visits!$E$2:$E$89,'Manual Cleanup'!$A54,Visits!$L$2:$L$89)</f>
        <v>10</v>
      </c>
      <c r="P54" s="5">
        <f>SUMIFS(Visits!$L$2:$L$89,Visits!$E$2:$E$89,'Manual Cleanup'!$A54,Visits!$U$2:$U$89,"&gt;3/28/24")</f>
        <v>0</v>
      </c>
      <c r="Q54" s="19">
        <f t="shared" si="11"/>
        <v>10</v>
      </c>
      <c r="R54" s="19" t="str">
        <f t="shared" si="12"/>
        <v>n/a</v>
      </c>
    </row>
    <row r="55" spans="1:18" x14ac:dyDescent="0.2">
      <c r="A55" t="s">
        <v>178</v>
      </c>
      <c r="B55" t="str">
        <f>INDEX(Visits!$A$1:$X$338,MATCH('Manual Cleanup'!$A55,Visits!$E$1:$E$338,0),MATCH('Manual Cleanup'!B$1,Visits!$A$1:$X$1,0))</f>
        <v>Serena</v>
      </c>
      <c r="C55" t="str">
        <f>INDEX(Visits!$A$1:$X$338,MATCH('Manual Cleanup'!$A55,Visits!$E$1:$E$338,0),MATCH('Manual Cleanup'!C$1,Visits!$A$1:$X$1,0))</f>
        <v>Or</v>
      </c>
      <c r="E55" t="s">
        <v>117</v>
      </c>
      <c r="G55" s="1" t="e" cm="1">
        <f t="array" ref="G55">MAX(_xlfn._xlws.FILTER(Visits!U:U,Visits!P:P='Manual Cleanup'!A55))</f>
        <v>#N/A</v>
      </c>
      <c r="H55">
        <f>COUNTIF(Visits!$E$2:$E$89,'Manual Cleanup'!$A55)</f>
        <v>1</v>
      </c>
      <c r="I55">
        <f>COUNTIFS(Visits!$E$2:$E$89,'Manual Cleanup'!$A55,Visits!$U$2:$U$89,"&gt;4/20/24")</f>
        <v>0</v>
      </c>
      <c r="J55" s="25">
        <f>COUNTIFS(Visits!$E$2:$E$89,'Manual Cleanup'!$A55,Visits!$U$2:$U$89,"&gt;3/28/24")</f>
        <v>0</v>
      </c>
      <c r="K55">
        <f>COUNTIFS(Visits!$E$2:$E$89,'Manual Cleanup'!$A55,Visits!$U$2:$U$89,"&lt;3/28/24")</f>
        <v>0</v>
      </c>
      <c r="L55">
        <f t="shared" si="8"/>
        <v>0</v>
      </c>
      <c r="M55">
        <f t="shared" si="9"/>
        <v>0</v>
      </c>
      <c r="N55">
        <f t="shared" si="10"/>
        <v>0</v>
      </c>
      <c r="O55" s="5">
        <f>SUMIF(Visits!$E$2:$E$89,'Manual Cleanup'!$A55,Visits!$L$2:$L$89)</f>
        <v>5</v>
      </c>
      <c r="P55" s="5">
        <f>SUMIFS(Visits!$L$2:$L$89,Visits!$E$2:$E$89,'Manual Cleanup'!$A55,Visits!$U$2:$U$89,"&gt;3/28/24")</f>
        <v>0</v>
      </c>
      <c r="Q55" s="19">
        <f t="shared" si="11"/>
        <v>5</v>
      </c>
      <c r="R55" s="19" t="str">
        <f t="shared" si="12"/>
        <v>n/a</v>
      </c>
    </row>
    <row r="56" spans="1:18" x14ac:dyDescent="0.2">
      <c r="A56">
        <v>0</v>
      </c>
      <c r="G56" s="1"/>
      <c r="H56"/>
      <c r="I56"/>
      <c r="K56"/>
      <c r="L56"/>
      <c r="M56"/>
      <c r="N56"/>
      <c r="Q56" s="19"/>
      <c r="R56" s="19"/>
    </row>
    <row r="57" spans="1:18" x14ac:dyDescent="0.2">
      <c r="G57" s="1"/>
      <c r="H57"/>
      <c r="I57"/>
      <c r="J57" s="25" t="s">
        <v>118</v>
      </c>
      <c r="K57"/>
      <c r="L57"/>
      <c r="M57"/>
      <c r="N57"/>
      <c r="O57">
        <f>SUM(O2:O5,O17)</f>
        <v>202.5</v>
      </c>
      <c r="P57">
        <f>SUM(H2:H5,H17)</f>
        <v>17</v>
      </c>
      <c r="Q57">
        <f>SUM(J2:J5,J17)</f>
        <v>11</v>
      </c>
    </row>
    <row r="58" spans="1:18" x14ac:dyDescent="0.2">
      <c r="G58" s="1"/>
      <c r="H58"/>
      <c r="I58"/>
      <c r="J58" s="25" t="s">
        <v>179</v>
      </c>
      <c r="K58"/>
      <c r="L58"/>
      <c r="M58"/>
      <c r="N58"/>
      <c r="O58">
        <f>O57/5</f>
        <v>40.5</v>
      </c>
      <c r="P58" s="24">
        <f>O57/P57</f>
        <v>11.911764705882353</v>
      </c>
      <c r="Q58"/>
    </row>
    <row r="59" spans="1:18" x14ac:dyDescent="0.2">
      <c r="G59" s="1"/>
      <c r="H59"/>
      <c r="I59"/>
      <c r="O59" s="5">
        <f>SUM(P2:P5,P17)</f>
        <v>117.5</v>
      </c>
      <c r="P59"/>
      <c r="Q59">
        <f>O59/Q57</f>
        <v>10.681818181818182</v>
      </c>
    </row>
    <row r="60" spans="1:18" x14ac:dyDescent="0.2">
      <c r="G60" s="1"/>
      <c r="H60"/>
      <c r="I60"/>
      <c r="O60" s="5">
        <f>O59/5</f>
        <v>23.5</v>
      </c>
      <c r="P60"/>
      <c r="Q60"/>
    </row>
    <row r="61" spans="1:18" x14ac:dyDescent="0.2">
      <c r="G61" s="1"/>
      <c r="H61"/>
      <c r="I61"/>
      <c r="K61"/>
      <c r="L61"/>
      <c r="M61"/>
      <c r="N61"/>
      <c r="O61"/>
      <c r="P61"/>
      <c r="Q61"/>
    </row>
    <row r="62" spans="1:18" x14ac:dyDescent="0.2">
      <c r="G62" s="1"/>
      <c r="H62"/>
      <c r="I62"/>
      <c r="J62" s="25" t="s">
        <v>123</v>
      </c>
      <c r="K62"/>
      <c r="L62"/>
      <c r="M62"/>
      <c r="N62"/>
      <c r="O62">
        <f>SUM(O6:O13)</f>
        <v>224.5</v>
      </c>
      <c r="P62">
        <f>SUM(H6:H13)</f>
        <v>18</v>
      </c>
      <c r="Q62">
        <f>SUM(J6:J13)</f>
        <v>7</v>
      </c>
    </row>
    <row r="63" spans="1:18" x14ac:dyDescent="0.2">
      <c r="G63" s="1"/>
      <c r="H63"/>
      <c r="I63"/>
      <c r="J63" s="25" t="s">
        <v>180</v>
      </c>
      <c r="K63"/>
      <c r="L63"/>
      <c r="M63"/>
      <c r="N63"/>
      <c r="O63">
        <f>O62/7</f>
        <v>32.071428571428569</v>
      </c>
      <c r="P63">
        <f>O62/P62</f>
        <v>12.472222222222221</v>
      </c>
      <c r="Q63"/>
    </row>
    <row r="64" spans="1:18" x14ac:dyDescent="0.2">
      <c r="G64" s="1"/>
      <c r="H64"/>
      <c r="I64"/>
      <c r="K64"/>
      <c r="L64"/>
      <c r="M64"/>
      <c r="N64"/>
      <c r="O64">
        <f>SUM(P6:P13)</f>
        <v>47.5</v>
      </c>
      <c r="P64"/>
      <c r="Q64">
        <f>O64/Q62</f>
        <v>6.7857142857142856</v>
      </c>
    </row>
    <row r="65" spans="1:17" x14ac:dyDescent="0.2">
      <c r="G65" s="1"/>
      <c r="H65"/>
      <c r="I65"/>
      <c r="K65"/>
      <c r="L65"/>
      <c r="M65"/>
      <c r="N65"/>
      <c r="O65">
        <f>O64/7</f>
        <v>6.7857142857142856</v>
      </c>
      <c r="P65"/>
      <c r="Q65"/>
    </row>
    <row r="66" spans="1:17" x14ac:dyDescent="0.2">
      <c r="G66" s="1"/>
      <c r="H66"/>
      <c r="I66"/>
      <c r="K66"/>
      <c r="L66"/>
      <c r="M66"/>
      <c r="N66"/>
      <c r="O66"/>
      <c r="P66"/>
      <c r="Q66"/>
    </row>
    <row r="67" spans="1:17" x14ac:dyDescent="0.2">
      <c r="G67" s="1"/>
      <c r="H67">
        <f>AVERAGE(H2:H55)</f>
        <v>1.5925925925925926</v>
      </c>
      <c r="I67"/>
      <c r="J67" s="25">
        <f>AVERAGE(J2:J55)</f>
        <v>0.81481481481481477</v>
      </c>
      <c r="K67"/>
      <c r="L67"/>
      <c r="M67"/>
      <c r="N67"/>
      <c r="O67"/>
      <c r="P67"/>
      <c r="Q67"/>
    </row>
    <row r="68" spans="1:17" x14ac:dyDescent="0.2">
      <c r="G68" s="1"/>
      <c r="H68"/>
      <c r="I68"/>
      <c r="J68" s="25">
        <f>COUNTIF(J2:J55,"&gt;1")</f>
        <v>11</v>
      </c>
      <c r="K68"/>
      <c r="L68"/>
      <c r="M68"/>
      <c r="N68"/>
      <c r="O68"/>
      <c r="P68"/>
      <c r="Q68"/>
    </row>
    <row r="69" spans="1:17" x14ac:dyDescent="0.2">
      <c r="A69" s="2"/>
      <c r="G69" s="1"/>
      <c r="H69"/>
      <c r="I69"/>
      <c r="J69" s="25">
        <f>J68/56</f>
        <v>0.19642857142857142</v>
      </c>
      <c r="K69"/>
      <c r="L69"/>
      <c r="M69"/>
      <c r="N69"/>
      <c r="O69"/>
      <c r="P69"/>
      <c r="Q69"/>
    </row>
    <row r="70" spans="1:17" x14ac:dyDescent="0.2">
      <c r="G70" s="1"/>
      <c r="H70"/>
      <c r="I70"/>
      <c r="J70" s="25">
        <f>7/56</f>
        <v>0.125</v>
      </c>
      <c r="K70"/>
      <c r="L70"/>
      <c r="M70"/>
      <c r="N70"/>
      <c r="O70"/>
      <c r="P70"/>
      <c r="Q70"/>
    </row>
    <row r="71" spans="1:17" x14ac:dyDescent="0.2">
      <c r="G71" s="1"/>
      <c r="H71"/>
      <c r="I71"/>
      <c r="K71"/>
      <c r="L71"/>
      <c r="M71"/>
      <c r="N71"/>
      <c r="O71"/>
      <c r="P71"/>
      <c r="Q71"/>
    </row>
    <row r="72" spans="1:17" x14ac:dyDescent="0.2">
      <c r="G72" s="1"/>
      <c r="H72"/>
      <c r="I72"/>
      <c r="K72"/>
      <c r="L72"/>
      <c r="M72"/>
      <c r="N72"/>
      <c r="O72"/>
      <c r="P72"/>
      <c r="Q72"/>
    </row>
    <row r="73" spans="1:17" x14ac:dyDescent="0.2">
      <c r="G73" s="1"/>
      <c r="H73"/>
      <c r="I73"/>
      <c r="K73"/>
      <c r="L73"/>
      <c r="M73"/>
      <c r="N73"/>
      <c r="O73"/>
      <c r="P73"/>
      <c r="Q73"/>
    </row>
    <row r="74" spans="1:17" x14ac:dyDescent="0.2">
      <c r="G74" s="1"/>
      <c r="H74"/>
      <c r="I74"/>
      <c r="K74"/>
      <c r="L74"/>
      <c r="M74"/>
      <c r="N74"/>
      <c r="O74"/>
      <c r="P74"/>
      <c r="Q74"/>
    </row>
    <row r="75" spans="1:17" x14ac:dyDescent="0.2">
      <c r="G75" s="1"/>
      <c r="H75"/>
      <c r="I75"/>
      <c r="K75"/>
      <c r="L75"/>
      <c r="M75"/>
      <c r="N75"/>
      <c r="O75"/>
      <c r="P75"/>
      <c r="Q75"/>
    </row>
    <row r="76" spans="1:17" x14ac:dyDescent="0.2">
      <c r="G76" s="1"/>
      <c r="H76"/>
      <c r="I76"/>
      <c r="K76"/>
      <c r="L76"/>
      <c r="M76"/>
      <c r="N76"/>
      <c r="O76"/>
      <c r="P76"/>
      <c r="Q76"/>
    </row>
    <row r="77" spans="1:17" x14ac:dyDescent="0.2">
      <c r="G77" s="1"/>
      <c r="H77"/>
      <c r="I77"/>
      <c r="K77"/>
      <c r="L77"/>
      <c r="M77"/>
      <c r="N77"/>
      <c r="O77"/>
      <c r="P77"/>
      <c r="Q77"/>
    </row>
    <row r="78" spans="1:17" x14ac:dyDescent="0.2">
      <c r="G78" s="1"/>
      <c r="H78"/>
      <c r="I78"/>
      <c r="K78"/>
      <c r="L78"/>
      <c r="M78"/>
      <c r="N78"/>
      <c r="O78"/>
      <c r="P78"/>
      <c r="Q78"/>
    </row>
    <row r="79" spans="1:17" x14ac:dyDescent="0.2">
      <c r="G79" s="1"/>
      <c r="H79"/>
      <c r="I79"/>
      <c r="K79"/>
      <c r="L79"/>
      <c r="M79"/>
      <c r="N79"/>
      <c r="O79"/>
      <c r="P79"/>
      <c r="Q79"/>
    </row>
    <row r="80" spans="1:17" x14ac:dyDescent="0.2">
      <c r="G80" s="1"/>
      <c r="H80"/>
      <c r="I80"/>
      <c r="K80"/>
      <c r="L80"/>
      <c r="M80"/>
      <c r="N80"/>
      <c r="O80"/>
      <c r="P80"/>
      <c r="Q80"/>
    </row>
    <row r="81" spans="7:17" x14ac:dyDescent="0.2">
      <c r="G81" s="1"/>
      <c r="H81"/>
      <c r="I81"/>
      <c r="K81"/>
      <c r="L81"/>
      <c r="M81"/>
      <c r="N81"/>
      <c r="O81"/>
      <c r="P81"/>
      <c r="Q81"/>
    </row>
    <row r="82" spans="7:17" x14ac:dyDescent="0.2">
      <c r="G82" s="1"/>
      <c r="H82"/>
      <c r="I82"/>
      <c r="K82"/>
      <c r="L82"/>
      <c r="M82"/>
      <c r="N82"/>
      <c r="O82"/>
      <c r="P82"/>
      <c r="Q82"/>
    </row>
    <row r="83" spans="7:17" x14ac:dyDescent="0.2">
      <c r="G83" s="1"/>
      <c r="H83"/>
      <c r="I83"/>
      <c r="K83"/>
      <c r="L83"/>
      <c r="M83"/>
      <c r="N83"/>
      <c r="O83"/>
      <c r="P83"/>
      <c r="Q83"/>
    </row>
    <row r="84" spans="7:17" x14ac:dyDescent="0.2">
      <c r="G84" s="1"/>
      <c r="H84"/>
      <c r="I84"/>
      <c r="K84"/>
      <c r="L84"/>
      <c r="M84"/>
      <c r="N84"/>
      <c r="O84"/>
      <c r="P84"/>
      <c r="Q84"/>
    </row>
    <row r="85" spans="7:17" x14ac:dyDescent="0.2">
      <c r="G85" s="1"/>
      <c r="H85"/>
      <c r="I85"/>
      <c r="K85"/>
      <c r="L85"/>
      <c r="M85"/>
      <c r="N85"/>
      <c r="O85"/>
      <c r="P85"/>
      <c r="Q85"/>
    </row>
    <row r="86" spans="7:17" x14ac:dyDescent="0.2">
      <c r="G86" s="1"/>
      <c r="H86"/>
      <c r="I86"/>
      <c r="K86"/>
      <c r="L86"/>
      <c r="M86"/>
      <c r="N86"/>
      <c r="O86"/>
      <c r="P86"/>
      <c r="Q86"/>
    </row>
    <row r="87" spans="7:17" x14ac:dyDescent="0.2">
      <c r="G87" s="1"/>
      <c r="H87"/>
      <c r="I87"/>
      <c r="K87"/>
      <c r="L87"/>
      <c r="M87"/>
      <c r="N87"/>
      <c r="O87"/>
      <c r="P87"/>
      <c r="Q87"/>
    </row>
    <row r="88" spans="7:17" x14ac:dyDescent="0.2">
      <c r="G88" s="1"/>
      <c r="H88"/>
      <c r="I88"/>
      <c r="K88"/>
      <c r="L88"/>
      <c r="M88"/>
      <c r="N88"/>
      <c r="O88"/>
      <c r="P88"/>
      <c r="Q88"/>
    </row>
    <row r="89" spans="7:17" x14ac:dyDescent="0.2">
      <c r="G89" s="1"/>
      <c r="H89"/>
      <c r="I89"/>
      <c r="K89"/>
      <c r="L89"/>
      <c r="M89"/>
      <c r="N89"/>
      <c r="O89"/>
      <c r="P89"/>
      <c r="Q89"/>
    </row>
    <row r="90" spans="7:17" x14ac:dyDescent="0.2">
      <c r="G90" s="1"/>
      <c r="H90"/>
      <c r="I90"/>
      <c r="K90"/>
      <c r="L90"/>
      <c r="M90"/>
      <c r="N90"/>
      <c r="O90"/>
      <c r="P90"/>
      <c r="Q90"/>
    </row>
    <row r="91" spans="7:17" x14ac:dyDescent="0.2">
      <c r="G91" s="1"/>
      <c r="H91"/>
      <c r="I91"/>
      <c r="K91"/>
      <c r="L91"/>
      <c r="M91"/>
      <c r="N91"/>
      <c r="O91"/>
      <c r="P91"/>
      <c r="Q91"/>
    </row>
    <row r="92" spans="7:17" x14ac:dyDescent="0.2">
      <c r="G92" s="1"/>
      <c r="H92"/>
      <c r="I92"/>
      <c r="K92"/>
      <c r="L92"/>
      <c r="M92"/>
      <c r="N92"/>
      <c r="O92"/>
      <c r="P92"/>
      <c r="Q92"/>
    </row>
    <row r="93" spans="7:17" x14ac:dyDescent="0.2">
      <c r="G93" s="1"/>
      <c r="H93"/>
      <c r="I93"/>
      <c r="K93"/>
      <c r="L93"/>
      <c r="M93"/>
      <c r="N93"/>
      <c r="O93"/>
      <c r="P93"/>
      <c r="Q93"/>
    </row>
    <row r="94" spans="7:17" x14ac:dyDescent="0.2">
      <c r="G94" s="1"/>
      <c r="H94"/>
      <c r="I94"/>
      <c r="K94"/>
      <c r="L94"/>
      <c r="M94"/>
      <c r="N94"/>
      <c r="O94"/>
      <c r="P94"/>
      <c r="Q94"/>
    </row>
    <row r="95" spans="7:17" x14ac:dyDescent="0.2">
      <c r="G95" s="1"/>
      <c r="H95"/>
      <c r="I95"/>
      <c r="K95"/>
      <c r="L95"/>
      <c r="M95"/>
      <c r="N95"/>
      <c r="O95"/>
      <c r="P95"/>
      <c r="Q95"/>
    </row>
    <row r="96" spans="7:17" x14ac:dyDescent="0.2">
      <c r="G96" s="1"/>
      <c r="H96"/>
      <c r="I96"/>
      <c r="K96"/>
      <c r="L96"/>
      <c r="M96"/>
      <c r="N96"/>
      <c r="O96"/>
      <c r="P96"/>
      <c r="Q96"/>
    </row>
    <row r="97" spans="7:17" x14ac:dyDescent="0.2">
      <c r="G97" s="1"/>
      <c r="H97"/>
      <c r="I97"/>
      <c r="K97"/>
      <c r="L97"/>
      <c r="M97"/>
      <c r="N97"/>
      <c r="O97"/>
      <c r="P97"/>
      <c r="Q97"/>
    </row>
    <row r="98" spans="7:17" x14ac:dyDescent="0.2">
      <c r="G98" s="1"/>
      <c r="H98"/>
      <c r="I98"/>
      <c r="K98"/>
      <c r="L98"/>
      <c r="M98"/>
      <c r="N98"/>
      <c r="O98"/>
      <c r="P98"/>
      <c r="Q98"/>
    </row>
    <row r="99" spans="7:17" x14ac:dyDescent="0.2">
      <c r="G99" s="1"/>
      <c r="H99"/>
      <c r="I99"/>
      <c r="K99"/>
      <c r="L99"/>
      <c r="M99"/>
      <c r="N99"/>
      <c r="O99"/>
      <c r="P99"/>
      <c r="Q99"/>
    </row>
    <row r="100" spans="7:17" x14ac:dyDescent="0.2">
      <c r="G100" s="1"/>
      <c r="H100"/>
      <c r="I100"/>
      <c r="K100"/>
      <c r="L100"/>
      <c r="M100"/>
      <c r="N100"/>
      <c r="O100"/>
      <c r="P100"/>
      <c r="Q100"/>
    </row>
    <row r="101" spans="7:17" x14ac:dyDescent="0.2">
      <c r="G101" s="1"/>
      <c r="Q101" s="5">
        <f ca="1">SUMIFS(Visits!L:L,Visits!E:E,'Manual Cleanup'!A101,Visits!U:U,"&gt;"&amp;(TODAY()-30))</f>
        <v>0</v>
      </c>
    </row>
    <row r="102" spans="7:17" x14ac:dyDescent="0.2">
      <c r="G102" s="1"/>
      <c r="Q102" s="5">
        <f ca="1">SUMIFS(Visits!L:L,Visits!E:E,'Manual Cleanup'!A102,Visits!U:U,"&gt;"&amp;(TODAY()-30))</f>
        <v>0</v>
      </c>
    </row>
    <row r="103" spans="7:17" x14ac:dyDescent="0.2">
      <c r="G103" s="1"/>
      <c r="Q103" s="5">
        <f ca="1">SUMIFS(Visits!L:L,Visits!E:E,'Manual Cleanup'!A103,Visits!U:U,"&gt;"&amp;(TODAY()-30))</f>
        <v>0</v>
      </c>
    </row>
    <row r="104" spans="7:17" x14ac:dyDescent="0.2">
      <c r="G104" s="1"/>
      <c r="H104"/>
      <c r="I104"/>
      <c r="K104"/>
      <c r="L104"/>
      <c r="M104"/>
      <c r="N104"/>
      <c r="O104"/>
      <c r="P104"/>
      <c r="Q104"/>
    </row>
    <row r="105" spans="7:17" x14ac:dyDescent="0.2">
      <c r="G105" s="1"/>
      <c r="H105"/>
      <c r="I105"/>
      <c r="K105"/>
      <c r="L105"/>
      <c r="M105"/>
      <c r="N105"/>
      <c r="O105"/>
      <c r="P105"/>
      <c r="Q105"/>
    </row>
    <row r="106" spans="7:17" x14ac:dyDescent="0.2">
      <c r="G106" s="1"/>
      <c r="H106"/>
      <c r="I106"/>
      <c r="K106"/>
      <c r="L106"/>
      <c r="M106"/>
      <c r="N106"/>
      <c r="O106"/>
      <c r="P106"/>
      <c r="Q106"/>
    </row>
    <row r="107" spans="7:17" x14ac:dyDescent="0.2">
      <c r="G107" s="1"/>
      <c r="Q107" s="5">
        <f ca="1">SUMIFS(Visits!L:L,Visits!E:E,'Manual Cleanup'!A107,Visits!U:U,"&gt;"&amp;(TODAY()-30))</f>
        <v>0</v>
      </c>
    </row>
    <row r="108" spans="7:17" x14ac:dyDescent="0.2">
      <c r="G108" s="1"/>
      <c r="Q108" s="5">
        <f ca="1">SUMIFS(Visits!L:L,Visits!E:E,'Manual Cleanup'!A108,Visits!U:U,"&gt;"&amp;(TODAY()-30))</f>
        <v>0</v>
      </c>
    </row>
    <row r="109" spans="7:17" x14ac:dyDescent="0.2">
      <c r="G109" s="1"/>
      <c r="Q109" s="5">
        <f ca="1">SUMIFS(Visits!L:L,Visits!E:E,'Manual Cleanup'!A109,Visits!U:U,"&gt;"&amp;(TODAY()-30))</f>
        <v>0</v>
      </c>
    </row>
    <row r="110" spans="7:17" x14ac:dyDescent="0.2">
      <c r="G110" s="1"/>
      <c r="H110"/>
      <c r="I110"/>
      <c r="K110"/>
      <c r="L110"/>
      <c r="M110"/>
      <c r="N110"/>
      <c r="O110"/>
      <c r="P110"/>
      <c r="Q110"/>
    </row>
    <row r="111" spans="7:17" x14ac:dyDescent="0.2">
      <c r="G111" s="1"/>
      <c r="H111"/>
      <c r="I111"/>
      <c r="K111"/>
      <c r="L111"/>
      <c r="M111"/>
      <c r="N111"/>
      <c r="O111"/>
      <c r="P111"/>
      <c r="Q111"/>
    </row>
    <row r="112" spans="7:17" x14ac:dyDescent="0.2">
      <c r="G112" s="1"/>
      <c r="H112"/>
      <c r="I112"/>
      <c r="K112"/>
      <c r="L112"/>
      <c r="M112"/>
      <c r="N112"/>
      <c r="O112"/>
      <c r="P112"/>
      <c r="Q112"/>
    </row>
    <row r="113" spans="7:17" x14ac:dyDescent="0.2">
      <c r="G113" s="1"/>
      <c r="H113"/>
      <c r="I113"/>
      <c r="K113"/>
      <c r="L113"/>
      <c r="M113"/>
      <c r="N113"/>
      <c r="O113"/>
      <c r="P113"/>
      <c r="Q113"/>
    </row>
    <row r="114" spans="7:17" x14ac:dyDescent="0.2">
      <c r="G114" s="1"/>
      <c r="H114"/>
      <c r="I114"/>
      <c r="K114"/>
      <c r="L114"/>
      <c r="M114"/>
      <c r="N114"/>
      <c r="O114"/>
      <c r="P114"/>
      <c r="Q114"/>
    </row>
    <row r="115" spans="7:17" x14ac:dyDescent="0.2">
      <c r="G115" s="1"/>
      <c r="H115"/>
      <c r="I115"/>
      <c r="K115"/>
      <c r="L115"/>
      <c r="M115"/>
      <c r="N115"/>
      <c r="O115"/>
      <c r="P115"/>
      <c r="Q115"/>
    </row>
    <row r="116" spans="7:17" x14ac:dyDescent="0.2">
      <c r="G116" s="1"/>
      <c r="H116"/>
      <c r="I116"/>
      <c r="K116"/>
      <c r="L116"/>
      <c r="M116"/>
      <c r="N116"/>
      <c r="O116"/>
      <c r="P116"/>
      <c r="Q116"/>
    </row>
    <row r="117" spans="7:17" x14ac:dyDescent="0.2">
      <c r="G117" s="1"/>
      <c r="H117"/>
      <c r="I117"/>
      <c r="K117"/>
      <c r="L117"/>
      <c r="M117"/>
      <c r="N117"/>
      <c r="O117"/>
      <c r="P117"/>
      <c r="Q117"/>
    </row>
    <row r="118" spans="7:17" x14ac:dyDescent="0.2">
      <c r="G118" s="1"/>
      <c r="H118"/>
      <c r="I118"/>
      <c r="K118"/>
      <c r="L118"/>
      <c r="M118"/>
      <c r="N118"/>
      <c r="O118"/>
      <c r="P118"/>
      <c r="Q118"/>
    </row>
    <row r="119" spans="7:17" x14ac:dyDescent="0.2">
      <c r="G119" s="1"/>
      <c r="H119"/>
      <c r="I119"/>
      <c r="K119"/>
      <c r="L119"/>
      <c r="M119"/>
      <c r="N119"/>
      <c r="O119"/>
      <c r="P119"/>
      <c r="Q119"/>
    </row>
    <row r="120" spans="7:17" x14ac:dyDescent="0.2">
      <c r="G120" s="1"/>
      <c r="H120"/>
      <c r="I120"/>
      <c r="K120"/>
      <c r="L120"/>
      <c r="M120"/>
      <c r="N120"/>
      <c r="O120"/>
      <c r="P120"/>
      <c r="Q120"/>
    </row>
    <row r="121" spans="7:17" x14ac:dyDescent="0.2">
      <c r="G121" s="1"/>
      <c r="H121"/>
      <c r="I121"/>
      <c r="K121"/>
      <c r="L121"/>
      <c r="M121"/>
      <c r="N121"/>
      <c r="O121"/>
      <c r="P121"/>
      <c r="Q121"/>
    </row>
    <row r="122" spans="7:17" x14ac:dyDescent="0.2">
      <c r="G122" s="1"/>
      <c r="H122"/>
      <c r="I122"/>
      <c r="K122"/>
      <c r="L122"/>
      <c r="M122"/>
      <c r="N122"/>
      <c r="O122"/>
      <c r="P122"/>
      <c r="Q122"/>
    </row>
    <row r="123" spans="7:17" x14ac:dyDescent="0.2">
      <c r="G123" s="1"/>
      <c r="H123"/>
      <c r="I123"/>
      <c r="K123"/>
      <c r="L123"/>
      <c r="M123"/>
      <c r="N123"/>
      <c r="O123"/>
      <c r="P123"/>
      <c r="Q123"/>
    </row>
    <row r="124" spans="7:17" x14ac:dyDescent="0.2">
      <c r="G124" s="1"/>
      <c r="H124"/>
      <c r="I124"/>
      <c r="K124"/>
      <c r="L124"/>
      <c r="M124"/>
      <c r="N124"/>
      <c r="O124"/>
      <c r="P124"/>
      <c r="Q124"/>
    </row>
    <row r="125" spans="7:17" x14ac:dyDescent="0.2">
      <c r="G125" s="1"/>
      <c r="H125"/>
      <c r="I125"/>
      <c r="K125"/>
      <c r="L125"/>
      <c r="M125"/>
      <c r="N125"/>
      <c r="O125"/>
      <c r="P125"/>
      <c r="Q125"/>
    </row>
    <row r="126" spans="7:17" x14ac:dyDescent="0.2">
      <c r="G126" s="1"/>
      <c r="H126"/>
      <c r="I126"/>
      <c r="K126"/>
      <c r="L126"/>
      <c r="M126"/>
      <c r="N126"/>
      <c r="O126"/>
      <c r="P126"/>
      <c r="Q126"/>
    </row>
    <row r="127" spans="7:17" x14ac:dyDescent="0.2">
      <c r="G127" s="1"/>
      <c r="H127"/>
      <c r="I127"/>
      <c r="K127"/>
      <c r="L127"/>
      <c r="M127"/>
      <c r="N127"/>
      <c r="O127"/>
      <c r="P127"/>
      <c r="Q127"/>
    </row>
    <row r="128" spans="7:17" x14ac:dyDescent="0.2">
      <c r="G128" s="1"/>
      <c r="Q128" s="5">
        <f ca="1">SUMIFS(Visits!L:L,Visits!E:E,'Manual Cleanup'!A128,Visits!U:U,"&gt;"&amp;(TODAY()-30))</f>
        <v>0</v>
      </c>
    </row>
    <row r="129" spans="7:17" x14ac:dyDescent="0.2">
      <c r="G129" s="1"/>
      <c r="Q129" s="5">
        <f ca="1">SUMIFS(Visits!L:L,Visits!E:E,'Manual Cleanup'!A129,Visits!U:U,"&gt;"&amp;(TODAY()-30))</f>
        <v>0</v>
      </c>
    </row>
    <row r="130" spans="7:17" x14ac:dyDescent="0.2">
      <c r="G130" s="1"/>
      <c r="Q130" s="5">
        <f ca="1">SUMIFS(Visits!L:L,Visits!E:E,'Manual Cleanup'!A130,Visits!U:U,"&gt;"&amp;(TODAY()-30))</f>
        <v>0</v>
      </c>
    </row>
    <row r="131" spans="7:17" x14ac:dyDescent="0.2">
      <c r="G131" s="1"/>
      <c r="Q131" s="5">
        <f ca="1">SUMIFS(Visits!L:L,Visits!E:E,'Manual Cleanup'!A131,Visits!U:U,"&gt;"&amp;(TODAY()-30))</f>
        <v>0</v>
      </c>
    </row>
    <row r="132" spans="7:17" x14ac:dyDescent="0.2">
      <c r="G132" s="1"/>
      <c r="Q132" s="5">
        <f ca="1">SUMIFS(Visits!L:L,Visits!E:E,'Manual Cleanup'!A132,Visits!U:U,"&gt;"&amp;(TODAY()-30))</f>
        <v>0</v>
      </c>
    </row>
    <row r="133" spans="7:17" x14ac:dyDescent="0.2">
      <c r="G133" s="1"/>
      <c r="Q133" s="5">
        <f ca="1">SUMIFS(Visits!L:L,Visits!E:E,'Manual Cleanup'!A133,Visits!U:U,"&gt;"&amp;(TODAY()-30))</f>
        <v>0</v>
      </c>
    </row>
    <row r="134" spans="7:17" x14ac:dyDescent="0.2">
      <c r="G134" s="1"/>
      <c r="Q134" s="5">
        <f ca="1">SUMIFS(Visits!L:L,Visits!E:E,'Manual Cleanup'!A134,Visits!U:U,"&gt;"&amp;(TODAY()-30))</f>
        <v>0</v>
      </c>
    </row>
    <row r="135" spans="7:17" x14ac:dyDescent="0.2">
      <c r="G135" s="1"/>
      <c r="Q135" s="5">
        <f ca="1">SUMIFS(Visits!L:L,Visits!E:E,'Manual Cleanup'!A135,Visits!U:U,"&gt;"&amp;(TODAY()-30))</f>
        <v>0</v>
      </c>
    </row>
    <row r="136" spans="7:17" x14ac:dyDescent="0.2">
      <c r="G136" s="1"/>
      <c r="Q136" s="5">
        <f ca="1">SUMIFS(Visits!L:L,Visits!E:E,'Manual Cleanup'!A136,Visits!U:U,"&gt;"&amp;(TODAY()-30))</f>
        <v>0</v>
      </c>
    </row>
    <row r="137" spans="7:17" x14ac:dyDescent="0.2">
      <c r="G137" s="1"/>
      <c r="Q137" s="5">
        <f ca="1">SUMIFS(Visits!L:L,Visits!E:E,'Manual Cleanup'!A137,Visits!U:U,"&gt;"&amp;(TODAY()-30))</f>
        <v>0</v>
      </c>
    </row>
    <row r="138" spans="7:17" x14ac:dyDescent="0.2">
      <c r="G138" s="1"/>
      <c r="Q138" s="5">
        <f ca="1">SUMIFS(Visits!L:L,Visits!E:E,'Manual Cleanup'!A138,Visits!U:U,"&gt;"&amp;(TODAY()-30))</f>
        <v>0</v>
      </c>
    </row>
    <row r="139" spans="7:17" x14ac:dyDescent="0.2">
      <c r="G139" s="1"/>
      <c r="Q139" s="5">
        <f ca="1">SUMIFS(Visits!L:L,Visits!E:E,'Manual Cleanup'!A139,Visits!U:U,"&gt;"&amp;(TODAY()-30))</f>
        <v>0</v>
      </c>
    </row>
    <row r="140" spans="7:17" x14ac:dyDescent="0.2">
      <c r="G140" s="1"/>
      <c r="Q140" s="5">
        <f ca="1">SUMIFS(Visits!L:L,Visits!E:E,'Manual Cleanup'!A140,Visits!U:U,"&gt;"&amp;(TODAY()-30))</f>
        <v>0</v>
      </c>
    </row>
    <row r="141" spans="7:17" x14ac:dyDescent="0.2">
      <c r="G141" s="1"/>
      <c r="Q141" s="5">
        <f ca="1">SUMIFS(Visits!L:L,Visits!E:E,'Manual Cleanup'!A141,Visits!U:U,"&gt;"&amp;(TODAY()-30))</f>
        <v>0</v>
      </c>
    </row>
    <row r="142" spans="7:17" x14ac:dyDescent="0.2">
      <c r="G142" s="1"/>
      <c r="Q142" s="5">
        <f ca="1">SUMIFS(Visits!L:L,Visits!E:E,'Manual Cleanup'!A142,Visits!U:U,"&gt;"&amp;(TODAY()-30))</f>
        <v>0</v>
      </c>
    </row>
    <row r="143" spans="7:17" x14ac:dyDescent="0.2">
      <c r="G143" s="1"/>
      <c r="Q143" s="5">
        <f ca="1">SUMIFS(Visits!L:L,Visits!E:E,'Manual Cleanup'!A143,Visits!U:U,"&gt;"&amp;(TODAY()-30))</f>
        <v>0</v>
      </c>
    </row>
    <row r="144" spans="7:17" x14ac:dyDescent="0.2">
      <c r="G144" s="1"/>
      <c r="Q144" s="5">
        <f ca="1">SUMIFS(Visits!L:L,Visits!E:E,'Manual Cleanup'!A144,Visits!U:U,"&gt;"&amp;(TODAY()-30))</f>
        <v>0</v>
      </c>
    </row>
    <row r="145" spans="7:17" x14ac:dyDescent="0.2">
      <c r="G145" s="1"/>
      <c r="Q145" s="5">
        <f ca="1">SUMIFS(Visits!L:L,Visits!E:E,'Manual Cleanup'!A145,Visits!U:U,"&gt;"&amp;(TODAY()-30))</f>
        <v>0</v>
      </c>
    </row>
    <row r="146" spans="7:17" x14ac:dyDescent="0.2">
      <c r="G146" s="1"/>
      <c r="Q146" s="5">
        <f ca="1">SUMIFS(Visits!L:L,Visits!E:E,'Manual Cleanup'!A146,Visits!U:U,"&gt;"&amp;(TODAY()-30))</f>
        <v>0</v>
      </c>
    </row>
    <row r="147" spans="7:17" x14ac:dyDescent="0.2">
      <c r="G147" s="1"/>
      <c r="Q147" s="5">
        <f ca="1">SUMIFS(Visits!L:L,Visits!E:E,'Manual Cleanup'!A147,Visits!U:U,"&gt;"&amp;(TODAY()-30))</f>
        <v>0</v>
      </c>
    </row>
    <row r="148" spans="7:17" x14ac:dyDescent="0.2">
      <c r="G148" s="1"/>
      <c r="Q148" s="5">
        <f ca="1">SUMIFS(Visits!L:L,Visits!E:E,'Manual Cleanup'!A148,Visits!U:U,"&gt;"&amp;(TODAY()-30))</f>
        <v>0</v>
      </c>
    </row>
    <row r="149" spans="7:17" x14ac:dyDescent="0.2">
      <c r="G149" s="1"/>
      <c r="Q149" s="5">
        <f ca="1">SUMIFS(Visits!L:L,Visits!E:E,'Manual Cleanup'!A149,Visits!U:U,"&gt;"&amp;(TODAY()-30))</f>
        <v>0</v>
      </c>
    </row>
    <row r="150" spans="7:17" x14ac:dyDescent="0.2">
      <c r="G150" s="1"/>
      <c r="Q150" s="5">
        <f ca="1">SUMIFS(Visits!L:L,Visits!E:E,'Manual Cleanup'!A150,Visits!U:U,"&gt;"&amp;(TODAY()-30))</f>
        <v>0</v>
      </c>
    </row>
    <row r="151" spans="7:17" x14ac:dyDescent="0.2">
      <c r="G151" s="1"/>
      <c r="Q151" s="5">
        <f ca="1">SUMIFS(Visits!L:L,Visits!E:E,'Manual Cleanup'!A151,Visits!U:U,"&gt;"&amp;(TODAY()-30))</f>
        <v>0</v>
      </c>
    </row>
    <row r="152" spans="7:17" x14ac:dyDescent="0.2">
      <c r="G152" s="1"/>
      <c r="Q152" s="5">
        <f ca="1">SUMIFS(Visits!L:L,Visits!E:E,'Manual Cleanup'!A152,Visits!U:U,"&gt;"&amp;(TODAY()-30))</f>
        <v>0</v>
      </c>
    </row>
    <row r="153" spans="7:17" x14ac:dyDescent="0.2">
      <c r="G153" s="1"/>
      <c r="Q153" s="5">
        <f ca="1">SUMIFS(Visits!L:L,Visits!E:E,'Manual Cleanup'!A153,Visits!U:U,"&gt;"&amp;(TODAY()-30))</f>
        <v>0</v>
      </c>
    </row>
    <row r="154" spans="7:17" x14ac:dyDescent="0.2">
      <c r="G154" s="1"/>
      <c r="Q154" s="5">
        <f ca="1">SUMIFS(Visits!L:L,Visits!E:E,'Manual Cleanup'!A154,Visits!U:U,"&gt;"&amp;(TODAY()-30))</f>
        <v>0</v>
      </c>
    </row>
    <row r="155" spans="7:17" x14ac:dyDescent="0.2">
      <c r="G155" s="1"/>
      <c r="Q155" s="5">
        <f ca="1">SUMIFS(Visits!L:L,Visits!E:E,'Manual Cleanup'!A155,Visits!U:U,"&gt;"&amp;(TODAY()-30))</f>
        <v>0</v>
      </c>
    </row>
    <row r="156" spans="7:17" x14ac:dyDescent="0.2">
      <c r="G156" s="1"/>
      <c r="Q156" s="5">
        <f ca="1">SUMIFS(Visits!L:L,Visits!E:E,'Manual Cleanup'!A156,Visits!U:U,"&gt;"&amp;(TODAY()-30))</f>
        <v>0</v>
      </c>
    </row>
    <row r="157" spans="7:17" x14ac:dyDescent="0.2">
      <c r="G157" s="1"/>
      <c r="Q157" s="5">
        <f ca="1">SUMIFS(Visits!L:L,Visits!E:E,'Manual Cleanup'!A157,Visits!U:U,"&gt;"&amp;(TODAY()-30))</f>
        <v>0</v>
      </c>
    </row>
    <row r="158" spans="7:17" x14ac:dyDescent="0.2">
      <c r="G158" s="1"/>
      <c r="Q158" s="5">
        <f ca="1">SUMIFS(Visits!L:L,Visits!E:E,'Manual Cleanup'!A158,Visits!U:U,"&gt;"&amp;(TODAY()-30))</f>
        <v>0</v>
      </c>
    </row>
    <row r="159" spans="7:17" x14ac:dyDescent="0.2">
      <c r="G159" s="1"/>
      <c r="Q159" s="5">
        <f ca="1">SUMIFS(Visits!L:L,Visits!E:E,'Manual Cleanup'!A159,Visits!U:U,"&gt;"&amp;(TODAY()-30))</f>
        <v>0</v>
      </c>
    </row>
    <row r="160" spans="7:17" x14ac:dyDescent="0.2">
      <c r="G160" s="1"/>
      <c r="Q160" s="5">
        <f ca="1">SUMIFS(Visits!L:L,Visits!E:E,'Manual Cleanup'!A160,Visits!U:U,"&gt;"&amp;(TODAY()-30))</f>
        <v>0</v>
      </c>
    </row>
    <row r="161" spans="7:17" x14ac:dyDescent="0.2">
      <c r="G161" s="1"/>
      <c r="Q161" s="5">
        <f ca="1">SUMIFS(Visits!L:L,Visits!E:E,'Manual Cleanup'!A161,Visits!U:U,"&gt;"&amp;(TODAY()-30))</f>
        <v>0</v>
      </c>
    </row>
    <row r="162" spans="7:17" x14ac:dyDescent="0.2">
      <c r="G162" s="1"/>
      <c r="Q162" s="5">
        <f ca="1">SUMIFS(Visits!L:L,Visits!E:E,'Manual Cleanup'!A162,Visits!U:U,"&gt;"&amp;(TODAY()-30))</f>
        <v>0</v>
      </c>
    </row>
    <row r="163" spans="7:17" x14ac:dyDescent="0.2">
      <c r="G163" s="1"/>
      <c r="Q163" s="5">
        <f ca="1">SUMIFS(Visits!L:L,Visits!E:E,'Manual Cleanup'!A163,Visits!U:U,"&gt;"&amp;(TODAY()-30))</f>
        <v>0</v>
      </c>
    </row>
    <row r="164" spans="7:17" x14ac:dyDescent="0.2">
      <c r="G164" s="1"/>
      <c r="Q164" s="5">
        <f ca="1">SUMIFS(Visits!L:L,Visits!E:E,'Manual Cleanup'!A164,Visits!U:U,"&gt;"&amp;(TODAY()-30))</f>
        <v>0</v>
      </c>
    </row>
    <row r="165" spans="7:17" x14ac:dyDescent="0.2">
      <c r="G165" s="1"/>
      <c r="Q165" s="5">
        <f ca="1">SUMIFS(Visits!L:L,Visits!E:E,'Manual Cleanup'!A165,Visits!U:U,"&gt;"&amp;(TODAY()-30))</f>
        <v>0</v>
      </c>
    </row>
    <row r="166" spans="7:17" x14ac:dyDescent="0.2">
      <c r="G166" s="1"/>
      <c r="Q166" s="5">
        <f ca="1">SUMIFS(Visits!L:L,Visits!E:E,'Manual Cleanup'!A166,Visits!U:U,"&gt;"&amp;(TODAY()-30))</f>
        <v>0</v>
      </c>
    </row>
    <row r="167" spans="7:17" x14ac:dyDescent="0.2">
      <c r="G167" s="1"/>
      <c r="Q167" s="5">
        <f ca="1">SUMIFS(Visits!L:L,Visits!E:E,'Manual Cleanup'!A167,Visits!U:U,"&gt;"&amp;(TODAY()-30))</f>
        <v>0</v>
      </c>
    </row>
    <row r="168" spans="7:17" x14ac:dyDescent="0.2">
      <c r="G168" s="1"/>
      <c r="Q168" s="5">
        <f ca="1">SUMIFS(Visits!L:L,Visits!E:E,'Manual Cleanup'!A168,Visits!U:U,"&gt;"&amp;(TODAY()-30))</f>
        <v>0</v>
      </c>
    </row>
    <row r="169" spans="7:17" x14ac:dyDescent="0.2">
      <c r="G169" s="1"/>
      <c r="Q169" s="5">
        <f ca="1">SUMIFS(Visits!L:L,Visits!E:E,'Manual Cleanup'!A169,Visits!U:U,"&gt;"&amp;(TODAY()-30))</f>
        <v>0</v>
      </c>
    </row>
    <row r="170" spans="7:17" x14ac:dyDescent="0.2">
      <c r="G170" s="1"/>
      <c r="Q170" s="5">
        <f ca="1">SUMIFS(Visits!L:L,Visits!E:E,'Manual Cleanup'!A170,Visits!U:U,"&gt;"&amp;(TODAY()-30))</f>
        <v>0</v>
      </c>
    </row>
    <row r="171" spans="7:17" x14ac:dyDescent="0.2">
      <c r="G171" s="1"/>
      <c r="Q171" s="5">
        <f ca="1">SUMIFS(Visits!L:L,Visits!E:E,'Manual Cleanup'!A171,Visits!U:U,"&gt;"&amp;(TODAY()-30))</f>
        <v>0</v>
      </c>
    </row>
    <row r="172" spans="7:17" x14ac:dyDescent="0.2">
      <c r="G172" s="1"/>
      <c r="Q172" s="5">
        <f ca="1">SUMIFS(Visits!L:L,Visits!E:E,'Manual Cleanup'!A172,Visits!U:U,"&gt;"&amp;(TODAY()-30))</f>
        <v>0</v>
      </c>
    </row>
    <row r="173" spans="7:17" x14ac:dyDescent="0.2">
      <c r="G173" s="1"/>
      <c r="Q173" s="5">
        <f ca="1">SUMIFS(Visits!L:L,Visits!E:E,'Manual Cleanup'!A173,Visits!U:U,"&gt;"&amp;(TODAY()-30))</f>
        <v>0</v>
      </c>
    </row>
    <row r="174" spans="7:17" x14ac:dyDescent="0.2">
      <c r="G174" s="1"/>
      <c r="Q174" s="5">
        <f ca="1">SUMIFS(Visits!L:L,Visits!E:E,'Manual Cleanup'!A174,Visits!U:U,"&gt;"&amp;(TODAY()-30))</f>
        <v>0</v>
      </c>
    </row>
    <row r="175" spans="7:17" x14ac:dyDescent="0.2">
      <c r="G175" s="1"/>
      <c r="Q175" s="5">
        <f ca="1">SUMIFS(Visits!L:L,Visits!E:E,'Manual Cleanup'!A175,Visits!U:U,"&gt;"&amp;(TODAY()-30))</f>
        <v>0</v>
      </c>
    </row>
    <row r="176" spans="7:17" x14ac:dyDescent="0.2">
      <c r="G176" s="1"/>
    </row>
    <row r="177" spans="1:21" x14ac:dyDescent="0.2">
      <c r="G177" s="1"/>
    </row>
    <row r="178" spans="1:21" x14ac:dyDescent="0.2">
      <c r="G178" s="1"/>
    </row>
    <row r="179" spans="1:21" x14ac:dyDescent="0.2">
      <c r="G179" s="1"/>
    </row>
    <row r="180" spans="1:21" x14ac:dyDescent="0.2">
      <c r="G180" s="1"/>
    </row>
    <row r="181" spans="1:21" x14ac:dyDescent="0.2">
      <c r="G181" s="1"/>
    </row>
    <row r="182" spans="1:21" x14ac:dyDescent="0.2">
      <c r="G182" s="1"/>
    </row>
    <row r="183" spans="1:21" x14ac:dyDescent="0.2">
      <c r="G183" s="1"/>
    </row>
    <row r="184" spans="1:21" x14ac:dyDescent="0.2">
      <c r="G184" s="1"/>
    </row>
    <row r="185" spans="1:21" x14ac:dyDescent="0.2">
      <c r="G185" s="1"/>
    </row>
    <row r="186" spans="1:21" x14ac:dyDescent="0.2">
      <c r="G186" s="1"/>
    </row>
    <row r="187" spans="1:21" x14ac:dyDescent="0.2">
      <c r="G187" s="1"/>
    </row>
    <row r="188" spans="1:21" x14ac:dyDescent="0.2">
      <c r="G188" s="1"/>
    </row>
    <row r="189" spans="1:21" x14ac:dyDescent="0.2">
      <c r="G189" s="1"/>
    </row>
    <row r="190" spans="1:21" s="5" customFormat="1" x14ac:dyDescent="0.2">
      <c r="A190"/>
      <c r="B190"/>
      <c r="C190"/>
      <c r="D190"/>
      <c r="E190"/>
      <c r="F190"/>
      <c r="G190" s="1"/>
      <c r="J190" s="25"/>
      <c r="R190"/>
      <c r="S190"/>
      <c r="T190"/>
      <c r="U190"/>
    </row>
    <row r="191" spans="1:21" s="5" customFormat="1" x14ac:dyDescent="0.2">
      <c r="A191"/>
      <c r="B191"/>
      <c r="C191"/>
      <c r="D191"/>
      <c r="E191"/>
      <c r="F191"/>
      <c r="G191" s="1"/>
      <c r="J191" s="25"/>
      <c r="R191"/>
      <c r="S191"/>
      <c r="T191"/>
      <c r="U191"/>
    </row>
    <row r="192" spans="1:21" s="5" customFormat="1" x14ac:dyDescent="0.2">
      <c r="A192"/>
      <c r="B192"/>
      <c r="C192"/>
      <c r="D192"/>
      <c r="E192"/>
      <c r="F192"/>
      <c r="G192" s="1"/>
      <c r="J192" s="25"/>
      <c r="R192"/>
      <c r="S192"/>
      <c r="T192"/>
      <c r="U192"/>
    </row>
    <row r="193" spans="1:21" s="5" customFormat="1" x14ac:dyDescent="0.2">
      <c r="A193"/>
      <c r="B193"/>
      <c r="C193"/>
      <c r="D193"/>
      <c r="E193"/>
      <c r="F193"/>
      <c r="G193" s="1"/>
      <c r="J193" s="25"/>
      <c r="R193"/>
      <c r="S193"/>
      <c r="T193"/>
      <c r="U193"/>
    </row>
    <row r="194" spans="1:21" s="5" customFormat="1" x14ac:dyDescent="0.2">
      <c r="A194"/>
      <c r="B194"/>
      <c r="C194"/>
      <c r="D194"/>
      <c r="E194"/>
      <c r="F194"/>
      <c r="G194" s="1"/>
      <c r="J194" s="25"/>
      <c r="R194"/>
      <c r="S194"/>
      <c r="T194"/>
      <c r="U194"/>
    </row>
    <row r="195" spans="1:21" s="5" customFormat="1" x14ac:dyDescent="0.2">
      <c r="A195"/>
      <c r="B195"/>
      <c r="C195"/>
      <c r="D195"/>
      <c r="E195"/>
      <c r="F195"/>
      <c r="G195" s="1"/>
      <c r="J195" s="25"/>
      <c r="R195"/>
      <c r="S195"/>
      <c r="T195"/>
      <c r="U195"/>
    </row>
    <row r="196" spans="1:21" s="5" customFormat="1" x14ac:dyDescent="0.2">
      <c r="A196"/>
      <c r="B196"/>
      <c r="C196"/>
      <c r="D196"/>
      <c r="E196"/>
      <c r="F196"/>
      <c r="G196" s="1"/>
      <c r="J196" s="25"/>
      <c r="R196"/>
      <c r="S196"/>
      <c r="T196"/>
      <c r="U196"/>
    </row>
    <row r="197" spans="1:21" s="5" customFormat="1" x14ac:dyDescent="0.2">
      <c r="A197"/>
      <c r="B197"/>
      <c r="C197"/>
      <c r="D197"/>
      <c r="E197"/>
      <c r="F197"/>
      <c r="G197" s="1"/>
      <c r="J197" s="25"/>
      <c r="R197"/>
      <c r="S197"/>
      <c r="T197"/>
      <c r="U197"/>
    </row>
    <row r="198" spans="1:21" s="5" customFormat="1" x14ac:dyDescent="0.2">
      <c r="A198"/>
      <c r="B198"/>
      <c r="C198"/>
      <c r="D198"/>
      <c r="E198"/>
      <c r="F198"/>
      <c r="G198" s="1"/>
      <c r="J198" s="25"/>
      <c r="R198"/>
      <c r="S198"/>
      <c r="T198"/>
      <c r="U198"/>
    </row>
    <row r="199" spans="1:21" s="5" customFormat="1" x14ac:dyDescent="0.2">
      <c r="A199"/>
      <c r="B199"/>
      <c r="C199"/>
      <c r="D199"/>
      <c r="E199"/>
      <c r="F199"/>
      <c r="G199" s="1"/>
      <c r="J199" s="25"/>
      <c r="R199"/>
      <c r="S199"/>
      <c r="T199"/>
      <c r="U199"/>
    </row>
    <row r="200" spans="1:21" s="5" customFormat="1" x14ac:dyDescent="0.2">
      <c r="A200"/>
      <c r="B200"/>
      <c r="C200"/>
      <c r="D200"/>
      <c r="E200"/>
      <c r="F200"/>
      <c r="G200" s="1"/>
      <c r="J200" s="25"/>
      <c r="R200"/>
      <c r="S200"/>
      <c r="T200"/>
      <c r="U200"/>
    </row>
    <row r="201" spans="1:21" s="5" customFormat="1" x14ac:dyDescent="0.2">
      <c r="A201"/>
      <c r="B201"/>
      <c r="C201"/>
      <c r="D201"/>
      <c r="E201"/>
      <c r="F201"/>
      <c r="G201" s="1"/>
      <c r="J201" s="25"/>
      <c r="R201"/>
      <c r="S201"/>
      <c r="T201"/>
      <c r="U201"/>
    </row>
    <row r="202" spans="1:21" s="5" customFormat="1" x14ac:dyDescent="0.2">
      <c r="A202"/>
      <c r="B202"/>
      <c r="C202"/>
      <c r="D202"/>
      <c r="E202"/>
      <c r="F202"/>
      <c r="G202" s="1"/>
      <c r="J202" s="25"/>
      <c r="R202"/>
      <c r="S202"/>
      <c r="T202"/>
      <c r="U202"/>
    </row>
    <row r="203" spans="1:21" s="5" customFormat="1" x14ac:dyDescent="0.2">
      <c r="A203"/>
      <c r="B203"/>
      <c r="C203"/>
      <c r="D203"/>
      <c r="E203"/>
      <c r="F203"/>
      <c r="G203" s="1"/>
      <c r="J203" s="25"/>
      <c r="R203"/>
      <c r="S203"/>
      <c r="T203"/>
      <c r="U203"/>
    </row>
    <row r="204" spans="1:21" s="5" customFormat="1" x14ac:dyDescent="0.2">
      <c r="A204"/>
      <c r="B204"/>
      <c r="C204"/>
      <c r="D204"/>
      <c r="E204"/>
      <c r="F204"/>
      <c r="G204" s="1"/>
      <c r="J204" s="25"/>
      <c r="R204"/>
      <c r="S204"/>
      <c r="T204"/>
      <c r="U204"/>
    </row>
    <row r="205" spans="1:21" s="5" customFormat="1" x14ac:dyDescent="0.2">
      <c r="A205"/>
      <c r="B205"/>
      <c r="C205"/>
      <c r="D205"/>
      <c r="E205"/>
      <c r="F205"/>
      <c r="G205" s="1"/>
      <c r="J205" s="25"/>
      <c r="R205"/>
      <c r="S205"/>
      <c r="T205"/>
      <c r="U205"/>
    </row>
  </sheetData>
  <autoFilter ref="A1:U56" xr:uid="{B843ACFC-4ABF-744F-B768-F3DAD832B8CE}">
    <sortState xmlns:xlrd2="http://schemas.microsoft.com/office/spreadsheetml/2017/richdata2" ref="A2:U56">
      <sortCondition ref="F1:F56"/>
    </sortState>
  </autoFilter>
  <conditionalFormatting sqref="H2:H55">
    <cfRule type="colorScale" priority="24">
      <colorScale>
        <cfvo type="min"/>
        <cfvo type="max"/>
        <color rgb="FFFCFCFF"/>
        <color rgb="FF63BE7B"/>
      </colorScale>
    </cfRule>
  </conditionalFormatting>
  <conditionalFormatting sqref="J2:J55">
    <cfRule type="colorScale" priority="26">
      <colorScale>
        <cfvo type="min"/>
        <cfvo type="max"/>
        <color rgb="FFFCFCFF"/>
        <color rgb="FF63BE7B"/>
      </colorScale>
    </cfRule>
  </conditionalFormatting>
  <conditionalFormatting sqref="O2:O55">
    <cfRule type="colorScale" priority="28">
      <colorScale>
        <cfvo type="min"/>
        <cfvo type="max"/>
        <color rgb="FFFCFCFF"/>
        <color rgb="FF63BE7B"/>
      </colorScale>
    </cfRule>
  </conditionalFormatting>
  <conditionalFormatting sqref="P2:P55">
    <cfRule type="colorScale" priority="30">
      <colorScale>
        <cfvo type="min"/>
        <cfvo type="max"/>
        <color rgb="FFFCFCFF"/>
        <color rgb="FF63BE7B"/>
      </colorScale>
    </cfRule>
  </conditionalFormatting>
  <conditionalFormatting sqref="Q2:Q55">
    <cfRule type="colorScale" priority="32">
      <colorScale>
        <cfvo type="min"/>
        <cfvo type="max"/>
        <color rgb="FFFCFCFF"/>
        <color rgb="FF63BE7B"/>
      </colorScale>
    </cfRule>
  </conditionalFormatting>
  <hyperlinks>
    <hyperlink ref="A8" r:id="rId1" xr:uid="{C0E9C4F7-4F83-D143-968D-2D923085EA00}"/>
  </hyperlinks>
  <pageMargins left="0.7" right="0.7" top="0.75" bottom="0.75" header="0.3" footer="0.3"/>
  <ignoredErrors>
    <ignoredError sqref="O59 O6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C8AD-5415-47FD-B833-88C1F97CF562}">
  <sheetPr>
    <tabColor rgb="FF0070C0"/>
  </sheetPr>
  <dimension ref="A1:I72"/>
  <sheetViews>
    <sheetView workbookViewId="0">
      <selection activeCell="H18" sqref="H18"/>
    </sheetView>
  </sheetViews>
  <sheetFormatPr baseColWidth="10" defaultColWidth="11" defaultRowHeight="16" x14ac:dyDescent="0.2"/>
  <cols>
    <col min="1" max="1" width="16.1640625" customWidth="1"/>
    <col min="3" max="3" width="14.6640625" customWidth="1"/>
    <col min="4" max="4" width="19.1640625" customWidth="1"/>
    <col min="5" max="6" width="10.1640625" customWidth="1"/>
    <col min="7" max="7" width="17.33203125" bestFit="1" customWidth="1"/>
    <col min="8" max="8" width="27" bestFit="1" customWidth="1"/>
    <col min="9" max="9" width="28.1640625" bestFit="1" customWidth="1"/>
  </cols>
  <sheetData>
    <row r="1" spans="1:9" s="30" customFormat="1" x14ac:dyDescent="0.2">
      <c r="A1" s="30" t="s">
        <v>181</v>
      </c>
      <c r="B1" s="30" t="s">
        <v>98</v>
      </c>
      <c r="C1" s="30" t="s">
        <v>95</v>
      </c>
      <c r="D1" s="30" t="s">
        <v>96</v>
      </c>
      <c r="E1" s="30" t="s">
        <v>182</v>
      </c>
      <c r="F1" s="30" t="s">
        <v>98</v>
      </c>
      <c r="G1" s="30" t="s">
        <v>4</v>
      </c>
      <c r="H1" s="30" t="s">
        <v>183</v>
      </c>
      <c r="I1" s="30" t="s">
        <v>184</v>
      </c>
    </row>
    <row r="2" spans="1:9" x14ac:dyDescent="0.2">
      <c r="A2" s="83" t="s">
        <v>185</v>
      </c>
      <c r="C2" s="64" t="s">
        <v>186</v>
      </c>
      <c r="D2" s="64" t="s">
        <v>187</v>
      </c>
      <c r="E2" t="s">
        <v>188</v>
      </c>
    </row>
    <row r="3" spans="1:9" x14ac:dyDescent="0.2">
      <c r="A3" t="s">
        <v>189</v>
      </c>
      <c r="C3" t="s">
        <v>190</v>
      </c>
      <c r="D3" t="s">
        <v>191</v>
      </c>
      <c r="E3" s="61" t="s">
        <v>192</v>
      </c>
      <c r="F3" s="61" t="s">
        <v>123</v>
      </c>
      <c r="G3" t="s">
        <v>193</v>
      </c>
      <c r="H3" t="s">
        <v>194</v>
      </c>
    </row>
    <row r="4" spans="1:9" x14ac:dyDescent="0.2">
      <c r="A4" t="s">
        <v>189</v>
      </c>
      <c r="C4" s="64" t="s">
        <v>195</v>
      </c>
      <c r="D4" s="64" t="s">
        <v>196</v>
      </c>
      <c r="E4" t="s">
        <v>192</v>
      </c>
      <c r="G4" t="s">
        <v>193</v>
      </c>
      <c r="H4" t="s">
        <v>194</v>
      </c>
      <c r="I4" t="s">
        <v>197</v>
      </c>
    </row>
    <row r="5" spans="1:9" x14ac:dyDescent="0.2">
      <c r="A5" t="s">
        <v>189</v>
      </c>
      <c r="C5" t="s">
        <v>198</v>
      </c>
      <c r="D5" t="s">
        <v>199</v>
      </c>
      <c r="E5" t="s">
        <v>192</v>
      </c>
      <c r="F5" t="s">
        <v>123</v>
      </c>
      <c r="G5" t="s">
        <v>193</v>
      </c>
      <c r="H5" t="s">
        <v>194</v>
      </c>
    </row>
    <row r="6" spans="1:9" x14ac:dyDescent="0.2">
      <c r="A6" t="s">
        <v>189</v>
      </c>
      <c r="C6" t="s">
        <v>200</v>
      </c>
      <c r="D6" t="s">
        <v>201</v>
      </c>
      <c r="E6" t="s">
        <v>192</v>
      </c>
      <c r="F6" t="s">
        <v>123</v>
      </c>
      <c r="G6" t="s">
        <v>193</v>
      </c>
      <c r="H6" t="s">
        <v>194</v>
      </c>
      <c r="I6" t="s">
        <v>202</v>
      </c>
    </row>
    <row r="7" spans="1:9" x14ac:dyDescent="0.2">
      <c r="A7" t="s">
        <v>189</v>
      </c>
      <c r="C7" t="s">
        <v>203</v>
      </c>
      <c r="D7" t="s">
        <v>204</v>
      </c>
      <c r="E7" t="s">
        <v>192</v>
      </c>
      <c r="F7" t="s">
        <v>123</v>
      </c>
      <c r="G7" t="s">
        <v>193</v>
      </c>
      <c r="H7" t="s">
        <v>194</v>
      </c>
    </row>
    <row r="8" spans="1:9" x14ac:dyDescent="0.2">
      <c r="A8" t="s">
        <v>189</v>
      </c>
      <c r="C8" t="s">
        <v>205</v>
      </c>
      <c r="D8" t="s">
        <v>206</v>
      </c>
      <c r="E8" t="s">
        <v>192</v>
      </c>
      <c r="F8" t="s">
        <v>123</v>
      </c>
      <c r="G8" t="s">
        <v>193</v>
      </c>
      <c r="H8" t="s">
        <v>194</v>
      </c>
    </row>
    <row r="9" spans="1:9" x14ac:dyDescent="0.2">
      <c r="A9" t="s">
        <v>189</v>
      </c>
      <c r="C9" t="s">
        <v>207</v>
      </c>
      <c r="D9" t="s">
        <v>208</v>
      </c>
      <c r="E9" t="s">
        <v>192</v>
      </c>
      <c r="G9" t="s">
        <v>193</v>
      </c>
      <c r="H9" t="s">
        <v>194</v>
      </c>
    </row>
    <row r="10" spans="1:9" x14ac:dyDescent="0.2">
      <c r="A10" t="s">
        <v>189</v>
      </c>
      <c r="C10" t="s">
        <v>209</v>
      </c>
      <c r="D10" t="s">
        <v>210</v>
      </c>
      <c r="E10" t="s">
        <v>188</v>
      </c>
      <c r="G10" t="s">
        <v>193</v>
      </c>
      <c r="H10" t="s">
        <v>194</v>
      </c>
    </row>
    <row r="11" spans="1:9" x14ac:dyDescent="0.2">
      <c r="A11" t="s">
        <v>189</v>
      </c>
      <c r="C11" t="s">
        <v>211</v>
      </c>
      <c r="D11" t="s">
        <v>212</v>
      </c>
      <c r="E11" t="s">
        <v>192</v>
      </c>
      <c r="G11" t="s">
        <v>193</v>
      </c>
      <c r="H11" t="s">
        <v>194</v>
      </c>
    </row>
    <row r="12" spans="1:9" x14ac:dyDescent="0.2">
      <c r="A12" t="s">
        <v>189</v>
      </c>
      <c r="C12" t="s">
        <v>213</v>
      </c>
      <c r="D12" t="s">
        <v>214</v>
      </c>
      <c r="E12" t="s">
        <v>192</v>
      </c>
      <c r="F12" t="s">
        <v>123</v>
      </c>
      <c r="G12" t="s">
        <v>193</v>
      </c>
      <c r="H12" t="s">
        <v>215</v>
      </c>
    </row>
    <row r="13" spans="1:9" x14ac:dyDescent="0.2">
      <c r="A13" t="s">
        <v>189</v>
      </c>
      <c r="C13" t="s">
        <v>216</v>
      </c>
      <c r="D13" t="s">
        <v>217</v>
      </c>
      <c r="E13" s="61" t="s">
        <v>192</v>
      </c>
      <c r="F13" s="61"/>
      <c r="G13" t="s">
        <v>193</v>
      </c>
      <c r="H13" t="s">
        <v>194</v>
      </c>
    </row>
    <row r="14" spans="1:9" x14ac:dyDescent="0.2">
      <c r="A14" t="s">
        <v>189</v>
      </c>
      <c r="C14" t="s">
        <v>218</v>
      </c>
      <c r="D14" t="s">
        <v>219</v>
      </c>
      <c r="E14" t="s">
        <v>192</v>
      </c>
      <c r="F14" t="s">
        <v>220</v>
      </c>
      <c r="G14" t="s">
        <v>193</v>
      </c>
      <c r="H14" t="s">
        <v>194</v>
      </c>
    </row>
    <row r="15" spans="1:9" x14ac:dyDescent="0.2">
      <c r="A15" t="s">
        <v>189</v>
      </c>
      <c r="C15" t="s">
        <v>221</v>
      </c>
      <c r="D15" t="s">
        <v>222</v>
      </c>
      <c r="G15" t="s">
        <v>223</v>
      </c>
      <c r="H15" t="s">
        <v>194</v>
      </c>
    </row>
    <row r="16" spans="1:9" x14ac:dyDescent="0.2">
      <c r="A16" t="s">
        <v>189</v>
      </c>
      <c r="C16" t="s">
        <v>224</v>
      </c>
      <c r="D16" t="s">
        <v>225</v>
      </c>
      <c r="G16" t="s">
        <v>223</v>
      </c>
      <c r="H16" t="s">
        <v>194</v>
      </c>
    </row>
    <row r="17" spans="1:9" x14ac:dyDescent="0.2">
      <c r="A17" t="s">
        <v>189</v>
      </c>
      <c r="C17" t="s">
        <v>226</v>
      </c>
      <c r="D17" t="s">
        <v>227</v>
      </c>
      <c r="E17" t="s">
        <v>192</v>
      </c>
      <c r="G17" t="s">
        <v>193</v>
      </c>
      <c r="H17" t="s">
        <v>194</v>
      </c>
    </row>
    <row r="18" spans="1:9" x14ac:dyDescent="0.2">
      <c r="A18" t="s">
        <v>228</v>
      </c>
      <c r="C18" t="s">
        <v>229</v>
      </c>
      <c r="D18" t="s">
        <v>229</v>
      </c>
      <c r="E18" t="s">
        <v>188</v>
      </c>
      <c r="G18" t="s">
        <v>193</v>
      </c>
      <c r="H18" t="s">
        <v>230</v>
      </c>
    </row>
    <row r="19" spans="1:9" x14ac:dyDescent="0.2">
      <c r="A19" t="s">
        <v>228</v>
      </c>
      <c r="C19" t="s">
        <v>231</v>
      </c>
      <c r="D19" t="s">
        <v>232</v>
      </c>
      <c r="E19" t="s">
        <v>188</v>
      </c>
      <c r="G19" t="s">
        <v>193</v>
      </c>
    </row>
    <row r="20" spans="1:9" x14ac:dyDescent="0.2">
      <c r="A20" t="s">
        <v>228</v>
      </c>
      <c r="C20" t="s">
        <v>233</v>
      </c>
      <c r="D20" t="s">
        <v>234</v>
      </c>
      <c r="E20" t="s">
        <v>188</v>
      </c>
      <c r="G20" t="s">
        <v>193</v>
      </c>
    </row>
    <row r="21" spans="1:9" x14ac:dyDescent="0.2">
      <c r="A21" t="s">
        <v>228</v>
      </c>
      <c r="C21" t="s">
        <v>235</v>
      </c>
      <c r="D21" t="s">
        <v>236</v>
      </c>
      <c r="E21" t="s">
        <v>188</v>
      </c>
      <c r="G21" t="s">
        <v>193</v>
      </c>
    </row>
    <row r="22" spans="1:9" x14ac:dyDescent="0.2">
      <c r="A22" t="s">
        <v>228</v>
      </c>
      <c r="C22" t="s">
        <v>237</v>
      </c>
      <c r="D22" t="s">
        <v>238</v>
      </c>
      <c r="E22" t="s">
        <v>188</v>
      </c>
      <c r="G22" t="s">
        <v>193</v>
      </c>
    </row>
    <row r="23" spans="1:9" x14ac:dyDescent="0.2">
      <c r="A23" t="s">
        <v>228</v>
      </c>
      <c r="C23" t="s">
        <v>239</v>
      </c>
      <c r="D23" t="s">
        <v>240</v>
      </c>
      <c r="E23" t="s">
        <v>188</v>
      </c>
      <c r="G23" t="s">
        <v>193</v>
      </c>
    </row>
    <row r="24" spans="1:9" x14ac:dyDescent="0.2">
      <c r="A24" t="s">
        <v>228</v>
      </c>
      <c r="C24" t="s">
        <v>241</v>
      </c>
      <c r="D24" t="s">
        <v>242</v>
      </c>
      <c r="E24" t="s">
        <v>188</v>
      </c>
      <c r="G24" t="s">
        <v>193</v>
      </c>
    </row>
    <row r="25" spans="1:9" x14ac:dyDescent="0.2">
      <c r="A25" t="s">
        <v>228</v>
      </c>
      <c r="C25" t="s">
        <v>243</v>
      </c>
      <c r="D25" t="s">
        <v>244</v>
      </c>
      <c r="E25" t="s">
        <v>188</v>
      </c>
      <c r="G25" t="s">
        <v>193</v>
      </c>
    </row>
    <row r="26" spans="1:9" x14ac:dyDescent="0.2">
      <c r="A26" t="s">
        <v>228</v>
      </c>
      <c r="C26" t="s">
        <v>245</v>
      </c>
      <c r="D26" t="s">
        <v>246</v>
      </c>
      <c r="E26" t="s">
        <v>188</v>
      </c>
      <c r="G26" t="s">
        <v>193</v>
      </c>
    </row>
    <row r="27" spans="1:9" x14ac:dyDescent="0.2">
      <c r="A27" t="s">
        <v>228</v>
      </c>
      <c r="C27" t="s">
        <v>247</v>
      </c>
      <c r="D27" t="s">
        <v>248</v>
      </c>
      <c r="E27" t="s">
        <v>188</v>
      </c>
      <c r="G27" t="s">
        <v>193</v>
      </c>
    </row>
    <row r="28" spans="1:9" x14ac:dyDescent="0.2">
      <c r="A28" t="s">
        <v>228</v>
      </c>
      <c r="C28" t="s">
        <v>249</v>
      </c>
      <c r="D28" t="s">
        <v>250</v>
      </c>
      <c r="E28" t="s">
        <v>188</v>
      </c>
      <c r="G28" t="s">
        <v>193</v>
      </c>
    </row>
    <row r="29" spans="1:9" x14ac:dyDescent="0.2">
      <c r="A29" t="s">
        <v>228</v>
      </c>
      <c r="C29" t="s">
        <v>251</v>
      </c>
      <c r="D29" t="s">
        <v>252</v>
      </c>
      <c r="E29" t="s">
        <v>188</v>
      </c>
      <c r="G29" t="s">
        <v>193</v>
      </c>
    </row>
    <row r="30" spans="1:9" x14ac:dyDescent="0.2">
      <c r="A30" t="s">
        <v>228</v>
      </c>
      <c r="C30" t="s">
        <v>253</v>
      </c>
      <c r="D30" t="s">
        <v>254</v>
      </c>
      <c r="E30" t="s">
        <v>188</v>
      </c>
      <c r="G30" t="s">
        <v>193</v>
      </c>
    </row>
    <row r="31" spans="1:9" x14ac:dyDescent="0.2">
      <c r="A31" t="s">
        <v>228</v>
      </c>
      <c r="C31" t="s">
        <v>255</v>
      </c>
      <c r="D31" t="s">
        <v>256</v>
      </c>
      <c r="E31" t="s">
        <v>188</v>
      </c>
      <c r="G31" t="s">
        <v>193</v>
      </c>
    </row>
    <row r="32" spans="1:9" x14ac:dyDescent="0.2">
      <c r="A32" t="s">
        <v>228</v>
      </c>
      <c r="C32" s="64" t="s">
        <v>257</v>
      </c>
      <c r="D32" s="64" t="s">
        <v>258</v>
      </c>
      <c r="E32" s="64" t="s">
        <v>192</v>
      </c>
      <c r="F32" s="14"/>
      <c r="G32" t="s">
        <v>193</v>
      </c>
      <c r="I32" t="s">
        <v>197</v>
      </c>
    </row>
    <row r="33" spans="1:9" x14ac:dyDescent="0.2">
      <c r="A33" t="s">
        <v>228</v>
      </c>
      <c r="C33" s="64" t="s">
        <v>259</v>
      </c>
      <c r="D33" s="64" t="s">
        <v>260</v>
      </c>
      <c r="E33" s="64" t="s">
        <v>192</v>
      </c>
      <c r="F33" s="14"/>
      <c r="G33" t="s">
        <v>193</v>
      </c>
      <c r="I33" t="s">
        <v>197</v>
      </c>
    </row>
    <row r="34" spans="1:9" x14ac:dyDescent="0.2">
      <c r="A34" t="s">
        <v>228</v>
      </c>
      <c r="C34" t="s">
        <v>261</v>
      </c>
      <c r="D34" t="s">
        <v>262</v>
      </c>
      <c r="E34" t="s">
        <v>192</v>
      </c>
      <c r="F34" t="s">
        <v>263</v>
      </c>
      <c r="G34" t="s">
        <v>193</v>
      </c>
    </row>
    <row r="35" spans="1:9" x14ac:dyDescent="0.2">
      <c r="A35" t="s">
        <v>228</v>
      </c>
      <c r="C35" t="s">
        <v>264</v>
      </c>
      <c r="D35" t="s">
        <v>265</v>
      </c>
      <c r="E35" t="s">
        <v>192</v>
      </c>
      <c r="F35" t="s">
        <v>263</v>
      </c>
      <c r="G35" t="s">
        <v>193</v>
      </c>
    </row>
    <row r="36" spans="1:9" x14ac:dyDescent="0.2">
      <c r="A36" t="s">
        <v>228</v>
      </c>
      <c r="C36" t="s">
        <v>266</v>
      </c>
      <c r="D36" t="s">
        <v>267</v>
      </c>
      <c r="E36" t="s">
        <v>192</v>
      </c>
      <c r="F36" t="s">
        <v>123</v>
      </c>
      <c r="G36" t="s">
        <v>193</v>
      </c>
    </row>
    <row r="37" spans="1:9" x14ac:dyDescent="0.2">
      <c r="A37" t="s">
        <v>228</v>
      </c>
      <c r="C37" s="64" t="s">
        <v>268</v>
      </c>
      <c r="D37" s="64" t="s">
        <v>269</v>
      </c>
      <c r="E37" s="64" t="s">
        <v>192</v>
      </c>
      <c r="F37" s="14"/>
      <c r="G37" t="s">
        <v>193</v>
      </c>
      <c r="I37" t="s">
        <v>270</v>
      </c>
    </row>
    <row r="38" spans="1:9" x14ac:dyDescent="0.2">
      <c r="A38" t="s">
        <v>228</v>
      </c>
      <c r="C38" t="s">
        <v>271</v>
      </c>
      <c r="D38" t="s">
        <v>272</v>
      </c>
      <c r="E38" t="s">
        <v>192</v>
      </c>
      <c r="G38" t="s">
        <v>193</v>
      </c>
    </row>
    <row r="39" spans="1:9" x14ac:dyDescent="0.2">
      <c r="A39" t="s">
        <v>228</v>
      </c>
      <c r="C39" t="s">
        <v>273</v>
      </c>
      <c r="D39" t="s">
        <v>274</v>
      </c>
      <c r="E39" t="s">
        <v>192</v>
      </c>
      <c r="G39" t="s">
        <v>193</v>
      </c>
    </row>
    <row r="40" spans="1:9" x14ac:dyDescent="0.2">
      <c r="A40" t="s">
        <v>228</v>
      </c>
      <c r="C40" t="s">
        <v>275</v>
      </c>
      <c r="D40" t="s">
        <v>276</v>
      </c>
      <c r="E40" t="s">
        <v>192</v>
      </c>
      <c r="G40" t="s">
        <v>193</v>
      </c>
    </row>
    <row r="41" spans="1:9" x14ac:dyDescent="0.2">
      <c r="A41" t="s">
        <v>228</v>
      </c>
      <c r="C41" t="s">
        <v>277</v>
      </c>
      <c r="D41" t="s">
        <v>278</v>
      </c>
      <c r="E41" t="s">
        <v>192</v>
      </c>
      <c r="F41" t="s">
        <v>220</v>
      </c>
      <c r="G41" t="s">
        <v>193</v>
      </c>
    </row>
    <row r="42" spans="1:9" x14ac:dyDescent="0.2">
      <c r="A42" t="s">
        <v>228</v>
      </c>
      <c r="C42" t="s">
        <v>279</v>
      </c>
      <c r="D42" t="s">
        <v>280</v>
      </c>
      <c r="E42" t="s">
        <v>192</v>
      </c>
      <c r="G42" t="s">
        <v>193</v>
      </c>
    </row>
    <row r="43" spans="1:9" x14ac:dyDescent="0.2">
      <c r="A43" t="s">
        <v>228</v>
      </c>
      <c r="C43" t="s">
        <v>281</v>
      </c>
      <c r="D43" t="s">
        <v>282</v>
      </c>
      <c r="E43" t="s">
        <v>192</v>
      </c>
      <c r="G43" t="s">
        <v>193</v>
      </c>
    </row>
    <row r="44" spans="1:9" x14ac:dyDescent="0.2">
      <c r="A44" t="s">
        <v>228</v>
      </c>
      <c r="C44" t="s">
        <v>283</v>
      </c>
      <c r="D44" t="s">
        <v>284</v>
      </c>
      <c r="E44" t="s">
        <v>192</v>
      </c>
      <c r="G44" t="s">
        <v>193</v>
      </c>
      <c r="I44" t="s">
        <v>285</v>
      </c>
    </row>
    <row r="45" spans="1:9" x14ac:dyDescent="0.2">
      <c r="A45" t="s">
        <v>228</v>
      </c>
      <c r="B45" t="s">
        <v>286</v>
      </c>
      <c r="C45" s="64" t="s">
        <v>287</v>
      </c>
      <c r="G45" t="s">
        <v>193</v>
      </c>
    </row>
    <row r="46" spans="1:9" x14ac:dyDescent="0.2">
      <c r="A46" t="s">
        <v>228</v>
      </c>
      <c r="C46" t="s">
        <v>288</v>
      </c>
      <c r="D46" t="s">
        <v>289</v>
      </c>
      <c r="E46" t="s">
        <v>188</v>
      </c>
      <c r="G46" t="s">
        <v>193</v>
      </c>
    </row>
    <row r="47" spans="1:9" x14ac:dyDescent="0.2">
      <c r="A47" t="s">
        <v>228</v>
      </c>
      <c r="C47" t="s">
        <v>290</v>
      </c>
      <c r="D47" t="s">
        <v>291</v>
      </c>
      <c r="E47" t="s">
        <v>188</v>
      </c>
      <c r="G47" t="s">
        <v>193</v>
      </c>
      <c r="I47" t="s">
        <v>292</v>
      </c>
    </row>
    <row r="48" spans="1:9" x14ac:dyDescent="0.2">
      <c r="A48" t="s">
        <v>228</v>
      </c>
      <c r="C48" t="s">
        <v>293</v>
      </c>
      <c r="D48" t="s">
        <v>294</v>
      </c>
      <c r="E48" t="s">
        <v>188</v>
      </c>
      <c r="G48" t="s">
        <v>193</v>
      </c>
    </row>
    <row r="49" spans="1:7" x14ac:dyDescent="0.2">
      <c r="A49" t="s">
        <v>228</v>
      </c>
      <c r="C49" t="s">
        <v>295</v>
      </c>
      <c r="D49" t="s">
        <v>296</v>
      </c>
      <c r="E49" t="s">
        <v>188</v>
      </c>
      <c r="G49" t="s">
        <v>193</v>
      </c>
    </row>
    <row r="50" spans="1:7" x14ac:dyDescent="0.2">
      <c r="A50" t="s">
        <v>228</v>
      </c>
      <c r="C50" t="s">
        <v>297</v>
      </c>
      <c r="D50" t="s">
        <v>298</v>
      </c>
      <c r="E50" t="s">
        <v>188</v>
      </c>
      <c r="G50" t="s">
        <v>193</v>
      </c>
    </row>
    <row r="51" spans="1:7" x14ac:dyDescent="0.2">
      <c r="A51" t="s">
        <v>228</v>
      </c>
      <c r="C51" t="s">
        <v>299</v>
      </c>
      <c r="D51" t="s">
        <v>300</v>
      </c>
      <c r="E51" t="s">
        <v>192</v>
      </c>
      <c r="F51" t="s">
        <v>123</v>
      </c>
      <c r="G51" t="s">
        <v>193</v>
      </c>
    </row>
    <row r="52" spans="1:7" x14ac:dyDescent="0.2">
      <c r="A52" t="s">
        <v>228</v>
      </c>
      <c r="C52" t="s">
        <v>301</v>
      </c>
      <c r="D52" t="s">
        <v>302</v>
      </c>
      <c r="E52" t="s">
        <v>192</v>
      </c>
      <c r="F52" t="s">
        <v>123</v>
      </c>
      <c r="G52" t="s">
        <v>193</v>
      </c>
    </row>
    <row r="53" spans="1:7" x14ac:dyDescent="0.2">
      <c r="A53" t="s">
        <v>228</v>
      </c>
      <c r="C53" t="s">
        <v>303</v>
      </c>
      <c r="D53" t="s">
        <v>304</v>
      </c>
      <c r="E53" s="61" t="s">
        <v>192</v>
      </c>
      <c r="F53" s="61"/>
      <c r="G53" t="s">
        <v>193</v>
      </c>
    </row>
    <row r="54" spans="1:7" x14ac:dyDescent="0.2">
      <c r="A54" t="s">
        <v>228</v>
      </c>
      <c r="C54" t="s">
        <v>305</v>
      </c>
      <c r="D54" t="s">
        <v>306</v>
      </c>
      <c r="E54" t="s">
        <v>192</v>
      </c>
      <c r="F54" t="s">
        <v>220</v>
      </c>
      <c r="G54" t="s">
        <v>193</v>
      </c>
    </row>
    <row r="55" spans="1:7" x14ac:dyDescent="0.2">
      <c r="A55" t="s">
        <v>228</v>
      </c>
      <c r="B55" t="s">
        <v>286</v>
      </c>
      <c r="C55" s="64" t="s">
        <v>307</v>
      </c>
      <c r="G55" t="s">
        <v>193</v>
      </c>
    </row>
    <row r="56" spans="1:7" x14ac:dyDescent="0.2">
      <c r="C56" s="64" t="s">
        <v>308</v>
      </c>
      <c r="D56" s="64" t="s">
        <v>309</v>
      </c>
      <c r="E56" s="64" t="s">
        <v>188</v>
      </c>
    </row>
    <row r="57" spans="1:7" x14ac:dyDescent="0.2">
      <c r="C57" s="64" t="s">
        <v>310</v>
      </c>
      <c r="D57" s="64" t="s">
        <v>311</v>
      </c>
      <c r="E57" t="s">
        <v>188</v>
      </c>
    </row>
    <row r="58" spans="1:7" x14ac:dyDescent="0.2">
      <c r="C58" s="62" t="s">
        <v>312</v>
      </c>
      <c r="D58" s="62" t="s">
        <v>313</v>
      </c>
      <c r="E58" s="62" t="s">
        <v>314</v>
      </c>
      <c r="F58" s="62"/>
      <c r="G58" s="62" t="s">
        <v>315</v>
      </c>
    </row>
    <row r="59" spans="1:7" x14ac:dyDescent="0.2">
      <c r="B59" t="s">
        <v>286</v>
      </c>
      <c r="C59" s="64" t="s">
        <v>316</v>
      </c>
    </row>
    <row r="60" spans="1:7" x14ac:dyDescent="0.2">
      <c r="B60" t="s">
        <v>286</v>
      </c>
      <c r="C60" s="64" t="s">
        <v>317</v>
      </c>
    </row>
    <row r="61" spans="1:7" x14ac:dyDescent="0.2">
      <c r="B61" t="s">
        <v>286</v>
      </c>
      <c r="C61" s="64" t="s">
        <v>318</v>
      </c>
      <c r="F61" t="s">
        <v>123</v>
      </c>
      <c r="G61" t="s">
        <v>193</v>
      </c>
    </row>
    <row r="62" spans="1:7" x14ac:dyDescent="0.2">
      <c r="B62" t="s">
        <v>286</v>
      </c>
      <c r="C62" s="64" t="s">
        <v>319</v>
      </c>
      <c r="F62" t="s">
        <v>123</v>
      </c>
      <c r="G62" t="s">
        <v>193</v>
      </c>
    </row>
    <row r="63" spans="1:7" x14ac:dyDescent="0.2">
      <c r="B63" t="s">
        <v>286</v>
      </c>
      <c r="C63" s="64" t="s">
        <v>320</v>
      </c>
      <c r="G63" t="s">
        <v>193</v>
      </c>
    </row>
    <row r="64" spans="1:7" x14ac:dyDescent="0.2">
      <c r="B64" t="s">
        <v>286</v>
      </c>
      <c r="C64" s="64" t="s">
        <v>321</v>
      </c>
    </row>
    <row r="70" spans="1:1" x14ac:dyDescent="0.2">
      <c r="A70" t="s">
        <v>322</v>
      </c>
    </row>
    <row r="71" spans="1:1" x14ac:dyDescent="0.2">
      <c r="A71" t="s">
        <v>323</v>
      </c>
    </row>
    <row r="72" spans="1:1" x14ac:dyDescent="0.2">
      <c r="A72" t="s">
        <v>324</v>
      </c>
    </row>
  </sheetData>
  <autoFilter ref="A1:I57" xr:uid="{1A05C8AD-5415-47FD-B833-88C1F97CF562}">
    <sortState xmlns:xlrd2="http://schemas.microsoft.com/office/spreadsheetml/2017/richdata2" ref="A2:I57">
      <sortCondition ref="A1:A5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67D4-8DB8-4589-AF59-D2941883DC9A}">
  <sheetPr>
    <tabColor rgb="FFFF0000"/>
  </sheetPr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825-5EE1-44A0-97CF-4C7336F8D91D}">
  <sheetPr>
    <tabColor rgb="FFFF0000"/>
  </sheetPr>
  <dimension ref="A1:S316"/>
  <sheetViews>
    <sheetView zoomScale="130" zoomScaleNormal="130" workbookViewId="0">
      <pane xSplit="4" ySplit="3" topLeftCell="I4" activePane="bottomRight" state="frozen"/>
      <selection pane="topRight"/>
      <selection pane="bottomLeft"/>
      <selection pane="bottomRight" activeCell="B15" sqref="B15"/>
    </sheetView>
  </sheetViews>
  <sheetFormatPr baseColWidth="10" defaultColWidth="11" defaultRowHeight="15.75" customHeight="1" x14ac:dyDescent="0.2"/>
  <cols>
    <col min="1" max="1" width="33.33203125" bestFit="1" customWidth="1"/>
    <col min="2" max="2" width="33.33203125" customWidth="1"/>
    <col min="3" max="3" width="16.6640625" customWidth="1"/>
    <col min="4" max="4" width="20.33203125" bestFit="1" customWidth="1"/>
    <col min="5" max="5" width="16.1640625" style="139" customWidth="1"/>
    <col min="6" max="6" width="16.1640625" style="141" customWidth="1"/>
    <col min="7" max="8" width="16.1640625" customWidth="1"/>
    <col min="9" max="9" width="18" style="143" customWidth="1"/>
    <col min="10" max="14" width="16.1640625" customWidth="1"/>
    <col min="15" max="15" width="14.33203125" customWidth="1"/>
    <col min="16" max="19" width="13.5" customWidth="1"/>
  </cols>
  <sheetData>
    <row r="1" spans="1:19" ht="42.75" customHeight="1" x14ac:dyDescent="0.3">
      <c r="A1" t="s">
        <v>325</v>
      </c>
      <c r="C1" s="1">
        <f>'New Dashboard'!B3</f>
        <v>45474</v>
      </c>
      <c r="E1" s="193" t="s">
        <v>326</v>
      </c>
      <c r="F1" s="194"/>
      <c r="G1" s="194"/>
      <c r="H1" s="194"/>
      <c r="I1" s="195"/>
    </row>
    <row r="2" spans="1:19" ht="16" customHeight="1" x14ac:dyDescent="0.2">
      <c r="E2" s="190" t="s">
        <v>327</v>
      </c>
      <c r="F2" s="191"/>
      <c r="G2" s="192" t="s">
        <v>328</v>
      </c>
      <c r="H2" s="192"/>
      <c r="I2" s="145" t="s">
        <v>329</v>
      </c>
      <c r="P2" s="196" t="s">
        <v>330</v>
      </c>
      <c r="Q2" s="196"/>
      <c r="R2" s="196"/>
      <c r="S2" s="196"/>
    </row>
    <row r="3" spans="1:19" s="2" customFormat="1" ht="34" x14ac:dyDescent="0.2">
      <c r="A3" s="138" t="s">
        <v>94</v>
      </c>
      <c r="B3" s="138"/>
      <c r="C3" s="138" t="s">
        <v>95</v>
      </c>
      <c r="D3" s="138" t="s">
        <v>96</v>
      </c>
      <c r="E3" s="140" t="s">
        <v>331</v>
      </c>
      <c r="F3" s="142" t="s">
        <v>332</v>
      </c>
      <c r="G3" s="137" t="s">
        <v>333</v>
      </c>
      <c r="H3" s="137" t="s">
        <v>334</v>
      </c>
      <c r="I3" s="144" t="s">
        <v>335</v>
      </c>
      <c r="J3" s="138" t="s">
        <v>336</v>
      </c>
      <c r="K3" s="137" t="s">
        <v>337</v>
      </c>
      <c r="L3" s="138" t="s">
        <v>338</v>
      </c>
      <c r="M3" s="138" t="s">
        <v>339</v>
      </c>
      <c r="N3" s="138" t="s">
        <v>340</v>
      </c>
      <c r="O3" s="138" t="s">
        <v>341</v>
      </c>
      <c r="P3" s="149">
        <v>45464</v>
      </c>
      <c r="Q3" s="137" t="s">
        <v>342</v>
      </c>
      <c r="R3" s="137" t="s">
        <v>342</v>
      </c>
      <c r="S3" s="137" t="s">
        <v>342</v>
      </c>
    </row>
    <row r="4" spans="1:19" ht="16" x14ac:dyDescent="0.2">
      <c r="A4" t="str">
        <f>Users!A2</f>
        <v>aidanakassymova@gmail.com</v>
      </c>
      <c r="B4" s="80" t="str">
        <f>Users!D2</f>
        <v>7557571864</v>
      </c>
      <c r="C4" s="29" t="str">
        <f>VLOOKUP(A4,Users!A:D,2,FALSE)</f>
        <v>Aidana</v>
      </c>
      <c r="D4" s="29" t="str">
        <f>VLOOKUP(A4,Users!A:D,3,FALSE)</f>
        <v>Kassymova</v>
      </c>
      <c r="E4" s="139">
        <f>COUNTIF(Visits!Y:Y,'Summer Challenge'!A4)</f>
        <v>0</v>
      </c>
      <c r="F4" s="141">
        <v>4</v>
      </c>
      <c r="G4" cm="1">
        <f t="array" ref="G4">SUM(--(FREQUENCY(IF(Visits!E:E='Summer Challenge'!A4,Visits!Z:Z),Visits!Z:Z)&gt;0))</f>
        <v>2</v>
      </c>
      <c r="H4">
        <f>SUMIF(Visits!E:E,'Summer Challenge'!A4,Visits!Z:Z)</f>
        <v>10</v>
      </c>
      <c r="J4" s="147">
        <f>L4*10/2</f>
        <v>20</v>
      </c>
      <c r="K4" s="147">
        <v>4</v>
      </c>
      <c r="L4" s="5">
        <f>SUMIF(Visits!E:E,'Summer Challenge'!A4,Visits!J:J)</f>
        <v>4</v>
      </c>
      <c r="M4" s="5">
        <f>L4*4</f>
        <v>16</v>
      </c>
      <c r="N4" s="146" t="s">
        <v>343</v>
      </c>
      <c r="O4" t="str">
        <f>IF(IFERROR(VLOOKUP(Users!E2,Credits!A:A,1,FALSE),"NO")="NO","NO","YES")</f>
        <v>YES</v>
      </c>
      <c r="P4" t="s">
        <v>344</v>
      </c>
      <c r="Q4" t="str">
        <f>IF(SUM('User Engagement'!I4:J4)&gt;=0,"YES", "NO")</f>
        <v>YES</v>
      </c>
    </row>
    <row r="5" spans="1:19" ht="16" x14ac:dyDescent="0.2">
      <c r="A5" t="str">
        <f>Users!A3</f>
        <v>alekseypleshkov17@gmail.com</v>
      </c>
      <c r="C5" s="29" t="str">
        <f>VLOOKUP(A5,Users!A:D,2,FALSE)</f>
        <v>Aleksejs</v>
      </c>
      <c r="D5" s="29" t="str">
        <f>VLOOKUP(A5,Users!A:D,3,FALSE)</f>
        <v>Pleskovs</v>
      </c>
      <c r="E5" s="139">
        <f>COUNTIF(Visits!Y:Y,'Summer Challenge'!A5)</f>
        <v>0</v>
      </c>
      <c r="G5" cm="1">
        <f t="array" ref="G5">SUM(--(FREQUENCY(IF(Visits!E:E='Summer Challenge'!A5,Visits!Z:Z),Visits!Z:Z)&gt;0))</f>
        <v>1</v>
      </c>
      <c r="H5">
        <f>SUMIF(Visits!E:E,'Summer Challenge'!A5,Visits!Z:Z)</f>
        <v>1</v>
      </c>
      <c r="J5" s="147">
        <f t="shared" ref="J5:J68" si="0">L5*10/2</f>
        <v>5</v>
      </c>
      <c r="K5" s="147">
        <v>1</v>
      </c>
      <c r="L5" s="5">
        <f>SUMIF(Visits!E:E,'Summer Challenge'!A5,Visits!J:J)</f>
        <v>1</v>
      </c>
      <c r="M5" s="5">
        <f t="shared" ref="M5:M68" si="1">L5*4</f>
        <v>4</v>
      </c>
      <c r="N5" s="5"/>
      <c r="O5" t="str">
        <f>IF(IFERROR(VLOOKUP(Users!E3,Credits!A:A,1,FALSE),"NO")="NO","NO","YES")</f>
        <v>NO</v>
      </c>
      <c r="P5" t="s">
        <v>314</v>
      </c>
      <c r="Q5" t="str">
        <f>IF(SUM('User Engagement'!I5:J5)&gt;=0,"YES", "NO")</f>
        <v>YES</v>
      </c>
    </row>
    <row r="6" spans="1:19" ht="16" x14ac:dyDescent="0.2">
      <c r="A6">
        <f>Users!A4</f>
        <v>0</v>
      </c>
      <c r="C6" s="29" t="e">
        <f>VLOOKUP(A6,Users!A:D,2,FALSE)</f>
        <v>#N/A</v>
      </c>
      <c r="D6" s="29" t="e">
        <f>VLOOKUP(A6,Users!A:D,3,FALSE)</f>
        <v>#N/A</v>
      </c>
      <c r="E6" s="139">
        <f>COUNTIF(Visits!Y:Y,'Summer Challenge'!A6)</f>
        <v>0</v>
      </c>
      <c r="G6" t="e" cm="1">
        <f t="array" ref="G6">SUM(--(FREQUENCY(IF(Visits!E:E='Summer Challenge'!A6,Visits!Z:Z),Visits!Z:Z)&gt;0))</f>
        <v>#N/A</v>
      </c>
      <c r="H6">
        <f>SUMIF(Visits!E:E,'Summer Challenge'!A6,Visits!Z:Z)</f>
        <v>0</v>
      </c>
      <c r="J6" s="147">
        <f t="shared" si="0"/>
        <v>0</v>
      </c>
      <c r="K6" s="147">
        <v>0</v>
      </c>
      <c r="L6" s="5">
        <f>SUMIF(Visits!E:E,'Summer Challenge'!A6,Visits!J:J)</f>
        <v>0</v>
      </c>
      <c r="M6" s="5">
        <f t="shared" si="1"/>
        <v>0</v>
      </c>
      <c r="N6" s="5"/>
      <c r="O6" t="str">
        <f>IF(IFERROR(VLOOKUP(Users!E4,Credits!A:A,1,FALSE),"NO")="NO","NO","YES")</f>
        <v>NO</v>
      </c>
      <c r="P6" t="s">
        <v>314</v>
      </c>
      <c r="Q6" t="str">
        <f>IF(SUM('User Engagement'!I6:J6)&gt;=0,"YES", "NO")</f>
        <v>YES</v>
      </c>
    </row>
    <row r="7" spans="1:19" ht="16" x14ac:dyDescent="0.2">
      <c r="A7" t="str">
        <f>Users!A5</f>
        <v>galimova.al.al@gmail.com</v>
      </c>
      <c r="C7" s="29" t="str">
        <f>VLOOKUP(A7,Users!A:D,2,FALSE)</f>
        <v>Alina</v>
      </c>
      <c r="D7" s="29" t="str">
        <f>VLOOKUP(A7,Users!A:D,3,FALSE)</f>
        <v>Galimova</v>
      </c>
      <c r="E7" s="139">
        <f>COUNTIF(Visits!Y:Y,'Summer Challenge'!A7)</f>
        <v>0</v>
      </c>
      <c r="G7" cm="1">
        <f t="array" ref="G7">SUM(--(FREQUENCY(IF(Visits!E:E='Summer Challenge'!A7,Visits!Z:Z),Visits!Z:Z)&gt;0))</f>
        <v>1</v>
      </c>
      <c r="H7">
        <f>SUMIF(Visits!E:E,'Summer Challenge'!A7,Visits!Z:Z)</f>
        <v>4</v>
      </c>
      <c r="J7" s="147">
        <f t="shared" si="0"/>
        <v>5</v>
      </c>
      <c r="K7" s="147">
        <v>1</v>
      </c>
      <c r="L7" s="5">
        <f>SUMIF(Visits!E:E,'Summer Challenge'!A7,Visits!J:J)</f>
        <v>1</v>
      </c>
      <c r="M7" s="5">
        <f t="shared" si="1"/>
        <v>4</v>
      </c>
      <c r="N7" s="5"/>
      <c r="O7" t="str">
        <f>IF(IFERROR(VLOOKUP(Users!E5,Credits!A:A,1,FALSE),"NO")="NO","NO","YES")</f>
        <v>NO</v>
      </c>
      <c r="P7" t="s">
        <v>314</v>
      </c>
      <c r="Q7" t="str">
        <f>IF(SUM('User Engagement'!I7:J7)&gt;=0,"YES", "NO")</f>
        <v>YES</v>
      </c>
    </row>
    <row r="8" spans="1:19" ht="16" x14ac:dyDescent="0.2">
      <c r="A8" t="str">
        <f>Users!A6</f>
        <v>alina.flatscher@gmail.com</v>
      </c>
      <c r="B8" s="80" t="str">
        <f>Users!D6</f>
        <v>+44 7443 108741</v>
      </c>
      <c r="C8" s="29" t="str">
        <f>VLOOKUP(A8,Users!A:D,2,FALSE)</f>
        <v>Alina</v>
      </c>
      <c r="D8" s="29" t="str">
        <f>VLOOKUP(A8,Users!A:D,3,FALSE)</f>
        <v>Flatscher</v>
      </c>
      <c r="E8" s="139">
        <f>COUNTIF(Visits!Y:Y,'Summer Challenge'!A8)</f>
        <v>0</v>
      </c>
      <c r="G8" cm="1">
        <f t="array" ref="G8">SUM(--(FREQUENCY(IF(Visits!E:E='Summer Challenge'!A8,Visits!Z:Z),Visits!Z:Z)&gt;0))</f>
        <v>1</v>
      </c>
      <c r="H8">
        <f>SUMIF(Visits!E:E,'Summer Challenge'!A8,Visits!Z:Z)</f>
        <v>1</v>
      </c>
      <c r="J8" s="147">
        <f t="shared" si="0"/>
        <v>5</v>
      </c>
      <c r="K8" s="147">
        <v>1</v>
      </c>
      <c r="L8" s="5">
        <f>SUMIF(Visits!E:E,'Summer Challenge'!A8,Visits!J:J)</f>
        <v>1</v>
      </c>
      <c r="M8" s="5">
        <f t="shared" si="1"/>
        <v>4</v>
      </c>
      <c r="N8" s="5"/>
      <c r="O8" t="str">
        <f>IF(IFERROR(VLOOKUP(Users!E6,Credits!A:A,1,FALSE),"NO")="NO","NO","YES")</f>
        <v>NO</v>
      </c>
      <c r="P8" t="s">
        <v>344</v>
      </c>
      <c r="Q8" t="str">
        <f>IF(SUM('User Engagement'!I8:J8)&gt;=0,"YES", "NO")</f>
        <v>YES</v>
      </c>
    </row>
    <row r="9" spans="1:19" ht="16" x14ac:dyDescent="0.2">
      <c r="A9" t="str">
        <f>Users!A7</f>
        <v>vasques.anacarolina@gmail.com</v>
      </c>
      <c r="B9" s="80" t="str">
        <f>Users!D7</f>
        <v>+44 7769 343524</v>
      </c>
      <c r="C9" s="29" t="str">
        <f>VLOOKUP(A9,Users!A:D,2,FALSE)</f>
        <v>Ana</v>
      </c>
      <c r="D9" s="29" t="str">
        <f>VLOOKUP(A9,Users!A:D,3,FALSE)</f>
        <v>Vasques</v>
      </c>
      <c r="E9" s="139">
        <f>COUNTIF(Visits!Y:Y,'Summer Challenge'!A9)</f>
        <v>0</v>
      </c>
      <c r="G9" cm="1">
        <f t="array" ref="G9">SUM(--(FREQUENCY(IF(Visits!E:E='Summer Challenge'!A9,Visits!Z:Z),Visits!Z:Z)&gt;0))</f>
        <v>0</v>
      </c>
      <c r="H9">
        <f>SUMIF(Visits!E:E,'Summer Challenge'!A9,Visits!Z:Z)</f>
        <v>0</v>
      </c>
      <c r="J9" s="147">
        <f t="shared" si="0"/>
        <v>0</v>
      </c>
      <c r="K9" s="147">
        <v>2</v>
      </c>
      <c r="L9" s="5">
        <f>SUMIF(Visits!E:E,'Summer Challenge'!A9,Visits!J:J)</f>
        <v>0</v>
      </c>
      <c r="M9" s="5">
        <f t="shared" si="1"/>
        <v>0</v>
      </c>
      <c r="N9" s="5"/>
      <c r="O9" t="str">
        <f>IF(IFERROR(VLOOKUP(Users!E7,Credits!A:A,1,FALSE),"NO")="NO","NO","YES")</f>
        <v>NO</v>
      </c>
      <c r="P9" t="s">
        <v>344</v>
      </c>
      <c r="Q9" t="str">
        <f>IF(SUM('User Engagement'!I9:J9)&gt;=0,"YES", "NO")</f>
        <v>YES</v>
      </c>
    </row>
    <row r="10" spans="1:19" ht="16" x14ac:dyDescent="0.2">
      <c r="A10" t="str">
        <f>Users!A8</f>
        <v>anayosefi@gmail.com</v>
      </c>
      <c r="C10" s="29" t="str">
        <f>VLOOKUP(A10,Users!A:D,2,FALSE)</f>
        <v>Anahita</v>
      </c>
      <c r="D10" s="29" t="str">
        <f>VLOOKUP(A10,Users!A:D,3,FALSE)</f>
        <v>Yousefi</v>
      </c>
      <c r="E10" s="139">
        <f>COUNTIF(Visits!Y:Y,'Summer Challenge'!A10)</f>
        <v>0</v>
      </c>
      <c r="G10" cm="1">
        <f t="array" ref="G10">SUM(--(FREQUENCY(IF(Visits!E:E='Summer Challenge'!A10,Visits!Z:Z),Visits!Z:Z)&gt;0))</f>
        <v>1</v>
      </c>
      <c r="H10">
        <f>SUMIF(Visits!E:E,'Summer Challenge'!A10,Visits!Z:Z)</f>
        <v>4</v>
      </c>
      <c r="J10" s="147">
        <f t="shared" si="0"/>
        <v>5</v>
      </c>
      <c r="K10" s="147">
        <v>1</v>
      </c>
      <c r="L10" s="5">
        <f>SUMIF(Visits!E:E,'Summer Challenge'!A10,Visits!J:J)</f>
        <v>1</v>
      </c>
      <c r="M10" s="5">
        <f t="shared" si="1"/>
        <v>4</v>
      </c>
      <c r="N10" s="5"/>
      <c r="O10" t="str">
        <f>IF(IFERROR(VLOOKUP(Users!E8,Credits!A:A,1,FALSE),"NO")="NO","NO","YES")</f>
        <v>NO</v>
      </c>
      <c r="P10" t="s">
        <v>314</v>
      </c>
      <c r="Q10" t="str">
        <f>IF(SUM('User Engagement'!I10:J10)&gt;=0,"YES", "NO")</f>
        <v>YES</v>
      </c>
    </row>
    <row r="11" spans="1:19" ht="16" x14ac:dyDescent="0.2">
      <c r="A11" t="str">
        <f>Users!A9</f>
        <v>rtranaita@gmail.com</v>
      </c>
      <c r="C11" s="29" t="str">
        <f>VLOOKUP(A11,Users!A:D,2,FALSE)</f>
        <v>Anaita</v>
      </c>
      <c r="D11" s="29" t="str">
        <f>VLOOKUP(A11,Users!A:D,3,FALSE)</f>
        <v>Agatic</v>
      </c>
      <c r="E11" s="139">
        <f>COUNTIF(Visits!Y:Y,'Summer Challenge'!A11)</f>
        <v>0</v>
      </c>
      <c r="G11" cm="1">
        <f t="array" ref="G11">SUM(--(FREQUENCY(IF(Visits!E:E='Summer Challenge'!A11,Visits!Z:Z),Visits!Z:Z)&gt;0))</f>
        <v>1</v>
      </c>
      <c r="H11">
        <f>SUMIF(Visits!E:E,'Summer Challenge'!A11,Visits!Z:Z)</f>
        <v>1</v>
      </c>
      <c r="J11" s="147">
        <f t="shared" si="0"/>
        <v>5</v>
      </c>
      <c r="K11" s="147">
        <v>1</v>
      </c>
      <c r="L11" s="5">
        <f>SUMIF(Visits!E:E,'Summer Challenge'!A11,Visits!J:J)</f>
        <v>1</v>
      </c>
      <c r="M11" s="5">
        <f t="shared" si="1"/>
        <v>4</v>
      </c>
      <c r="N11" s="5"/>
      <c r="O11" t="str">
        <f>IF(IFERROR(VLOOKUP(Users!E9,Credits!A:A,1,FALSE),"NO")="NO","NO","YES")</f>
        <v>NO</v>
      </c>
      <c r="P11" t="s">
        <v>314</v>
      </c>
      <c r="Q11" t="str">
        <f>IF(SUM('User Engagement'!I11:J11)&gt;=0,"YES", "NO")</f>
        <v>YES</v>
      </c>
    </row>
    <row r="12" spans="1:19" ht="16" x14ac:dyDescent="0.2">
      <c r="A12" t="str">
        <f>Users!A10</f>
        <v>anamariaperu@hotmail.co.uk</v>
      </c>
      <c r="C12" s="29" t="str">
        <f>VLOOKUP(A12,Users!A:D,2,FALSE)</f>
        <v>Anamaria</v>
      </c>
      <c r="D12" s="29" t="str">
        <f>VLOOKUP(A12,Users!A:D,3,FALSE)</f>
        <v>Parsons</v>
      </c>
      <c r="E12" s="139">
        <f>COUNTIF(Visits!Y:Y,'Summer Challenge'!A12)</f>
        <v>0</v>
      </c>
      <c r="G12" cm="1">
        <f t="array" ref="G12">SUM(--(FREQUENCY(IF(Visits!E:E='Summer Challenge'!A12,Visits!Z:Z),Visits!Z:Z)&gt;0))</f>
        <v>1</v>
      </c>
      <c r="H12">
        <f>SUMIF(Visits!E:E,'Summer Challenge'!A12,Visits!Z:Z)</f>
        <v>4</v>
      </c>
      <c r="J12" s="147">
        <f t="shared" si="0"/>
        <v>5</v>
      </c>
      <c r="K12" s="147">
        <v>1</v>
      </c>
      <c r="L12" s="5">
        <f>SUMIF(Visits!E:E,'Summer Challenge'!A12,Visits!J:J)</f>
        <v>1</v>
      </c>
      <c r="M12" s="5">
        <f t="shared" si="1"/>
        <v>4</v>
      </c>
      <c r="N12" s="5"/>
      <c r="O12" t="str">
        <f>IF(IFERROR(VLOOKUP(Users!E10,Credits!A:A,1,FALSE),"NO")="NO","NO","YES")</f>
        <v>NO</v>
      </c>
      <c r="P12" t="s">
        <v>314</v>
      </c>
      <c r="Q12" t="str">
        <f>IF(SUM('User Engagement'!I12:J12)&gt;=0,"YES", "NO")</f>
        <v>YES</v>
      </c>
    </row>
    <row r="13" spans="1:19" ht="16" x14ac:dyDescent="0.2">
      <c r="A13" t="str">
        <f>Users!A11</f>
        <v>apbhetherington@gmail.com</v>
      </c>
      <c r="C13" s="29" t="str">
        <f>VLOOKUP(A13,Users!A:D,2,FALSE)</f>
        <v>Andrew</v>
      </c>
      <c r="D13" s="29" t="str">
        <f>VLOOKUP(A13,Users!A:D,3,FALSE)</f>
        <v>Hetherington</v>
      </c>
      <c r="E13" s="139">
        <f>COUNTIF(Visits!Y:Y,'Summer Challenge'!A13)</f>
        <v>0</v>
      </c>
      <c r="G13" cm="1">
        <f t="array" ref="G13">SUM(--(FREQUENCY(IF(Visits!E:E='Summer Challenge'!A13,Visits!Z:Z),Visits!Z:Z)&gt;0))</f>
        <v>1</v>
      </c>
      <c r="H13">
        <f>SUMIF(Visits!E:E,'Summer Challenge'!A13,Visits!Z:Z)</f>
        <v>1</v>
      </c>
      <c r="J13" s="147">
        <f t="shared" si="0"/>
        <v>5</v>
      </c>
      <c r="K13" s="147">
        <v>1</v>
      </c>
      <c r="L13" s="5">
        <f>SUMIF(Visits!E:E,'Summer Challenge'!A13,Visits!J:J)</f>
        <v>1</v>
      </c>
      <c r="M13" s="5">
        <f t="shared" si="1"/>
        <v>4</v>
      </c>
      <c r="N13" s="5"/>
      <c r="O13" t="str">
        <f>IF(IFERROR(VLOOKUP(Users!E11,Credits!A:A,1,FALSE),"NO")="NO","NO","YES")</f>
        <v>NO</v>
      </c>
      <c r="P13" t="s">
        <v>314</v>
      </c>
      <c r="Q13" t="str">
        <f>IF(SUM('User Engagement'!I13:J13)&gt;=0,"YES", "NO")</f>
        <v>YES</v>
      </c>
    </row>
    <row r="14" spans="1:19" ht="16" x14ac:dyDescent="0.2">
      <c r="A14" t="str">
        <f>Users!A12</f>
        <v>andrew.restlesspanda@gmail.com</v>
      </c>
      <c r="B14" s="80" t="str">
        <f>Users!D12</f>
        <v>+447536484874</v>
      </c>
      <c r="C14" s="29" t="str">
        <f>VLOOKUP(A14,Users!A:D,2,FALSE)</f>
        <v>Andrew</v>
      </c>
      <c r="D14" s="29" t="str">
        <f>VLOOKUP(A14,Users!A:D,3,FALSE)</f>
        <v>Ikonnikov</v>
      </c>
      <c r="E14" s="139">
        <f>COUNTIF(Visits!Y:Y,'Summer Challenge'!A14)</f>
        <v>0</v>
      </c>
      <c r="G14" cm="1">
        <f t="array" ref="G14">SUM(--(FREQUENCY(IF(Visits!E:E='Summer Challenge'!A14,Visits!Z:Z),Visits!Z:Z)&gt;0))</f>
        <v>1</v>
      </c>
      <c r="H14">
        <f>SUMIF(Visits!E:E,'Summer Challenge'!A14,Visits!Z:Z)</f>
        <v>4</v>
      </c>
      <c r="J14" s="147">
        <f t="shared" si="0"/>
        <v>5</v>
      </c>
      <c r="K14" s="147">
        <v>1</v>
      </c>
      <c r="L14" s="5">
        <f>SUMIF(Visits!E:E,'Summer Challenge'!A14,Visits!J:J)</f>
        <v>1</v>
      </c>
      <c r="M14" s="5">
        <f t="shared" si="1"/>
        <v>4</v>
      </c>
      <c r="N14" s="5"/>
      <c r="O14" t="str">
        <f>IF(IFERROR(VLOOKUP(Users!E12,Credits!A:A,1,FALSE),"NO")="NO","NO","YES")</f>
        <v>NO</v>
      </c>
      <c r="P14" t="s">
        <v>344</v>
      </c>
      <c r="Q14" t="str">
        <f>IF(SUM('User Engagement'!I14:J14)&gt;=0,"YES", "NO")</f>
        <v>YES</v>
      </c>
    </row>
    <row r="15" spans="1:19" ht="16" x14ac:dyDescent="0.2">
      <c r="A15" t="str">
        <f>Users!A13</f>
        <v>angelakiva10@gmail.com</v>
      </c>
      <c r="B15" s="80">
        <f>Users!D13</f>
        <v>7730398818</v>
      </c>
      <c r="C15" s="29" t="str">
        <f>VLOOKUP(A15,Users!A:D,2,FALSE)</f>
        <v>Angela</v>
      </c>
      <c r="D15" s="29" t="str">
        <f>VLOOKUP(A15,Users!A:D,3,FALSE)</f>
        <v>Kiva</v>
      </c>
      <c r="E15" s="139">
        <f>COUNTIF(Visits!Y:Y,'Summer Challenge'!A15)</f>
        <v>0</v>
      </c>
      <c r="G15" cm="1">
        <f t="array" ref="G15">SUM(--(FREQUENCY(IF(Visits!E:E='Summer Challenge'!A15,Visits!Z:Z),Visits!Z:Z)&gt;0))</f>
        <v>1</v>
      </c>
      <c r="H15">
        <f>SUMIF(Visits!E:E,'Summer Challenge'!A15,Visits!Z:Z)</f>
        <v>4</v>
      </c>
      <c r="J15" s="147">
        <f t="shared" si="0"/>
        <v>5</v>
      </c>
      <c r="K15" s="147">
        <v>1</v>
      </c>
      <c r="L15" s="5">
        <f>SUMIF(Visits!E:E,'Summer Challenge'!A15,Visits!J:J)</f>
        <v>1</v>
      </c>
      <c r="M15" s="5">
        <f t="shared" si="1"/>
        <v>4</v>
      </c>
      <c r="N15" s="146"/>
      <c r="O15" t="s">
        <v>314</v>
      </c>
      <c r="P15" t="s">
        <v>344</v>
      </c>
      <c r="Q15" t="str">
        <f>IF(SUM('User Engagement'!I15:J15)&gt;=0,"YES", "NO")</f>
        <v>YES</v>
      </c>
    </row>
    <row r="16" spans="1:19" ht="16" x14ac:dyDescent="0.2">
      <c r="A16" t="str">
        <f>Users!A14</f>
        <v>Anishasood26@gmail.com</v>
      </c>
      <c r="B16" s="80" t="str">
        <f>Users!D14</f>
        <v>+44 7873 956356</v>
      </c>
      <c r="C16" s="29" t="str">
        <f>VLOOKUP(A16,Users!A:D,2,FALSE)</f>
        <v>Anisha</v>
      </c>
      <c r="D16" s="29" t="str">
        <f>VLOOKUP(A16,Users!A:D,3,FALSE)</f>
        <v>Sood</v>
      </c>
      <c r="E16" s="139">
        <f>COUNTIF(Visits!Y:Y,'Summer Challenge'!A16)</f>
        <v>0</v>
      </c>
      <c r="G16" cm="1">
        <f t="array" ref="G16">SUM(--(FREQUENCY(IF(Visits!E:E='Summer Challenge'!A16,Visits!Z:Z),Visits!Z:Z)&gt;0))</f>
        <v>1</v>
      </c>
      <c r="H16">
        <f>SUMIF(Visits!E:E,'Summer Challenge'!A16,Visits!Z:Z)</f>
        <v>4</v>
      </c>
      <c r="J16" s="147">
        <f t="shared" si="0"/>
        <v>5</v>
      </c>
      <c r="K16" s="147">
        <v>1</v>
      </c>
      <c r="L16" s="5">
        <f>SUMIF(Visits!E:E,'Summer Challenge'!A16,Visits!J:J)</f>
        <v>1</v>
      </c>
      <c r="M16" s="5">
        <f t="shared" si="1"/>
        <v>4</v>
      </c>
      <c r="N16" s="5"/>
      <c r="O16" t="str">
        <f>IF(IFERROR(VLOOKUP(Users!E14,Credits!A:A,1,FALSE),"NO")="NO","NO","YES")</f>
        <v>NO</v>
      </c>
      <c r="P16" t="s">
        <v>344</v>
      </c>
      <c r="Q16" t="str">
        <f>IF(SUM('User Engagement'!I16:J16)&gt;=0,"YES", "NO")</f>
        <v>YES</v>
      </c>
    </row>
    <row r="17" spans="1:17" ht="16" x14ac:dyDescent="0.2">
      <c r="A17" t="str">
        <f>Users!A15</f>
        <v>audreyrebeccahutabarat@gmail.com</v>
      </c>
      <c r="C17" s="29" t="str">
        <f>VLOOKUP(A17,Users!A:D,2,FALSE)</f>
        <v>Audrey</v>
      </c>
      <c r="D17" s="29" t="str">
        <f>VLOOKUP(A17,Users!A:D,3,FALSE)</f>
        <v>Hutabarat</v>
      </c>
      <c r="E17" s="139">
        <f>COUNTIF(Visits!Y:Y,'Summer Challenge'!A17)</f>
        <v>0</v>
      </c>
      <c r="G17" cm="1">
        <f t="array" ref="G17">SUM(--(FREQUENCY(IF(Visits!E:E='Summer Challenge'!A17,Visits!Z:Z),Visits!Z:Z)&gt;0))</f>
        <v>1</v>
      </c>
      <c r="H17">
        <f>SUMIF(Visits!E:E,'Summer Challenge'!A17,Visits!Z:Z)</f>
        <v>8</v>
      </c>
      <c r="J17" s="147">
        <f t="shared" si="0"/>
        <v>10</v>
      </c>
      <c r="K17" s="147">
        <v>2</v>
      </c>
      <c r="L17" s="5">
        <f>SUMIF(Visits!E:E,'Summer Challenge'!A17,Visits!J:J)</f>
        <v>2</v>
      </c>
      <c r="M17" s="5">
        <f t="shared" si="1"/>
        <v>8</v>
      </c>
      <c r="N17" s="5"/>
      <c r="O17" t="str">
        <f>IF(IFERROR(VLOOKUP(Users!E15,Credits!A:A,1,FALSE),"NO")="NO","NO","YES")</f>
        <v>NO</v>
      </c>
      <c r="P17" t="s">
        <v>314</v>
      </c>
      <c r="Q17" t="str">
        <f>IF(SUM('User Engagement'!I17:J17)&gt;=0,"YES", "NO")</f>
        <v>YES</v>
      </c>
    </row>
    <row r="18" spans="1:17" ht="16" x14ac:dyDescent="0.2">
      <c r="A18" t="str">
        <f>Users!A16</f>
        <v>beverly.mccrory@gmail.com</v>
      </c>
      <c r="B18" s="80" t="str">
        <f>Users!D16</f>
        <v>+447300421972</v>
      </c>
      <c r="C18" s="29" t="str">
        <f>VLOOKUP(A18,Users!A:D,2,FALSE)</f>
        <v>Bev</v>
      </c>
      <c r="D18" s="29" t="str">
        <f>VLOOKUP(A18,Users!A:D,3,FALSE)</f>
        <v>McCrory</v>
      </c>
      <c r="E18" s="139">
        <f>COUNTIF(Visits!Y:Y,'Summer Challenge'!A18)</f>
        <v>0</v>
      </c>
      <c r="G18" cm="1">
        <f t="array" ref="G18">SUM(--(FREQUENCY(IF(Visits!E:E='Summer Challenge'!A18,Visits!Z:Z),Visits!Z:Z)&gt;0))</f>
        <v>1</v>
      </c>
      <c r="H18">
        <f>SUMIF(Visits!E:E,'Summer Challenge'!A18,Visits!Z:Z)</f>
        <v>8</v>
      </c>
      <c r="J18" s="147">
        <f t="shared" si="0"/>
        <v>10</v>
      </c>
      <c r="K18" s="147">
        <v>3</v>
      </c>
      <c r="L18" s="5">
        <f>SUMIF(Visits!E:E,'Summer Challenge'!A18,Visits!J:J)</f>
        <v>2</v>
      </c>
      <c r="M18" s="5">
        <f t="shared" si="1"/>
        <v>8</v>
      </c>
      <c r="N18" s="5"/>
      <c r="O18" t="str">
        <f>IF(IFERROR(VLOOKUP(Users!E16,Credits!A:A,1,FALSE),"NO")="NO","NO","YES")</f>
        <v>NO</v>
      </c>
      <c r="P18" t="s">
        <v>344</v>
      </c>
      <c r="Q18" t="str">
        <f>IF(SUM('User Engagement'!I18:J18)&gt;=0,"YES", "NO")</f>
        <v>YES</v>
      </c>
    </row>
    <row r="19" spans="1:17" ht="16" x14ac:dyDescent="0.2">
      <c r="A19" t="str">
        <f>Users!A17</f>
        <v>camilla@sphero.network</v>
      </c>
      <c r="C19" s="29" t="str">
        <f>VLOOKUP(A19,Users!A:D,2,FALSE)</f>
        <v>Camilla</v>
      </c>
      <c r="D19" s="29" t="str">
        <f>VLOOKUP(A19,Users!A:D,3,FALSE)</f>
        <v>Carrapatoso</v>
      </c>
      <c r="E19" s="139">
        <f>COUNTIF(Visits!Y:Y,'Summer Challenge'!A19)</f>
        <v>0</v>
      </c>
      <c r="G19" cm="1">
        <f t="array" ref="G19">SUM(--(FREQUENCY(IF(Visits!E:E='Summer Challenge'!A19,Visits!Z:Z),Visits!Z:Z)&gt;0))</f>
        <v>0</v>
      </c>
      <c r="H19">
        <f>SUMIF(Visits!E:E,'Summer Challenge'!A19,Visits!Z:Z)</f>
        <v>0</v>
      </c>
      <c r="J19" s="147">
        <f t="shared" si="0"/>
        <v>0</v>
      </c>
      <c r="K19" s="147">
        <v>0</v>
      </c>
      <c r="L19" s="5">
        <f>SUMIF(Visits!E:E,'Summer Challenge'!A19,Visits!J:J)</f>
        <v>0</v>
      </c>
      <c r="M19" s="5">
        <f t="shared" si="1"/>
        <v>0</v>
      </c>
      <c r="N19" s="5"/>
      <c r="O19" t="str">
        <f>IF(IFERROR(VLOOKUP(Users!E17,Credits!A:A,1,FALSE),"NO")="NO","NO","YES")</f>
        <v>NO</v>
      </c>
      <c r="P19" t="s">
        <v>314</v>
      </c>
      <c r="Q19" t="str">
        <f>IF(SUM('User Engagement'!I19:J19)&gt;=0,"YES", "NO")</f>
        <v>YES</v>
      </c>
    </row>
    <row r="20" spans="1:17" ht="16" x14ac:dyDescent="0.2">
      <c r="A20" t="str">
        <f>Users!A18</f>
        <v>sweetkowi@gmail.com</v>
      </c>
      <c r="C20" s="29" t="str">
        <f>VLOOKUP(A20,Users!A:D,2,FALSE)</f>
        <v>Cecilia</v>
      </c>
      <c r="D20" s="29" t="str">
        <f>VLOOKUP(A20,Users!A:D,3,FALSE)</f>
        <v>Lee</v>
      </c>
      <c r="E20" s="139">
        <f>COUNTIF(Visits!Y:Y,'Summer Challenge'!A20)</f>
        <v>0</v>
      </c>
      <c r="G20" cm="1">
        <f t="array" ref="G20">SUM(--(FREQUENCY(IF(Visits!E:E='Summer Challenge'!A20,Visits!Z:Z),Visits!Z:Z)&gt;0))</f>
        <v>1</v>
      </c>
      <c r="H20">
        <f>SUMIF(Visits!E:E,'Summer Challenge'!A20,Visits!Z:Z)</f>
        <v>4</v>
      </c>
      <c r="J20" s="147">
        <f t="shared" si="0"/>
        <v>5</v>
      </c>
      <c r="K20" s="147">
        <v>1</v>
      </c>
      <c r="L20" s="5">
        <f>SUMIF(Visits!E:E,'Summer Challenge'!A20,Visits!J:J)</f>
        <v>1</v>
      </c>
      <c r="M20" s="5">
        <f t="shared" si="1"/>
        <v>4</v>
      </c>
      <c r="N20" s="5"/>
      <c r="O20" t="str">
        <f>IF(IFERROR(VLOOKUP(Users!E18,Credits!A:A,1,FALSE),"NO")="NO","NO","YES")</f>
        <v>NO</v>
      </c>
      <c r="P20" t="s">
        <v>314</v>
      </c>
      <c r="Q20" t="str">
        <f>IF(SUM('User Engagement'!I20:J20)&gt;=0,"YES", "NO")</f>
        <v>YES</v>
      </c>
    </row>
    <row r="21" spans="1:17" ht="16" x14ac:dyDescent="0.2">
      <c r="A21" t="str">
        <f>Users!A19</f>
        <v>celia.sattamino@gmail.com</v>
      </c>
      <c r="B21" s="80" t="str">
        <f>Users!D19</f>
        <v>+44 7939 929263</v>
      </c>
      <c r="C21" s="29" t="str">
        <f>VLOOKUP(A21,Users!A:D,2,FALSE)</f>
        <v>Celia</v>
      </c>
      <c r="D21" s="29" t="str">
        <f>VLOOKUP(A21,Users!A:D,3,FALSE)</f>
        <v>Sattamino</v>
      </c>
      <c r="E21" s="139">
        <f>COUNTIF(Visits!Y:Y,'Summer Challenge'!A21)</f>
        <v>0</v>
      </c>
      <c r="G21" cm="1">
        <f t="array" ref="G21">SUM(--(FREQUENCY(IF(Visits!E:E='Summer Challenge'!A21,Visits!Z:Z),Visits!Z:Z)&gt;0))</f>
        <v>2</v>
      </c>
      <c r="H21">
        <f>SUMIF(Visits!E:E,'Summer Challenge'!A21,Visits!Z:Z)</f>
        <v>5</v>
      </c>
      <c r="J21" s="147">
        <f t="shared" si="0"/>
        <v>10</v>
      </c>
      <c r="K21" s="147">
        <v>2</v>
      </c>
      <c r="L21" s="5">
        <f>SUMIF(Visits!E:E,'Summer Challenge'!A21,Visits!J:J)</f>
        <v>2</v>
      </c>
      <c r="M21" s="5">
        <f t="shared" si="1"/>
        <v>8</v>
      </c>
      <c r="N21" s="5"/>
      <c r="O21" t="str">
        <f>IF(IFERROR(VLOOKUP(Users!E19,Credits!A:A,1,FALSE),"NO")="NO","NO","YES")</f>
        <v>NO</v>
      </c>
      <c r="P21" t="s">
        <v>344</v>
      </c>
      <c r="Q21" t="str">
        <f>IF(SUM('User Engagement'!I21:J21)&gt;=0,"YES", "NO")</f>
        <v>YES</v>
      </c>
    </row>
    <row r="22" spans="1:17" ht="16" x14ac:dyDescent="0.2">
      <c r="A22" t="str">
        <f>Users!A20</f>
        <v>Clairelouisecouchman@hotmail.com</v>
      </c>
      <c r="B22" s="80" t="str">
        <f>Users!D20</f>
        <v>07739139930</v>
      </c>
      <c r="C22" s="29" t="str">
        <f>VLOOKUP(A22,Users!A:D,2,FALSE)</f>
        <v>Claire</v>
      </c>
      <c r="D22" s="29" t="str">
        <f>VLOOKUP(A22,Users!A:D,3,FALSE)</f>
        <v>Couchman</v>
      </c>
      <c r="E22" s="139">
        <f>COUNTIF(Visits!Y:Y,'Summer Challenge'!A22)</f>
        <v>0</v>
      </c>
      <c r="G22" cm="1">
        <f t="array" ref="G22">SUM(--(FREQUENCY(IF(Visits!E:E='Summer Challenge'!A22,Visits!Z:Z),Visits!Z:Z)&gt;0))</f>
        <v>2</v>
      </c>
      <c r="H22">
        <f>SUMIF(Visits!E:E,'Summer Challenge'!A22,Visits!Z:Z)</f>
        <v>24</v>
      </c>
      <c r="I22" s="143">
        <v>2</v>
      </c>
      <c r="J22" s="147">
        <f t="shared" si="0"/>
        <v>45</v>
      </c>
      <c r="K22" s="147">
        <v>9</v>
      </c>
      <c r="L22" s="5">
        <f>SUMIF(Visits!E:E,'Summer Challenge'!A22,Visits!J:J)</f>
        <v>9</v>
      </c>
      <c r="M22" s="5">
        <f t="shared" si="1"/>
        <v>36</v>
      </c>
      <c r="N22" s="146" t="s">
        <v>343</v>
      </c>
      <c r="O22" t="str">
        <f>IF(IFERROR(VLOOKUP(Users!E20,Credits!A:A,1,FALSE),"NO")="NO","NO","YES")</f>
        <v>YES</v>
      </c>
      <c r="P22" t="s">
        <v>344</v>
      </c>
      <c r="Q22" t="str">
        <f>IF(SUM('User Engagement'!I22:J22)&gt;=0,"YES", "NO")</f>
        <v>YES</v>
      </c>
    </row>
    <row r="23" spans="1:17" ht="16" x14ac:dyDescent="0.2">
      <c r="A23" t="str">
        <f>Users!A21</f>
        <v>claudiapaicu@yahoo.com</v>
      </c>
      <c r="B23" s="80" t="str">
        <f>Users!D21</f>
        <v>07877845663</v>
      </c>
      <c r="C23" s="29" t="str">
        <f>VLOOKUP(A23,Users!A:D,2,FALSE)</f>
        <v>Claudia</v>
      </c>
      <c r="D23" s="29" t="str">
        <f>VLOOKUP(A23,Users!A:D,3,FALSE)</f>
        <v>Claudia</v>
      </c>
      <c r="E23" s="139">
        <f>COUNTIF(Visits!Y:Y,'Summer Challenge'!A23)</f>
        <v>0</v>
      </c>
      <c r="G23" cm="1">
        <f t="array" ref="G23">SUM(--(FREQUENCY(IF(Visits!E:E='Summer Challenge'!A23,Visits!Z:Z),Visits!Z:Z)&gt;0))</f>
        <v>1</v>
      </c>
      <c r="H23">
        <f>SUMIF(Visits!E:E,'Summer Challenge'!A23,Visits!Z:Z)</f>
        <v>12</v>
      </c>
      <c r="J23" s="147">
        <f t="shared" si="0"/>
        <v>15</v>
      </c>
      <c r="K23" s="147">
        <v>3</v>
      </c>
      <c r="L23" s="5">
        <f>SUMIF(Visits!E:E,'Summer Challenge'!A23,Visits!J:J)</f>
        <v>3</v>
      </c>
      <c r="M23" s="5">
        <f t="shared" si="1"/>
        <v>12</v>
      </c>
      <c r="N23" s="5" t="s">
        <v>343</v>
      </c>
      <c r="O23" t="str">
        <f>IF(IFERROR(VLOOKUP(Users!E21,Credits!A:A,1,FALSE),"NO")="NO","NO","YES")</f>
        <v>NO</v>
      </c>
      <c r="P23" t="s">
        <v>344</v>
      </c>
      <c r="Q23" t="str">
        <f>IF(SUM('User Engagement'!I23:J23)&gt;=0,"YES", "NO")</f>
        <v>YES</v>
      </c>
    </row>
    <row r="24" spans="1:17" ht="16" x14ac:dyDescent="0.2">
      <c r="A24" t="str">
        <f>Users!A22</f>
        <v>Corneliu.civig@gmail.com</v>
      </c>
      <c r="B24" s="80">
        <f>Users!D22</f>
        <v>0</v>
      </c>
      <c r="C24" s="29" t="str">
        <f>VLOOKUP(A24,Users!A:D,2,FALSE)</f>
        <v>Corneliu</v>
      </c>
      <c r="D24" s="29" t="str">
        <f>VLOOKUP(A24,Users!A:D,3,FALSE)</f>
        <v>Civig</v>
      </c>
      <c r="E24" s="139">
        <f>COUNTIF(Visits!Y:Y,'Summer Challenge'!A24)</f>
        <v>0</v>
      </c>
      <c r="G24" cm="1">
        <f t="array" ref="G24">SUM(--(FREQUENCY(IF(Visits!E:E='Summer Challenge'!A24,Visits!Z:Z),Visits!Z:Z)&gt;0))</f>
        <v>1</v>
      </c>
      <c r="H24">
        <f>SUMIF(Visits!E:E,'Summer Challenge'!A24,Visits!Z:Z)</f>
        <v>4</v>
      </c>
      <c r="J24" s="147">
        <f t="shared" si="0"/>
        <v>5</v>
      </c>
      <c r="K24" s="147">
        <v>1</v>
      </c>
      <c r="L24" s="5">
        <f>SUMIF(Visits!E:E,'Summer Challenge'!A24,Visits!J:J)</f>
        <v>1</v>
      </c>
      <c r="M24" s="5">
        <f t="shared" si="1"/>
        <v>4</v>
      </c>
      <c r="N24" s="5"/>
      <c r="O24" t="str">
        <f>IF(IFERROR(VLOOKUP(Users!E22,Credits!A:A,1,FALSE),"NO")="NO","NO","YES")</f>
        <v>NO</v>
      </c>
      <c r="P24" t="s">
        <v>344</v>
      </c>
      <c r="Q24" t="str">
        <f>IF(SUM('User Engagement'!I24:J24)&gt;=0,"YES", "NO")</f>
        <v>YES</v>
      </c>
    </row>
    <row r="25" spans="1:17" ht="16" x14ac:dyDescent="0.2">
      <c r="A25" t="str">
        <f>Users!A23</f>
        <v>daniel.lugg@yahoo.com</v>
      </c>
      <c r="B25" s="80" t="str">
        <f>Users!D23</f>
        <v>07476276978</v>
      </c>
      <c r="C25" s="29" t="str">
        <f>VLOOKUP(A25,Users!A:D,2,FALSE)</f>
        <v>Daniel</v>
      </c>
      <c r="D25" s="29" t="str">
        <f>VLOOKUP(A25,Users!A:D,3,FALSE)</f>
        <v>Lugg</v>
      </c>
      <c r="E25" s="139">
        <f>COUNTIF(Visits!Y:Y,'Summer Challenge'!A25)</f>
        <v>0</v>
      </c>
      <c r="G25" cm="1">
        <f t="array" ref="G25">SUM(--(FREQUENCY(IF(Visits!E:E='Summer Challenge'!A25,Visits!Z:Z),Visits!Z:Z)&gt;0))</f>
        <v>2</v>
      </c>
      <c r="H25">
        <f>SUMIF(Visits!E:E,'Summer Challenge'!A25,Visits!Z:Z)</f>
        <v>27</v>
      </c>
      <c r="J25" s="147">
        <f t="shared" si="0"/>
        <v>45</v>
      </c>
      <c r="K25" s="147">
        <v>9</v>
      </c>
      <c r="L25" s="5">
        <f>SUMIF(Visits!E:E,'Summer Challenge'!A25,Visits!J:J)</f>
        <v>9</v>
      </c>
      <c r="M25" s="5">
        <f t="shared" si="1"/>
        <v>36</v>
      </c>
      <c r="N25" s="146" t="s">
        <v>343</v>
      </c>
      <c r="O25" t="str">
        <f>IF(IFERROR(VLOOKUP(Users!E23,Credits!A:A,1,FALSE),"NO")="NO","NO","YES")</f>
        <v>YES</v>
      </c>
      <c r="P25" t="s">
        <v>344</v>
      </c>
      <c r="Q25" t="str">
        <f>IF(SUM('User Engagement'!I25:J25)&gt;=0,"YES", "NO")</f>
        <v>YES</v>
      </c>
    </row>
    <row r="26" spans="1:17" ht="16" x14ac:dyDescent="0.2">
      <c r="A26" t="str">
        <f>Users!A24</f>
        <v>dmello.daniel@gmail.com</v>
      </c>
      <c r="B26" s="80" t="str">
        <f>Users!D24</f>
        <v>+447774734706</v>
      </c>
      <c r="C26" s="29" t="str">
        <f>VLOOKUP(A26,Users!A:D,2,FALSE)</f>
        <v>Daniel</v>
      </c>
      <c r="D26" s="29" t="str">
        <f>VLOOKUP(A26,Users!A:D,3,FALSE)</f>
        <v>Dmello</v>
      </c>
      <c r="E26" s="139">
        <f>COUNTIF(Visits!Y:Y,'Summer Challenge'!A26)</f>
        <v>0</v>
      </c>
      <c r="G26" cm="1">
        <f t="array" ref="G26">SUM(--(FREQUENCY(IF(Visits!E:E='Summer Challenge'!A26,Visits!Z:Z),Visits!Z:Z)&gt;0))</f>
        <v>1</v>
      </c>
      <c r="H26">
        <f>SUMIF(Visits!E:E,'Summer Challenge'!A26,Visits!Z:Z)</f>
        <v>4</v>
      </c>
      <c r="J26" s="147">
        <f t="shared" si="0"/>
        <v>5</v>
      </c>
      <c r="K26" s="147">
        <v>1</v>
      </c>
      <c r="L26" s="5">
        <f>SUMIF(Visits!E:E,'Summer Challenge'!A26,Visits!J:J)</f>
        <v>1</v>
      </c>
      <c r="M26" s="5">
        <f t="shared" si="1"/>
        <v>4</v>
      </c>
      <c r="N26" s="5"/>
      <c r="O26" t="str">
        <f>IF(IFERROR(VLOOKUP(Users!E24,Credits!A:A,1,FALSE),"NO")="NO","NO","YES")</f>
        <v>NO</v>
      </c>
      <c r="P26" t="s">
        <v>344</v>
      </c>
      <c r="Q26" t="str">
        <f>IF(SUM('User Engagement'!I26:J26)&gt;=0,"YES", "NO")</f>
        <v>YES</v>
      </c>
    </row>
    <row r="27" spans="1:17" ht="16" x14ac:dyDescent="0.2">
      <c r="A27" t="str">
        <f>Users!A25</f>
        <v>jones_daniela@yahoo.co.uk</v>
      </c>
      <c r="B27" s="80" t="str">
        <f>Users!D25</f>
        <v>07979647510</v>
      </c>
      <c r="C27" s="29" t="str">
        <f>VLOOKUP(A27,Users!A:D,2,FALSE)</f>
        <v>Daniela</v>
      </c>
      <c r="D27" s="29" t="str">
        <f>VLOOKUP(A27,Users!A:D,3,FALSE)</f>
        <v>Jones</v>
      </c>
      <c r="E27" s="139">
        <f>COUNTIF(Visits!Y:Y,'Summer Challenge'!A27)</f>
        <v>0</v>
      </c>
      <c r="G27" cm="1">
        <f t="array" ref="G27">SUM(--(FREQUENCY(IF(Visits!E:E='Summer Challenge'!A27,Visits!Z:Z),Visits!Z:Z)&gt;0))</f>
        <v>2</v>
      </c>
      <c r="H27">
        <f>SUMIF(Visits!E:E,'Summer Challenge'!A27,Visits!Z:Z)</f>
        <v>13</v>
      </c>
      <c r="J27" s="147">
        <f t="shared" si="0"/>
        <v>20</v>
      </c>
      <c r="K27" s="147">
        <v>4</v>
      </c>
      <c r="L27" s="5">
        <f>SUMIF(Visits!E:E,'Summer Challenge'!A27,Visits!J:J)</f>
        <v>4</v>
      </c>
      <c r="M27" s="5">
        <f t="shared" si="1"/>
        <v>16</v>
      </c>
      <c r="N27" s="146" t="s">
        <v>343</v>
      </c>
      <c r="O27" t="str">
        <f>IF(IFERROR(VLOOKUP(Users!E25,Credits!A:A,1,FALSE),"NO")="NO","NO","YES")</f>
        <v>YES</v>
      </c>
      <c r="P27" t="s">
        <v>344</v>
      </c>
      <c r="Q27" t="str">
        <f>IF(SUM('User Engagement'!I27:J27)&gt;=0,"YES", "NO")</f>
        <v>YES</v>
      </c>
    </row>
    <row r="28" spans="1:17" ht="16" x14ac:dyDescent="0.2">
      <c r="A28" t="str">
        <f>Users!A26</f>
        <v>dmbarden@hotmail.co.uk</v>
      </c>
      <c r="C28" s="29" t="str">
        <f>VLOOKUP(A28,Users!A:D,2,FALSE)</f>
        <v>David</v>
      </c>
      <c r="D28" s="29" t="str">
        <f>VLOOKUP(A28,Users!A:D,3,FALSE)</f>
        <v>Barden</v>
      </c>
      <c r="E28" s="139">
        <f>COUNTIF(Visits!Y:Y,'Summer Challenge'!A28)</f>
        <v>0</v>
      </c>
      <c r="G28" cm="1">
        <f t="array" ref="G28">SUM(--(FREQUENCY(IF(Visits!E:E='Summer Challenge'!A28,Visits!Z:Z),Visits!Z:Z)&gt;0))</f>
        <v>1</v>
      </c>
      <c r="H28">
        <f>SUMIF(Visits!E:E,'Summer Challenge'!A28,Visits!Z:Z)</f>
        <v>4</v>
      </c>
      <c r="J28" s="147">
        <f t="shared" si="0"/>
        <v>5</v>
      </c>
      <c r="K28" s="147">
        <v>1</v>
      </c>
      <c r="L28" s="5">
        <f>SUMIF(Visits!E:E,'Summer Challenge'!A28,Visits!J:J)</f>
        <v>1</v>
      </c>
      <c r="M28" s="5">
        <f t="shared" si="1"/>
        <v>4</v>
      </c>
      <c r="N28" s="5"/>
      <c r="O28" t="str">
        <f>IF(IFERROR(VLOOKUP(Users!E26,Credits!A:A,1,FALSE),"NO")="NO","NO","YES")</f>
        <v>NO</v>
      </c>
      <c r="P28" t="s">
        <v>314</v>
      </c>
      <c r="Q28" t="str">
        <f>IF(SUM('User Engagement'!I28:J28)&gt;=0,"YES", "NO")</f>
        <v>YES</v>
      </c>
    </row>
    <row r="29" spans="1:17" ht="16" x14ac:dyDescent="0.2">
      <c r="A29" t="str">
        <f>Users!A27</f>
        <v>david.flatscher@gmail.com</v>
      </c>
      <c r="B29" s="80" t="str">
        <f>Users!D27</f>
        <v>+44 7707665074</v>
      </c>
      <c r="C29" s="29" t="str">
        <f>VLOOKUP(A29,Users!A:D,2,FALSE)</f>
        <v xml:space="preserve">David </v>
      </c>
      <c r="D29" s="29" t="str">
        <f>VLOOKUP(A29,Users!A:D,3,FALSE)</f>
        <v>Flatscher</v>
      </c>
      <c r="E29" s="139">
        <f>COUNTIF(Visits!Y:Y,'Summer Challenge'!A29)</f>
        <v>0</v>
      </c>
      <c r="G29" cm="1">
        <f t="array" ref="G29">SUM(--(FREQUENCY(IF(Visits!E:E='Summer Challenge'!A29,Visits!Z:Z),Visits!Z:Z)&gt;0))</f>
        <v>1</v>
      </c>
      <c r="H29">
        <f>SUMIF(Visits!E:E,'Summer Challenge'!A29,Visits!Z:Z)</f>
        <v>1</v>
      </c>
      <c r="J29" s="147">
        <f t="shared" si="0"/>
        <v>5</v>
      </c>
      <c r="K29" s="147">
        <v>1</v>
      </c>
      <c r="L29" s="5">
        <f>SUMIF(Visits!E:E,'Summer Challenge'!A29,Visits!J:J)</f>
        <v>1</v>
      </c>
      <c r="M29" s="5">
        <f t="shared" si="1"/>
        <v>4</v>
      </c>
      <c r="N29" s="5"/>
      <c r="O29" t="str">
        <f>IF(IFERROR(VLOOKUP(Users!E27,Credits!A:A,1,FALSE),"NO")="NO","NO","YES")</f>
        <v>NO</v>
      </c>
      <c r="P29" t="s">
        <v>344</v>
      </c>
      <c r="Q29" t="str">
        <f>IF(SUM('User Engagement'!I29:J29)&gt;=0,"YES", "NO")</f>
        <v>YES</v>
      </c>
    </row>
    <row r="30" spans="1:17" ht="16" x14ac:dyDescent="0.2">
      <c r="A30" t="str">
        <f>Users!A28</f>
        <v>d.v.davideveronese@gmail.com</v>
      </c>
      <c r="B30" s="80" t="str">
        <f>Users!D28</f>
        <v>07342248068</v>
      </c>
      <c r="C30" s="29" t="str">
        <f>VLOOKUP(A30,Users!A:D,2,FALSE)</f>
        <v>Davide</v>
      </c>
      <c r="D30" s="29" t="str">
        <f>VLOOKUP(A30,Users!A:D,3,FALSE)</f>
        <v>Veronese</v>
      </c>
      <c r="E30" s="139">
        <f>COUNTIF(Visits!Y:Y,'Summer Challenge'!A30)</f>
        <v>0</v>
      </c>
      <c r="G30" cm="1">
        <f t="array" ref="G30">SUM(--(FREQUENCY(IF(Visits!E:E='Summer Challenge'!A30,Visits!Z:Z),Visits!Z:Z)&gt;0))</f>
        <v>1</v>
      </c>
      <c r="H30">
        <f>SUMIF(Visits!E:E,'Summer Challenge'!A30,Visits!Z:Z)</f>
        <v>8</v>
      </c>
      <c r="J30" s="147">
        <f t="shared" si="0"/>
        <v>10</v>
      </c>
      <c r="K30" s="147">
        <v>2</v>
      </c>
      <c r="L30" s="5">
        <f>SUMIF(Visits!E:E,'Summer Challenge'!A30,Visits!J:J)</f>
        <v>2</v>
      </c>
      <c r="M30" s="5">
        <f t="shared" si="1"/>
        <v>8</v>
      </c>
      <c r="N30" s="5"/>
      <c r="O30" t="str">
        <f>IF(IFERROR(VLOOKUP(Users!E28,Credits!A:A,1,FALSE),"NO")="NO","NO","YES")</f>
        <v>NO</v>
      </c>
      <c r="P30" t="s">
        <v>344</v>
      </c>
      <c r="Q30" t="str">
        <f>IF(SUM('User Engagement'!I30:J30)&gt;=0,"YES", "NO")</f>
        <v>YES</v>
      </c>
    </row>
    <row r="31" spans="1:17" ht="16" x14ac:dyDescent="0.2">
      <c r="A31" t="str">
        <f>Users!A29</f>
        <v>dildeep96@gmail.com</v>
      </c>
      <c r="B31" s="80" t="str">
        <f>Users!D29</f>
        <v>07506474016</v>
      </c>
      <c r="C31" s="29" t="str">
        <f>VLOOKUP(A31,Users!A:D,2,FALSE)</f>
        <v>Dildeep</v>
      </c>
      <c r="D31" s="29" t="str">
        <f>VLOOKUP(A31,Users!A:D,3,FALSE)</f>
        <v>Singh</v>
      </c>
      <c r="E31" s="139">
        <f>COUNTIF(Visits!Y:Y,'Summer Challenge'!A31)</f>
        <v>0</v>
      </c>
      <c r="G31" cm="1">
        <f t="array" ref="G31">SUM(--(FREQUENCY(IF(Visits!E:E='Summer Challenge'!A31,Visits!Z:Z),Visits!Z:Z)&gt;0))</f>
        <v>1</v>
      </c>
      <c r="H31">
        <f>SUMIF(Visits!E:E,'Summer Challenge'!A31,Visits!Z:Z)</f>
        <v>8</v>
      </c>
      <c r="J31" s="147">
        <f t="shared" si="0"/>
        <v>10</v>
      </c>
      <c r="K31" s="147">
        <v>2</v>
      </c>
      <c r="L31" s="5">
        <f>SUMIF(Visits!E:E,'Summer Challenge'!A31,Visits!J:J)</f>
        <v>2</v>
      </c>
      <c r="M31" s="5">
        <f t="shared" si="1"/>
        <v>8</v>
      </c>
      <c r="N31" s="146"/>
      <c r="O31" t="str">
        <f>IF(IFERROR(VLOOKUP(Users!E29,Credits!A:A,1,FALSE),"NO")="NO","NO","YES")</f>
        <v>YES</v>
      </c>
      <c r="P31" t="s">
        <v>344</v>
      </c>
      <c r="Q31" t="str">
        <f>IF(SUM('User Engagement'!I31:J31)&gt;=0,"YES", "NO")</f>
        <v>YES</v>
      </c>
    </row>
    <row r="32" spans="1:17" ht="16" x14ac:dyDescent="0.2">
      <c r="A32" t="str">
        <f>Users!A30</f>
        <v>imanbudget@yahoo.co.uk</v>
      </c>
      <c r="B32" s="80" t="str">
        <f>Users!D30</f>
        <v xml:space="preserve"> 07818313299</v>
      </c>
      <c r="C32" s="29" t="str">
        <f>VLOOKUP(A32,Users!A:D,2,FALSE)</f>
        <v>Donna</v>
      </c>
      <c r="D32" s="29" t="str">
        <f>VLOOKUP(A32,Users!A:D,3,FALSE)</f>
        <v>Achara</v>
      </c>
      <c r="E32" s="139">
        <f>COUNTIF(Visits!Y:Y,'Summer Challenge'!A32)</f>
        <v>0</v>
      </c>
      <c r="G32" cm="1">
        <f t="array" ref="G32">SUM(--(FREQUENCY(IF(Visits!E:E='Summer Challenge'!A32,Visits!Z:Z),Visits!Z:Z)&gt;0))</f>
        <v>1</v>
      </c>
      <c r="H32">
        <f>SUMIF(Visits!E:E,'Summer Challenge'!A32,Visits!Z:Z)</f>
        <v>1</v>
      </c>
      <c r="J32" s="147">
        <f t="shared" si="0"/>
        <v>5</v>
      </c>
      <c r="K32" s="147">
        <v>1</v>
      </c>
      <c r="L32" s="5">
        <f>SUMIF(Visits!E:E,'Summer Challenge'!A32,Visits!J:J)</f>
        <v>1</v>
      </c>
      <c r="M32" s="5">
        <f t="shared" si="1"/>
        <v>4</v>
      </c>
      <c r="N32" s="5"/>
      <c r="O32" t="str">
        <f>IF(IFERROR(VLOOKUP(Users!E30,Credits!A:A,1,FALSE),"NO")="NO","NO","YES")</f>
        <v>NO</v>
      </c>
      <c r="P32" t="s">
        <v>344</v>
      </c>
      <c r="Q32" t="str">
        <f>IF(SUM('User Engagement'!I32:J32)&gt;=0,"YES", "NO")</f>
        <v>YES</v>
      </c>
    </row>
    <row r="33" spans="1:17" ht="16" x14ac:dyDescent="0.2">
      <c r="A33" t="str">
        <f>Users!A31</f>
        <v>egemensiphone@gmail.com</v>
      </c>
      <c r="C33" s="29" t="str">
        <f>VLOOKUP(A33,Users!A:D,2,FALSE)</f>
        <v>Egemen</v>
      </c>
      <c r="D33" s="29" t="str">
        <f>VLOOKUP(A33,Users!A:D,3,FALSE)</f>
        <v>U</v>
      </c>
      <c r="E33" s="139">
        <f>COUNTIF(Visits!Y:Y,'Summer Challenge'!A33)</f>
        <v>0</v>
      </c>
      <c r="G33" cm="1">
        <f t="array" ref="G33">SUM(--(FREQUENCY(IF(Visits!E:E='Summer Challenge'!A33,Visits!Z:Z),Visits!Z:Z)&gt;0))</f>
        <v>1</v>
      </c>
      <c r="H33">
        <f>SUMIF(Visits!E:E,'Summer Challenge'!A33,Visits!Z:Z)</f>
        <v>4</v>
      </c>
      <c r="J33" s="147">
        <f t="shared" si="0"/>
        <v>5</v>
      </c>
      <c r="K33" s="147">
        <v>1</v>
      </c>
      <c r="L33" s="5">
        <f>SUMIF(Visits!E:E,'Summer Challenge'!A33,Visits!J:J)</f>
        <v>1</v>
      </c>
      <c r="M33" s="5">
        <f t="shared" si="1"/>
        <v>4</v>
      </c>
      <c r="N33" s="5"/>
      <c r="O33" t="str">
        <f>IF(IFERROR(VLOOKUP(Users!E31,Credits!A:A,1,FALSE),"NO")="NO","NO","YES")</f>
        <v>NO</v>
      </c>
      <c r="P33" t="s">
        <v>314</v>
      </c>
      <c r="Q33" t="str">
        <f>IF(SUM('User Engagement'!I33:J33)&gt;=0,"YES", "NO")</f>
        <v>YES</v>
      </c>
    </row>
    <row r="34" spans="1:17" ht="16" x14ac:dyDescent="0.2">
      <c r="A34" t="str">
        <f>Users!A32</f>
        <v>ejike.onuchukwu@gmail.com</v>
      </c>
      <c r="B34" s="80" t="str">
        <f>Users!D32</f>
        <v>07875 521439</v>
      </c>
      <c r="C34" s="29" t="str">
        <f>VLOOKUP(A34,Users!A:D,2,FALSE)</f>
        <v>Ejike</v>
      </c>
      <c r="D34" s="29" t="str">
        <f>VLOOKUP(A34,Users!A:D,3,FALSE)</f>
        <v>Onuchukwu</v>
      </c>
      <c r="E34" s="139">
        <f>COUNTIF(Visits!Y:Y,'Summer Challenge'!A34)</f>
        <v>0</v>
      </c>
      <c r="G34" cm="1">
        <f t="array" ref="G34">SUM(--(FREQUENCY(IF(Visits!E:E='Summer Challenge'!A34,Visits!Z:Z),Visits!Z:Z)&gt;0))</f>
        <v>1</v>
      </c>
      <c r="H34">
        <f>SUMIF(Visits!E:E,'Summer Challenge'!A34,Visits!Z:Z)</f>
        <v>1</v>
      </c>
      <c r="J34" s="147">
        <f t="shared" si="0"/>
        <v>5</v>
      </c>
      <c r="K34" s="147">
        <v>1</v>
      </c>
      <c r="L34" s="5">
        <f>SUMIF(Visits!E:E,'Summer Challenge'!A34,Visits!J:J)</f>
        <v>1</v>
      </c>
      <c r="M34" s="5">
        <f t="shared" si="1"/>
        <v>4</v>
      </c>
      <c r="N34" s="5"/>
      <c r="O34" t="str">
        <f>IF(IFERROR(VLOOKUP(Users!E32,Credits!A:A,1,FALSE),"NO")="NO","NO","YES")</f>
        <v>NO</v>
      </c>
      <c r="P34" t="s">
        <v>344</v>
      </c>
      <c r="Q34" t="str">
        <f>IF(SUM('User Engagement'!I34:J34)&gt;=0,"YES", "NO")</f>
        <v>YES</v>
      </c>
    </row>
    <row r="35" spans="1:17" ht="16" x14ac:dyDescent="0.2">
      <c r="A35" t="str">
        <f>Users!A33</f>
        <v>edementyeva@yandex.ru</v>
      </c>
      <c r="B35" s="80" t="str">
        <f>Users!D33</f>
        <v>+44 7879 043769</v>
      </c>
      <c r="C35" s="29" t="str">
        <f>VLOOKUP(A35,Users!A:D,2,FALSE)</f>
        <v>Elena</v>
      </c>
      <c r="D35" s="29" t="str">
        <f>VLOOKUP(A35,Users!A:D,3,FALSE)</f>
        <v>Dementeva</v>
      </c>
      <c r="E35" s="139">
        <f>COUNTIF(Visits!Y:Y,'Summer Challenge'!A35)</f>
        <v>0</v>
      </c>
      <c r="G35" cm="1">
        <f t="array" ref="G35">SUM(--(FREQUENCY(IF(Visits!E:E='Summer Challenge'!A35,Visits!Z:Z),Visits!Z:Z)&gt;0))</f>
        <v>1</v>
      </c>
      <c r="H35">
        <f>SUMIF(Visits!E:E,'Summer Challenge'!A35,Visits!Z:Z)</f>
        <v>4</v>
      </c>
      <c r="J35" s="147">
        <f t="shared" si="0"/>
        <v>5</v>
      </c>
      <c r="K35" s="147">
        <v>1</v>
      </c>
      <c r="L35" s="5">
        <f>SUMIF(Visits!E:E,'Summer Challenge'!A35,Visits!J:J)</f>
        <v>1</v>
      </c>
      <c r="M35" s="5">
        <f t="shared" si="1"/>
        <v>4</v>
      </c>
      <c r="N35" s="146"/>
      <c r="O35" t="str">
        <f>IF(IFERROR(VLOOKUP(Users!E33,Credits!A:A,1,FALSE),"NO")="NO","NO","YES")</f>
        <v>YES</v>
      </c>
      <c r="P35" t="s">
        <v>344</v>
      </c>
      <c r="Q35" t="str">
        <f>IF(SUM('User Engagement'!I35:J35)&gt;=0,"YES", "NO")</f>
        <v>YES</v>
      </c>
    </row>
    <row r="36" spans="1:17" ht="16" x14ac:dyDescent="0.2">
      <c r="A36" t="str">
        <f>Users!A34</f>
        <v>elena27kuv@gmail.com</v>
      </c>
      <c r="C36" s="29" t="str">
        <f>VLOOKUP(A36,Users!A:D,2,FALSE)</f>
        <v>Elena</v>
      </c>
      <c r="D36" s="29" t="str">
        <f>VLOOKUP(A36,Users!A:D,3,FALSE)</f>
        <v>Kuvshinnikova</v>
      </c>
      <c r="E36" s="139">
        <f>COUNTIF(Visits!Y:Y,'Summer Challenge'!A36)</f>
        <v>0</v>
      </c>
      <c r="G36" cm="1">
        <f t="array" ref="G36">SUM(--(FREQUENCY(IF(Visits!E:E='Summer Challenge'!A36,Visits!Z:Z),Visits!Z:Z)&gt;0))</f>
        <v>1</v>
      </c>
      <c r="H36">
        <f>SUMIF(Visits!E:E,'Summer Challenge'!A36,Visits!Z:Z)</f>
        <v>4</v>
      </c>
      <c r="J36" s="147">
        <f t="shared" si="0"/>
        <v>5</v>
      </c>
      <c r="K36" s="147">
        <v>1</v>
      </c>
      <c r="L36" s="5">
        <f>SUMIF(Visits!E:E,'Summer Challenge'!A36,Visits!J:J)</f>
        <v>1</v>
      </c>
      <c r="M36" s="5">
        <f t="shared" si="1"/>
        <v>4</v>
      </c>
      <c r="N36" s="5"/>
      <c r="O36" t="str">
        <f>IF(IFERROR(VLOOKUP(Users!E34,Credits!A:A,1,FALSE),"NO")="NO","NO","YES")</f>
        <v>NO</v>
      </c>
      <c r="P36" t="s">
        <v>314</v>
      </c>
      <c r="Q36" t="str">
        <f>IF(SUM('User Engagement'!I36:J36)&gt;=0,"YES", "NO")</f>
        <v>YES</v>
      </c>
    </row>
    <row r="37" spans="1:17" ht="16" x14ac:dyDescent="0.2">
      <c r="A37" t="str">
        <f>Users!A35</f>
        <v>C.Emily.white@gmail.com</v>
      </c>
      <c r="B37" s="80" t="str">
        <f>Users!D35</f>
        <v>07545450201</v>
      </c>
      <c r="C37" s="29" t="str">
        <f>VLOOKUP(A37,Users!A:D,2,FALSE)</f>
        <v>Emily</v>
      </c>
      <c r="D37" s="29" t="str">
        <f>VLOOKUP(A37,Users!A:D,3,FALSE)</f>
        <v>White</v>
      </c>
      <c r="E37" s="139">
        <f>COUNTIF(Visits!Y:Y,'Summer Challenge'!A37)</f>
        <v>0</v>
      </c>
      <c r="G37" cm="1">
        <f t="array" ref="G37">SUM(--(FREQUENCY(IF(Visits!E:E='Summer Challenge'!A37,Visits!Z:Z),Visits!Z:Z)&gt;0))</f>
        <v>1</v>
      </c>
      <c r="H37">
        <f>SUMIF(Visits!E:E,'Summer Challenge'!A37,Visits!Z:Z)</f>
        <v>4</v>
      </c>
      <c r="J37" s="147">
        <f t="shared" si="0"/>
        <v>5</v>
      </c>
      <c r="K37" s="147">
        <v>1</v>
      </c>
      <c r="L37" s="5">
        <f>SUMIF(Visits!E:E,'Summer Challenge'!A37,Visits!J:J)</f>
        <v>1</v>
      </c>
      <c r="M37" s="5">
        <f t="shared" si="1"/>
        <v>4</v>
      </c>
      <c r="N37" s="5"/>
      <c r="O37" t="str">
        <f>IF(IFERROR(VLOOKUP(Users!E35,Credits!A:A,1,FALSE),"NO")="NO","NO","YES")</f>
        <v>NO</v>
      </c>
      <c r="P37" t="s">
        <v>344</v>
      </c>
      <c r="Q37" t="str">
        <f>IF(SUM('User Engagement'!I37:J37)&gt;=0,"YES", "NO")</f>
        <v>YES</v>
      </c>
    </row>
    <row r="38" spans="1:17" ht="16" x14ac:dyDescent="0.2">
      <c r="A38" t="str">
        <f>Users!A36</f>
        <v>eoghannaughton@hotmail.com</v>
      </c>
      <c r="B38" s="80" t="str">
        <f>Users!D36</f>
        <v>07525006790</v>
      </c>
      <c r="C38" s="29" t="str">
        <f>VLOOKUP(A38,Users!A:D,2,FALSE)</f>
        <v>Eoghan</v>
      </c>
      <c r="D38" s="29" t="str">
        <f>VLOOKUP(A38,Users!A:D,3,FALSE)</f>
        <v>Naughton</v>
      </c>
      <c r="E38" s="139">
        <f>COUNTIF(Visits!Y:Y,'Summer Challenge'!A38)</f>
        <v>0</v>
      </c>
      <c r="G38" cm="1">
        <f t="array" ref="G38">SUM(--(FREQUENCY(IF(Visits!E:E='Summer Challenge'!A38,Visits!Z:Z),Visits!Z:Z)&gt;0))</f>
        <v>2</v>
      </c>
      <c r="H38">
        <f>SUMIF(Visits!E:E,'Summer Challenge'!A38,Visits!Z:Z)</f>
        <v>10</v>
      </c>
      <c r="J38" s="147">
        <f t="shared" si="0"/>
        <v>20</v>
      </c>
      <c r="K38" s="147">
        <v>5</v>
      </c>
      <c r="L38" s="5">
        <f>SUMIF(Visits!E:E,'Summer Challenge'!A38,Visits!J:J)</f>
        <v>4</v>
      </c>
      <c r="M38" s="5">
        <f t="shared" si="1"/>
        <v>16</v>
      </c>
      <c r="N38" s="146" t="s">
        <v>343</v>
      </c>
      <c r="O38" t="str">
        <f>IF(IFERROR(VLOOKUP(Users!E36,Credits!A:A,1,FALSE),"NO")="NO","NO","YES")</f>
        <v>YES</v>
      </c>
      <c r="P38" t="s">
        <v>344</v>
      </c>
      <c r="Q38" t="str">
        <f>IF(SUM('User Engagement'!I38:J38)&gt;=0,"YES", "NO")</f>
        <v>YES</v>
      </c>
    </row>
    <row r="39" spans="1:17" ht="16" x14ac:dyDescent="0.2">
      <c r="A39" t="str">
        <f>Users!A37</f>
        <v>estherchen314@gmail.com</v>
      </c>
      <c r="B39" s="80">
        <f>Users!D37</f>
        <v>19176000000</v>
      </c>
      <c r="C39" s="29" t="str">
        <f>VLOOKUP(A39,Users!A:D,2,FALSE)</f>
        <v>Esther</v>
      </c>
      <c r="D39" s="29" t="str">
        <f>VLOOKUP(A39,Users!A:D,3,FALSE)</f>
        <v>Chen</v>
      </c>
      <c r="E39" s="139">
        <f>COUNTIF(Visits!Y:Y,'Summer Challenge'!A39)</f>
        <v>0</v>
      </c>
      <c r="G39" cm="1">
        <f t="array" ref="G39">SUM(--(FREQUENCY(IF(Visits!E:E='Summer Challenge'!A39,Visits!Z:Z),Visits!Z:Z)&gt;0))</f>
        <v>1</v>
      </c>
      <c r="H39">
        <f>SUMIF(Visits!E:E,'Summer Challenge'!A39,Visits!Z:Z)</f>
        <v>4</v>
      </c>
      <c r="J39" s="147">
        <f t="shared" si="0"/>
        <v>5</v>
      </c>
      <c r="K39" s="147">
        <v>1</v>
      </c>
      <c r="L39" s="5">
        <f>SUMIF(Visits!E:E,'Summer Challenge'!A39,Visits!J:J)</f>
        <v>1</v>
      </c>
      <c r="M39" s="5">
        <f t="shared" si="1"/>
        <v>4</v>
      </c>
      <c r="N39" s="5"/>
      <c r="O39" t="str">
        <f>IF(IFERROR(VLOOKUP(Users!E37,Credits!A:A,1,FALSE),"NO")="NO","NO","YES")</f>
        <v>NO</v>
      </c>
      <c r="P39" t="s">
        <v>344</v>
      </c>
      <c r="Q39" t="str">
        <f>IF(SUM('User Engagement'!I39:J39)&gt;=0,"YES", "NO")</f>
        <v>YES</v>
      </c>
    </row>
    <row r="40" spans="1:17" ht="16" x14ac:dyDescent="0.2">
      <c r="A40" t="str">
        <f>Users!A38</f>
        <v>alena.german.71@gmail.com</v>
      </c>
      <c r="B40" s="80" t="str">
        <f>Users!D38</f>
        <v>07553093894</v>
      </c>
      <c r="C40" s="29" t="str">
        <f>VLOOKUP(A40,Users!A:D,2,FALSE)</f>
        <v>Eugenia</v>
      </c>
      <c r="D40" s="29" t="str">
        <f>VLOOKUP(A40,Users!A:D,3,FALSE)</f>
        <v>Herman</v>
      </c>
      <c r="E40" s="139">
        <f>COUNTIF(Visits!Y:Y,'Summer Challenge'!A40)</f>
        <v>0</v>
      </c>
      <c r="G40" cm="1">
        <f t="array" ref="G40">SUM(--(FREQUENCY(IF(Visits!E:E='Summer Challenge'!A40,Visits!Z:Z),Visits!Z:Z)&gt;0))</f>
        <v>1</v>
      </c>
      <c r="H40">
        <f>SUMIF(Visits!E:E,'Summer Challenge'!A40,Visits!Z:Z)</f>
        <v>1</v>
      </c>
      <c r="J40" s="147">
        <f t="shared" si="0"/>
        <v>5</v>
      </c>
      <c r="K40" s="147">
        <v>1</v>
      </c>
      <c r="L40" s="5">
        <f>SUMIF(Visits!E:E,'Summer Challenge'!A40,Visits!J:J)</f>
        <v>1</v>
      </c>
      <c r="M40" s="5">
        <f t="shared" si="1"/>
        <v>4</v>
      </c>
      <c r="N40" s="5"/>
      <c r="O40" t="str">
        <f>IF(IFERROR(VLOOKUP(Users!E38,Credits!A:A,1,FALSE),"NO")="NO","NO","YES")</f>
        <v>NO</v>
      </c>
      <c r="P40" t="s">
        <v>344</v>
      </c>
      <c r="Q40" t="str">
        <f>IF(SUM('User Engagement'!I40:J40)&gt;=0,"YES", "NO")</f>
        <v>YES</v>
      </c>
    </row>
    <row r="41" spans="1:17" ht="16" x14ac:dyDescent="0.2">
      <c r="A41" t="str">
        <f>Users!A39</f>
        <v>ezgicaakmak@gmail.com</v>
      </c>
      <c r="C41" s="29" t="str">
        <f>VLOOKUP(A41,Users!A:D,2,FALSE)</f>
        <v>Ezgi</v>
      </c>
      <c r="D41" s="29" t="str">
        <f>VLOOKUP(A41,Users!A:D,3,FALSE)</f>
        <v>Çakmak</v>
      </c>
      <c r="E41" s="139">
        <f>COUNTIF(Visits!Y:Y,'Summer Challenge'!A41)</f>
        <v>0</v>
      </c>
      <c r="G41" cm="1">
        <f t="array" ref="G41">SUM(--(FREQUENCY(IF(Visits!E:E='Summer Challenge'!A41,Visits!Z:Z),Visits!Z:Z)&gt;0))</f>
        <v>1</v>
      </c>
      <c r="H41">
        <f>SUMIF(Visits!E:E,'Summer Challenge'!A41,Visits!Z:Z)</f>
        <v>4</v>
      </c>
      <c r="J41" s="147">
        <f t="shared" si="0"/>
        <v>5</v>
      </c>
      <c r="K41" s="147">
        <v>1</v>
      </c>
      <c r="L41" s="5">
        <f>SUMIF(Visits!E:E,'Summer Challenge'!A41,Visits!J:J)</f>
        <v>1</v>
      </c>
      <c r="M41" s="5">
        <f t="shared" si="1"/>
        <v>4</v>
      </c>
      <c r="N41" s="5"/>
      <c r="O41" t="str">
        <f>IF(IFERROR(VLOOKUP(Users!E39,Credits!A:A,1,FALSE),"NO")="NO","NO","YES")</f>
        <v>NO</v>
      </c>
      <c r="P41" t="s">
        <v>314</v>
      </c>
      <c r="Q41" t="str">
        <f>IF(SUM('User Engagement'!I41:J41)&gt;=0,"YES", "NO")</f>
        <v>YES</v>
      </c>
    </row>
    <row r="42" spans="1:17" ht="16" x14ac:dyDescent="0.2">
      <c r="A42" t="str">
        <f>Users!A40</f>
        <v>federica.martini@live.it</v>
      </c>
      <c r="C42" s="29" t="str">
        <f>VLOOKUP(A42,Users!A:D,2,FALSE)</f>
        <v>Federica</v>
      </c>
      <c r="D42" s="29" t="str">
        <f>VLOOKUP(A42,Users!A:D,3,FALSE)</f>
        <v>Martini</v>
      </c>
      <c r="E42" s="139">
        <f>COUNTIF(Visits!Y:Y,'Summer Challenge'!A42)</f>
        <v>0</v>
      </c>
      <c r="G42" cm="1">
        <f t="array" ref="G42">SUM(--(FREQUENCY(IF(Visits!E:E='Summer Challenge'!A42,Visits!Z:Z),Visits!Z:Z)&gt;0))</f>
        <v>1</v>
      </c>
      <c r="H42">
        <f>SUMIF(Visits!E:E,'Summer Challenge'!A42,Visits!Z:Z)</f>
        <v>1</v>
      </c>
      <c r="J42" s="147">
        <f t="shared" si="0"/>
        <v>5</v>
      </c>
      <c r="K42" s="147">
        <v>1</v>
      </c>
      <c r="L42" s="5">
        <f>SUMIF(Visits!E:E,'Summer Challenge'!A42,Visits!J:J)</f>
        <v>1</v>
      </c>
      <c r="M42" s="5">
        <f t="shared" si="1"/>
        <v>4</v>
      </c>
      <c r="N42" s="5"/>
      <c r="O42" t="str">
        <f>IF(IFERROR(VLOOKUP(Users!E40,Credits!A:A,1,FALSE),"NO")="NO","NO","YES")</f>
        <v>NO</v>
      </c>
      <c r="P42" t="s">
        <v>314</v>
      </c>
      <c r="Q42" t="str">
        <f>IF(SUM('User Engagement'!I42:J42)&gt;=0,"YES", "NO")</f>
        <v>YES</v>
      </c>
    </row>
    <row r="43" spans="1:17" ht="16" x14ac:dyDescent="0.2">
      <c r="A43">
        <f>Users!A41</f>
        <v>0</v>
      </c>
      <c r="C43" s="29" t="e">
        <f>VLOOKUP(A43,Users!A:D,2,FALSE)</f>
        <v>#N/A</v>
      </c>
      <c r="D43" s="29" t="e">
        <f>VLOOKUP(A43,Users!A:D,3,FALSE)</f>
        <v>#N/A</v>
      </c>
      <c r="E43" s="139">
        <f>COUNTIF(Visits!Y:Y,'Summer Challenge'!A43)</f>
        <v>0</v>
      </c>
      <c r="G43" t="e" cm="1">
        <f t="array" ref="G43">SUM(--(FREQUENCY(IF(Visits!E:E='Summer Challenge'!A43,Visits!Z:Z),Visits!Z:Z)&gt;0))</f>
        <v>#N/A</v>
      </c>
      <c r="H43">
        <f>SUMIF(Visits!E:E,'Summer Challenge'!A43,Visits!Z:Z)</f>
        <v>0</v>
      </c>
      <c r="J43" s="147">
        <f t="shared" si="0"/>
        <v>0</v>
      </c>
      <c r="K43" s="147">
        <v>0</v>
      </c>
      <c r="L43" s="5">
        <f>SUMIF(Visits!E:E,'Summer Challenge'!A43,Visits!J:J)</f>
        <v>0</v>
      </c>
      <c r="M43" s="5">
        <f t="shared" si="1"/>
        <v>0</v>
      </c>
      <c r="N43" s="5"/>
      <c r="O43" t="str">
        <f>IF(IFERROR(VLOOKUP(Users!E41,Credits!A:A,1,FALSE),"NO")="NO","NO","YES")</f>
        <v>NO</v>
      </c>
      <c r="P43" t="s">
        <v>314</v>
      </c>
      <c r="Q43" t="str">
        <f>IF(SUM('User Engagement'!I43:J43)&gt;=0,"YES", "NO")</f>
        <v>YES</v>
      </c>
    </row>
    <row r="44" spans="1:17" ht="16" x14ac:dyDescent="0.2">
      <c r="A44" t="str">
        <f>Users!A42</f>
        <v>6.saracchi@gmail.com</v>
      </c>
      <c r="B44" s="80" t="str">
        <f>Users!D42</f>
        <v>+44 7496 933834</v>
      </c>
      <c r="C44" s="29" t="str">
        <f>VLOOKUP(A44,Users!A:D,2,FALSE)</f>
        <v>Giacomo</v>
      </c>
      <c r="D44" s="29" t="str">
        <f>VLOOKUP(A44,Users!A:D,3,FALSE)</f>
        <v>Saracchi</v>
      </c>
      <c r="E44" s="139">
        <f>COUNTIF(Visits!Y:Y,'Summer Challenge'!A44)</f>
        <v>0</v>
      </c>
      <c r="G44" cm="1">
        <f t="array" ref="G44">SUM(--(FREQUENCY(IF(Visits!E:E='Summer Challenge'!A44,Visits!Z:Z),Visits!Z:Z)&gt;0))</f>
        <v>1</v>
      </c>
      <c r="H44">
        <f>SUMIF(Visits!E:E,'Summer Challenge'!A44,Visits!Z:Z)</f>
        <v>1</v>
      </c>
      <c r="J44" s="147">
        <f t="shared" si="0"/>
        <v>5</v>
      </c>
      <c r="K44" s="147">
        <v>2</v>
      </c>
      <c r="L44" s="5">
        <f>SUMIF(Visits!E:E,'Summer Challenge'!A44,Visits!J:J)</f>
        <v>1</v>
      </c>
      <c r="M44" s="5">
        <f t="shared" si="1"/>
        <v>4</v>
      </c>
      <c r="N44" s="5"/>
      <c r="O44" t="str">
        <f>IF(IFERROR(VLOOKUP(Users!E42,Credits!A:A,1,FALSE),"NO")="NO","NO","YES")</f>
        <v>NO</v>
      </c>
      <c r="P44" t="s">
        <v>344</v>
      </c>
      <c r="Q44" t="str">
        <f>IF(SUM('User Engagement'!I44:J44)&gt;=0,"YES", "NO")</f>
        <v>YES</v>
      </c>
    </row>
    <row r="45" spans="1:17" ht="16" x14ac:dyDescent="0.2">
      <c r="A45" t="str">
        <f>Users!A43</f>
        <v>gilka5@hotmail.com</v>
      </c>
      <c r="B45" s="80">
        <f>Users!D43</f>
        <v>7841262698</v>
      </c>
      <c r="C45" s="29" t="str">
        <f>VLOOKUP(A45,Users!A:D,2,FALSE)</f>
        <v>Gil</v>
      </c>
      <c r="D45" s="29" t="str">
        <f>VLOOKUP(A45,Users!A:D,3,FALSE)</f>
        <v>K</v>
      </c>
      <c r="E45" s="139">
        <f>COUNTIF(Visits!Y:Y,'Summer Challenge'!A45)</f>
        <v>0</v>
      </c>
      <c r="G45" cm="1">
        <f t="array" ref="G45">SUM(--(FREQUENCY(IF(Visits!E:E='Summer Challenge'!A45,Visits!Z:Z),Visits!Z:Z)&gt;0))</f>
        <v>2</v>
      </c>
      <c r="H45">
        <f>SUMIF(Visits!E:E,'Summer Challenge'!A45,Visits!Z:Z)</f>
        <v>9</v>
      </c>
      <c r="J45" s="147">
        <f t="shared" si="0"/>
        <v>15</v>
      </c>
      <c r="K45" s="147">
        <v>3</v>
      </c>
      <c r="L45" s="5">
        <f>SUMIF(Visits!E:E,'Summer Challenge'!A45,Visits!J:J)</f>
        <v>3</v>
      </c>
      <c r="M45" s="5">
        <f t="shared" si="1"/>
        <v>12</v>
      </c>
      <c r="N45" s="5"/>
      <c r="O45" t="str">
        <f>IF(IFERROR(VLOOKUP(Users!E43,Credits!A:A,1,FALSE),"NO")="NO","NO","YES")</f>
        <v>NO</v>
      </c>
      <c r="P45" t="s">
        <v>344</v>
      </c>
      <c r="Q45" t="str">
        <f>IF(SUM('User Engagement'!I45:J45)&gt;=0,"YES", "NO")</f>
        <v>YES</v>
      </c>
    </row>
    <row r="46" spans="1:17" ht="16" x14ac:dyDescent="0.2">
      <c r="A46" t="str">
        <f>Users!A44</f>
        <v>hanna.niczyporuk@gmail.com</v>
      </c>
      <c r="C46" s="29" t="str">
        <f>VLOOKUP(A46,Users!A:D,2,FALSE)</f>
        <v>Hanna</v>
      </c>
      <c r="D46" s="29" t="str">
        <f>VLOOKUP(A46,Users!A:D,3,FALSE)</f>
        <v>Niczyporuk</v>
      </c>
      <c r="E46" s="139">
        <f>COUNTIF(Visits!Y:Y,'Summer Challenge'!A46)</f>
        <v>0</v>
      </c>
      <c r="G46" cm="1">
        <f t="array" ref="G46">SUM(--(FREQUENCY(IF(Visits!E:E='Summer Challenge'!A46,Visits!Z:Z),Visits!Z:Z)&gt;0))</f>
        <v>1</v>
      </c>
      <c r="H46">
        <f>SUMIF(Visits!E:E,'Summer Challenge'!A46,Visits!Z:Z)</f>
        <v>8</v>
      </c>
      <c r="J46" s="147">
        <f t="shared" si="0"/>
        <v>10</v>
      </c>
      <c r="K46" s="147">
        <v>2</v>
      </c>
      <c r="L46" s="5">
        <f>SUMIF(Visits!E:E,'Summer Challenge'!A46,Visits!J:J)</f>
        <v>2</v>
      </c>
      <c r="M46" s="5">
        <f t="shared" si="1"/>
        <v>8</v>
      </c>
      <c r="N46" s="5"/>
      <c r="O46" t="str">
        <f>IF(IFERROR(VLOOKUP(Users!E44,Credits!A:A,1,FALSE),"NO")="NO","NO","YES")</f>
        <v>NO</v>
      </c>
      <c r="P46" t="s">
        <v>314</v>
      </c>
      <c r="Q46" t="str">
        <f>IF(SUM('User Engagement'!I46:J46)&gt;=0,"YES", "NO")</f>
        <v>YES</v>
      </c>
    </row>
    <row r="47" spans="1:17" ht="16" x14ac:dyDescent="0.2">
      <c r="A47" t="str">
        <f>Users!A45</f>
        <v>io.brezeanu@gmail.com</v>
      </c>
      <c r="B47" s="80" t="str">
        <f>Users!D45</f>
        <v>07492693024</v>
      </c>
      <c r="C47" s="29" t="str">
        <f>VLOOKUP(A47,Users!A:D,2,FALSE)</f>
        <v>Ioana</v>
      </c>
      <c r="D47" s="29" t="str">
        <f>VLOOKUP(A47,Users!A:D,3,FALSE)</f>
        <v>Brezeanu</v>
      </c>
      <c r="E47" s="139">
        <f>COUNTIF(Visits!Y:Y,'Summer Challenge'!A47)</f>
        <v>0</v>
      </c>
      <c r="F47" s="141">
        <v>1</v>
      </c>
      <c r="G47" cm="1">
        <f t="array" ref="G47">SUM(--(FREQUENCY(IF(Visits!E:E='Summer Challenge'!A47,Visits!Z:Z),Visits!Z:Z)&gt;0))</f>
        <v>2</v>
      </c>
      <c r="H47">
        <f>SUMIF(Visits!E:E,'Summer Challenge'!A47,Visits!Z:Z)</f>
        <v>6</v>
      </c>
      <c r="J47" s="147">
        <f t="shared" si="0"/>
        <v>15</v>
      </c>
      <c r="K47" s="147">
        <v>3</v>
      </c>
      <c r="L47" s="5">
        <f>SUMIF(Visits!E:E,'Summer Challenge'!A47,Visits!J:J)</f>
        <v>3</v>
      </c>
      <c r="M47" s="5">
        <f t="shared" si="1"/>
        <v>12</v>
      </c>
      <c r="N47" s="146"/>
      <c r="O47" t="str">
        <f>IF(IFERROR(VLOOKUP(Users!E45,Credits!A:A,1,FALSE),"NO")="NO","NO","YES")</f>
        <v>YES</v>
      </c>
      <c r="P47" t="s">
        <v>344</v>
      </c>
      <c r="Q47" t="str">
        <f>IF(SUM('User Engagement'!I47:J47)&gt;=0,"YES", "NO")</f>
        <v>YES</v>
      </c>
    </row>
    <row r="48" spans="1:17" ht="16" x14ac:dyDescent="0.2">
      <c r="A48" t="str">
        <f>Users!A46</f>
        <v>taam.isadora@gmail.com</v>
      </c>
      <c r="C48" s="29" t="str">
        <f>VLOOKUP(A48,Users!A:D,2,FALSE)</f>
        <v>Isadora</v>
      </c>
      <c r="D48" s="29" t="str">
        <f>VLOOKUP(A48,Users!A:D,3,FALSE)</f>
        <v>de Miranda Mello Taam</v>
      </c>
      <c r="E48" s="139">
        <f>COUNTIF(Visits!Y:Y,'Summer Challenge'!A48)</f>
        <v>0</v>
      </c>
      <c r="G48" cm="1">
        <f t="array" ref="G48">SUM(--(FREQUENCY(IF(Visits!E:E='Summer Challenge'!A48,Visits!Z:Z),Visits!Z:Z)&gt;0))</f>
        <v>1</v>
      </c>
      <c r="H48">
        <f>SUMIF(Visits!E:E,'Summer Challenge'!A48,Visits!Z:Z)</f>
        <v>4</v>
      </c>
      <c r="J48" s="147">
        <f t="shared" si="0"/>
        <v>5</v>
      </c>
      <c r="K48" s="147">
        <v>1</v>
      </c>
      <c r="L48" s="5">
        <f>SUMIF(Visits!E:E,'Summer Challenge'!A48,Visits!J:J)</f>
        <v>1</v>
      </c>
      <c r="M48" s="5">
        <f t="shared" si="1"/>
        <v>4</v>
      </c>
      <c r="N48" s="5"/>
      <c r="O48" t="str">
        <f>IF(IFERROR(VLOOKUP(Users!E46,Credits!A:A,1,FALSE),"NO")="NO","NO","YES")</f>
        <v>NO</v>
      </c>
      <c r="P48" t="s">
        <v>314</v>
      </c>
      <c r="Q48" t="str">
        <f>IF(SUM('User Engagement'!I48:J48)&gt;=0,"YES", "NO")</f>
        <v>YES</v>
      </c>
    </row>
    <row r="49" spans="1:17" ht="16" x14ac:dyDescent="0.2">
      <c r="A49" t="str">
        <f>Users!A47</f>
        <v>jz548282@gmail.com</v>
      </c>
      <c r="C49" s="29" t="str">
        <f>VLOOKUP(A49,Users!A:D,2,FALSE)</f>
        <v>Jing</v>
      </c>
      <c r="D49" s="29" t="str">
        <f>VLOOKUP(A49,Users!A:D,3,FALSE)</f>
        <v>Zhang</v>
      </c>
      <c r="E49" s="139">
        <f>COUNTIF(Visits!Y:Y,'Summer Challenge'!A49)</f>
        <v>0</v>
      </c>
      <c r="G49" cm="1">
        <f t="array" ref="G49">SUM(--(FREQUENCY(IF(Visits!E:E='Summer Challenge'!A49,Visits!Z:Z),Visits!Z:Z)&gt;0))</f>
        <v>1</v>
      </c>
      <c r="H49">
        <f>SUMIF(Visits!E:E,'Summer Challenge'!A49,Visits!Z:Z)</f>
        <v>4</v>
      </c>
      <c r="J49" s="147">
        <f t="shared" si="0"/>
        <v>5</v>
      </c>
      <c r="K49" s="147">
        <v>1</v>
      </c>
      <c r="L49" s="5">
        <f>SUMIF(Visits!E:E,'Summer Challenge'!A49,Visits!J:J)</f>
        <v>1</v>
      </c>
      <c r="M49" s="5">
        <f t="shared" si="1"/>
        <v>4</v>
      </c>
      <c r="N49" s="5"/>
      <c r="O49" t="str">
        <f>IF(IFERROR(VLOOKUP(Users!E47,Credits!A:A,1,FALSE),"NO")="NO","NO","YES")</f>
        <v>NO</v>
      </c>
      <c r="P49" t="s">
        <v>314</v>
      </c>
      <c r="Q49" t="str">
        <f>IF(SUM('User Engagement'!I49:J49)&gt;=0,"YES", "NO")</f>
        <v>YES</v>
      </c>
    </row>
    <row r="50" spans="1:17" ht="16" x14ac:dyDescent="0.2">
      <c r="A50" t="str">
        <f>Users!A48</f>
        <v>jinishgohil@yahoo.co.in</v>
      </c>
      <c r="C50" s="29" t="str">
        <f>VLOOKUP(A50,Users!A:D,2,FALSE)</f>
        <v>Jinish</v>
      </c>
      <c r="D50" s="29" t="str">
        <f>VLOOKUP(A50,Users!A:D,3,FALSE)</f>
        <v>Gohil</v>
      </c>
      <c r="E50" s="139">
        <f>COUNTIF(Visits!Y:Y,'Summer Challenge'!A50)</f>
        <v>0</v>
      </c>
      <c r="G50" cm="1">
        <f t="array" ref="G50">SUM(--(FREQUENCY(IF(Visits!E:E='Summer Challenge'!A50,Visits!Z:Z),Visits!Z:Z)&gt;0))</f>
        <v>1</v>
      </c>
      <c r="H50">
        <f>SUMIF(Visits!E:E,'Summer Challenge'!A50,Visits!Z:Z)</f>
        <v>4</v>
      </c>
      <c r="J50" s="147">
        <f t="shared" si="0"/>
        <v>5</v>
      </c>
      <c r="K50" s="147">
        <v>1</v>
      </c>
      <c r="L50" s="5">
        <f>SUMIF(Visits!E:E,'Summer Challenge'!A50,Visits!J:J)</f>
        <v>1</v>
      </c>
      <c r="M50" s="5">
        <f t="shared" si="1"/>
        <v>4</v>
      </c>
      <c r="N50" s="146"/>
      <c r="O50" t="str">
        <f>IF(IFERROR(VLOOKUP(Users!E48,Credits!A:A,1,FALSE),"NO")="NO","NO","YES")</f>
        <v>YES</v>
      </c>
      <c r="P50" t="s">
        <v>314</v>
      </c>
      <c r="Q50" t="str">
        <f>IF(SUM('User Engagement'!I50:J50)&gt;=0,"YES", "NO")</f>
        <v>YES</v>
      </c>
    </row>
    <row r="51" spans="1:17" ht="16" x14ac:dyDescent="0.2">
      <c r="A51" t="str">
        <f>Users!A49</f>
        <v>jon.chikly@gmail.com</v>
      </c>
      <c r="C51" s="29" t="str">
        <f>VLOOKUP(A51,Users!A:D,2,FALSE)</f>
        <v>Jonathan</v>
      </c>
      <c r="D51" s="29" t="str">
        <f>VLOOKUP(A51,Users!A:D,3,FALSE)</f>
        <v>Chikly</v>
      </c>
      <c r="E51" s="139">
        <f>COUNTIF(Visits!Y:Y,'Summer Challenge'!A51)</f>
        <v>0</v>
      </c>
      <c r="G51" cm="1">
        <f t="array" ref="G51">SUM(--(FREQUENCY(IF(Visits!E:E='Summer Challenge'!A51,Visits!Z:Z),Visits!Z:Z)&gt;0))</f>
        <v>1</v>
      </c>
      <c r="H51">
        <f>SUMIF(Visits!E:E,'Summer Challenge'!A51,Visits!Z:Z)</f>
        <v>4</v>
      </c>
      <c r="J51" s="147">
        <f t="shared" si="0"/>
        <v>5</v>
      </c>
      <c r="K51" s="147">
        <v>1</v>
      </c>
      <c r="L51" s="5">
        <f>SUMIF(Visits!E:E,'Summer Challenge'!A51,Visits!J:J)</f>
        <v>1</v>
      </c>
      <c r="M51" s="5">
        <f t="shared" si="1"/>
        <v>4</v>
      </c>
      <c r="N51" s="5"/>
      <c r="O51" t="str">
        <f>IF(IFERROR(VLOOKUP(Users!E49,Credits!A:A,1,FALSE),"NO")="NO","NO","YES")</f>
        <v>NO</v>
      </c>
      <c r="P51" t="s">
        <v>314</v>
      </c>
      <c r="Q51" t="str">
        <f>IF(SUM('User Engagement'!I51:J51)&gt;=0,"YES", "NO")</f>
        <v>YES</v>
      </c>
    </row>
    <row r="52" spans="1:17" ht="16" x14ac:dyDescent="0.2">
      <c r="A52" t="str">
        <f>Users!A50</f>
        <v>juanpablo.dltc@gmail.com</v>
      </c>
      <c r="B52" s="80" t="str">
        <f>Users!D50</f>
        <v>+447846069814</v>
      </c>
      <c r="C52" s="29" t="str">
        <f>VLOOKUP(A52,Users!A:D,2,FALSE)</f>
        <v>Juan Pablo</v>
      </c>
      <c r="D52" s="29" t="str">
        <f>VLOOKUP(A52,Users!A:D,3,FALSE)</f>
        <v>De La Torre</v>
      </c>
      <c r="E52" s="139">
        <f>COUNTIF(Visits!Y:Y,'Summer Challenge'!A52)</f>
        <v>0</v>
      </c>
      <c r="G52" cm="1">
        <f t="array" ref="G52">SUM(--(FREQUENCY(IF(Visits!E:E='Summer Challenge'!A52,Visits!Z:Z),Visits!Z:Z)&gt;0))</f>
        <v>1</v>
      </c>
      <c r="H52">
        <f>SUMIF(Visits!E:E,'Summer Challenge'!A52,Visits!Z:Z)</f>
        <v>4</v>
      </c>
      <c r="J52" s="147">
        <f t="shared" si="0"/>
        <v>5</v>
      </c>
      <c r="K52" s="147">
        <v>1</v>
      </c>
      <c r="L52" s="5">
        <f>SUMIF(Visits!E:E,'Summer Challenge'!A52,Visits!J:J)</f>
        <v>1</v>
      </c>
      <c r="M52" s="5">
        <f t="shared" si="1"/>
        <v>4</v>
      </c>
      <c r="N52" s="5"/>
      <c r="O52" t="str">
        <f>IF(IFERROR(VLOOKUP(Users!E50,Credits!A:A,1,FALSE),"NO")="NO","NO","YES")</f>
        <v>NO</v>
      </c>
      <c r="P52" t="s">
        <v>344</v>
      </c>
      <c r="Q52" t="str">
        <f>IF(SUM('User Engagement'!I52:J52)&gt;=0,"YES", "NO")</f>
        <v>YES</v>
      </c>
    </row>
    <row r="53" spans="1:17" ht="16" x14ac:dyDescent="0.2">
      <c r="A53" t="str">
        <f>Users!A51</f>
        <v>blattnerj@gmail.com</v>
      </c>
      <c r="C53" s="29" t="str">
        <f>VLOOKUP(A53,Users!A:D,2,FALSE)</f>
        <v>Justin</v>
      </c>
      <c r="D53" s="29" t="str">
        <f>VLOOKUP(A53,Users!A:D,3,FALSE)</f>
        <v>Blattner</v>
      </c>
      <c r="E53" s="139">
        <f>COUNTIF(Visits!Y:Y,'Summer Challenge'!A53)</f>
        <v>0</v>
      </c>
      <c r="G53" cm="1">
        <f t="array" ref="G53">SUM(--(FREQUENCY(IF(Visits!E:E='Summer Challenge'!A53,Visits!Z:Z),Visits!Z:Z)&gt;0))</f>
        <v>1</v>
      </c>
      <c r="H53">
        <f>SUMIF(Visits!E:E,'Summer Challenge'!A53,Visits!Z:Z)</f>
        <v>4</v>
      </c>
      <c r="J53" s="147">
        <f t="shared" si="0"/>
        <v>5</v>
      </c>
      <c r="K53" s="147">
        <v>1</v>
      </c>
      <c r="L53" s="5">
        <f>SUMIF(Visits!E:E,'Summer Challenge'!A53,Visits!J:J)</f>
        <v>1</v>
      </c>
      <c r="M53" s="5">
        <f t="shared" si="1"/>
        <v>4</v>
      </c>
      <c r="N53" s="5"/>
      <c r="O53" t="str">
        <f>IF(IFERROR(VLOOKUP(Users!E51,Credits!A:A,1,FALSE),"NO")="NO","NO","YES")</f>
        <v>NO</v>
      </c>
      <c r="P53" t="s">
        <v>314</v>
      </c>
      <c r="Q53" t="str">
        <f>IF(SUM('User Engagement'!I53:J53)&gt;=0,"YES", "NO")</f>
        <v>YES</v>
      </c>
    </row>
    <row r="54" spans="1:17" ht="16" x14ac:dyDescent="0.2">
      <c r="A54" t="str">
        <f>Users!A52</f>
        <v>xetta03@hotmail.com</v>
      </c>
      <c r="B54" s="80">
        <f>Users!D52</f>
        <v>7469394835</v>
      </c>
      <c r="C54" s="29" t="str">
        <f>VLOOKUP(A54,Users!A:D,2,FALSE)</f>
        <v>Karen</v>
      </c>
      <c r="D54" s="29" t="str">
        <f>VLOOKUP(A54,Users!A:D,3,FALSE)</f>
        <v>Johnstone</v>
      </c>
      <c r="E54" s="139">
        <f>COUNTIF(Visits!Y:Y,'Summer Challenge'!A54)</f>
        <v>0</v>
      </c>
      <c r="G54" cm="1">
        <f t="array" ref="G54">SUM(--(FREQUENCY(IF(Visits!E:E='Summer Challenge'!A54,Visits!Z:Z),Visits!Z:Z)&gt;0))</f>
        <v>1</v>
      </c>
      <c r="H54">
        <f>SUMIF(Visits!E:E,'Summer Challenge'!A54,Visits!Z:Z)</f>
        <v>4</v>
      </c>
      <c r="J54" s="147">
        <f t="shared" si="0"/>
        <v>5</v>
      </c>
      <c r="K54" s="147">
        <v>1</v>
      </c>
      <c r="L54" s="5">
        <f>SUMIF(Visits!E:E,'Summer Challenge'!A54,Visits!J:J)</f>
        <v>1</v>
      </c>
      <c r="M54" s="5">
        <f t="shared" si="1"/>
        <v>4</v>
      </c>
      <c r="N54" s="5"/>
      <c r="O54" t="str">
        <f>IF(IFERROR(VLOOKUP(Users!E52,Credits!A:A,1,FALSE),"NO")="NO","NO","YES")</f>
        <v>NO</v>
      </c>
      <c r="P54" t="s">
        <v>344</v>
      </c>
      <c r="Q54" t="str">
        <f>IF(SUM('User Engagement'!I54:J54)&gt;=0,"YES", "NO")</f>
        <v>YES</v>
      </c>
    </row>
    <row r="55" spans="1:17" ht="16" x14ac:dyDescent="0.2">
      <c r="A55" t="str">
        <f>Users!A53</f>
        <v>katherineyr.kim@gmail.com</v>
      </c>
      <c r="C55" s="29" t="str">
        <f>VLOOKUP(A55,Users!A:D,2,FALSE)</f>
        <v>Katherine</v>
      </c>
      <c r="D55" s="29" t="str">
        <f>VLOOKUP(A55,Users!A:D,3,FALSE)</f>
        <v>Kim</v>
      </c>
      <c r="E55" s="139">
        <f>COUNTIF(Visits!Y:Y,'Summer Challenge'!A55)</f>
        <v>0</v>
      </c>
      <c r="G55" cm="1">
        <f t="array" ref="G55">SUM(--(FREQUENCY(IF(Visits!E:E='Summer Challenge'!A55,Visits!Z:Z),Visits!Z:Z)&gt;0))</f>
        <v>2</v>
      </c>
      <c r="H55">
        <f>SUMIF(Visits!E:E,'Summer Challenge'!A55,Visits!Z:Z)</f>
        <v>5</v>
      </c>
      <c r="J55" s="147">
        <f t="shared" si="0"/>
        <v>10</v>
      </c>
      <c r="K55" s="147">
        <v>2</v>
      </c>
      <c r="L55" s="5">
        <f>SUMIF(Visits!E:E,'Summer Challenge'!A55,Visits!J:J)</f>
        <v>2</v>
      </c>
      <c r="M55" s="5">
        <f t="shared" si="1"/>
        <v>8</v>
      </c>
      <c r="N55" s="5"/>
      <c r="O55" t="str">
        <f>IF(IFERROR(VLOOKUP(Users!E53,Credits!A:A,1,FALSE),"NO")="NO","NO","YES")</f>
        <v>NO</v>
      </c>
      <c r="P55" t="s">
        <v>314</v>
      </c>
      <c r="Q55" t="str">
        <f>IF(SUM('User Engagement'!I55:J55)&gt;=0,"YES", "NO")</f>
        <v>YES</v>
      </c>
    </row>
    <row r="56" spans="1:17" ht="16" x14ac:dyDescent="0.2">
      <c r="A56" t="str">
        <f>Users!A54</f>
        <v xml:space="preserve"> pelconsultingwork@gmail.com</v>
      </c>
      <c r="C56" s="29" t="str">
        <f>VLOOKUP(A56,Users!A:D,2,FALSE)</f>
        <v>Ken</v>
      </c>
      <c r="D56" s="29" t="str">
        <f>VLOOKUP(A56,Users!A:D,3,FALSE)</f>
        <v>Nyar</v>
      </c>
      <c r="E56" s="139">
        <f>COUNTIF(Visits!Y:Y,'Summer Challenge'!A56)</f>
        <v>0</v>
      </c>
      <c r="G56" cm="1">
        <f t="array" ref="G56">SUM(--(FREQUENCY(IF(Visits!E:E='Summer Challenge'!A56,Visits!Z:Z),Visits!Z:Z)&gt;0))</f>
        <v>0</v>
      </c>
      <c r="H56">
        <f>SUMIF(Visits!E:E,'Summer Challenge'!A56,Visits!Z:Z)</f>
        <v>0</v>
      </c>
      <c r="J56" s="147">
        <f t="shared" si="0"/>
        <v>0</v>
      </c>
      <c r="K56" s="147">
        <v>0</v>
      </c>
      <c r="L56" s="5">
        <f>SUMIF(Visits!E:E,'Summer Challenge'!A56,Visits!J:J)</f>
        <v>0</v>
      </c>
      <c r="M56" s="5">
        <f t="shared" si="1"/>
        <v>0</v>
      </c>
      <c r="N56" s="5"/>
      <c r="O56" t="str">
        <f>IF(IFERROR(VLOOKUP(Users!E54,Credits!A:A,1,FALSE),"NO")="NO","NO","YES")</f>
        <v>NO</v>
      </c>
      <c r="P56" t="s">
        <v>314</v>
      </c>
      <c r="Q56" t="str">
        <f>IF(SUM('User Engagement'!I56:J56)&gt;=0,"YES", "NO")</f>
        <v>YES</v>
      </c>
    </row>
    <row r="57" spans="1:17" ht="16" x14ac:dyDescent="0.2">
      <c r="A57" t="str">
        <f>Users!A55</f>
        <v>hrational@gmail.com</v>
      </c>
      <c r="C57" s="29" t="str">
        <f>VLOOKUP(A57,Users!A:D,2,FALSE)</f>
        <v>Kostas</v>
      </c>
      <c r="D57" s="29" t="str">
        <f>VLOOKUP(A57,Users!A:D,3,FALSE)</f>
        <v>Palierakis</v>
      </c>
      <c r="E57" s="139">
        <f>COUNTIF(Visits!Y:Y,'Summer Challenge'!A57)</f>
        <v>0</v>
      </c>
      <c r="G57" cm="1">
        <f t="array" ref="G57">SUM(--(FREQUENCY(IF(Visits!E:E='Summer Challenge'!A57,Visits!Z:Z),Visits!Z:Z)&gt;0))</f>
        <v>1</v>
      </c>
      <c r="H57">
        <f>SUMIF(Visits!E:E,'Summer Challenge'!A57,Visits!Z:Z)</f>
        <v>4</v>
      </c>
      <c r="J57" s="147">
        <f t="shared" si="0"/>
        <v>5</v>
      </c>
      <c r="K57" s="147">
        <v>1</v>
      </c>
      <c r="L57" s="5">
        <f>SUMIF(Visits!E:E,'Summer Challenge'!A57,Visits!J:J)</f>
        <v>1</v>
      </c>
      <c r="M57" s="5">
        <f t="shared" si="1"/>
        <v>4</v>
      </c>
      <c r="N57" s="5"/>
      <c r="O57" t="str">
        <f>IF(IFERROR(VLOOKUP(Users!E55,Credits!A:A,1,FALSE),"NO")="NO","NO","YES")</f>
        <v>NO</v>
      </c>
      <c r="P57" t="s">
        <v>314</v>
      </c>
      <c r="Q57" t="str">
        <f>IF(SUM('User Engagement'!I57:J57)&gt;=0,"YES", "NO")</f>
        <v>YES</v>
      </c>
    </row>
    <row r="58" spans="1:17" ht="16" x14ac:dyDescent="0.2">
      <c r="A58" t="str">
        <f>Users!A56</f>
        <v>laurabrown148@gmail.com</v>
      </c>
      <c r="B58" s="80" t="str">
        <f>Users!D56</f>
        <v>07807127381</v>
      </c>
      <c r="C58" s="29" t="str">
        <f>VLOOKUP(A58,Users!A:D,2,FALSE)</f>
        <v>Laura</v>
      </c>
      <c r="D58" s="29" t="str">
        <f>VLOOKUP(A58,Users!A:D,3,FALSE)</f>
        <v>Brown</v>
      </c>
      <c r="E58" s="139">
        <f>COUNTIF(Visits!Y:Y,'Summer Challenge'!A58)</f>
        <v>0</v>
      </c>
      <c r="G58" cm="1">
        <f t="array" ref="G58">SUM(--(FREQUENCY(IF(Visits!E:E='Summer Challenge'!A58,Visits!Z:Z),Visits!Z:Z)&gt;0))</f>
        <v>2</v>
      </c>
      <c r="H58">
        <f>SUMIF(Visits!E:E,'Summer Challenge'!A58,Visits!Z:Z)</f>
        <v>6</v>
      </c>
      <c r="J58" s="147">
        <f t="shared" si="0"/>
        <v>15</v>
      </c>
      <c r="K58" s="147">
        <v>3</v>
      </c>
      <c r="L58" s="5">
        <f>SUMIF(Visits!E:E,'Summer Challenge'!A58,Visits!J:J)</f>
        <v>3</v>
      </c>
      <c r="M58" s="5">
        <f t="shared" si="1"/>
        <v>12</v>
      </c>
      <c r="N58" s="146"/>
      <c r="O58" t="str">
        <f>IF(IFERROR(VLOOKUP(Users!E56,Credits!A:A,1,FALSE),"NO")="NO","NO","YES")</f>
        <v>YES</v>
      </c>
      <c r="P58" t="s">
        <v>344</v>
      </c>
      <c r="Q58" t="str">
        <f>IF(SUM('User Engagement'!I58:J58)&gt;=0,"YES", "NO")</f>
        <v>YES</v>
      </c>
    </row>
    <row r="59" spans="1:17" ht="16" x14ac:dyDescent="0.2">
      <c r="A59" t="str">
        <f>Users!A57</f>
        <v>Laure.kroely@gmail.com</v>
      </c>
      <c r="B59" s="80" t="str">
        <f>Users!D57</f>
        <v>00447551038700</v>
      </c>
      <c r="C59" s="29" t="str">
        <f>VLOOKUP(A59,Users!A:D,2,FALSE)</f>
        <v>Laure</v>
      </c>
      <c r="D59" s="29" t="str">
        <f>VLOOKUP(A59,Users!A:D,3,FALSE)</f>
        <v>Kroely</v>
      </c>
      <c r="E59" s="139">
        <f>COUNTIF(Visits!Y:Y,'Summer Challenge'!A59)</f>
        <v>0</v>
      </c>
      <c r="G59" cm="1">
        <f t="array" ref="G59">SUM(--(FREQUENCY(IF(Visits!E:E='Summer Challenge'!A59,Visits!Z:Z),Visits!Z:Z)&gt;0))</f>
        <v>1</v>
      </c>
      <c r="H59">
        <f>SUMIF(Visits!E:E,'Summer Challenge'!A59,Visits!Z:Z)</f>
        <v>1</v>
      </c>
      <c r="J59" s="147">
        <f t="shared" si="0"/>
        <v>5</v>
      </c>
      <c r="K59" s="147">
        <v>1</v>
      </c>
      <c r="L59" s="5">
        <f>SUMIF(Visits!E:E,'Summer Challenge'!A59,Visits!J:J)</f>
        <v>1</v>
      </c>
      <c r="M59" s="5">
        <f t="shared" si="1"/>
        <v>4</v>
      </c>
      <c r="N59" s="5"/>
      <c r="O59" t="str">
        <f>IF(IFERROR(VLOOKUP(Users!E57,Credits!A:A,1,FALSE),"NO")="NO","NO","YES")</f>
        <v>NO</v>
      </c>
      <c r="P59" t="s">
        <v>344</v>
      </c>
      <c r="Q59" t="str">
        <f>IF(SUM('User Engagement'!I59:J59)&gt;=0,"YES", "NO")</f>
        <v>YES</v>
      </c>
    </row>
    <row r="60" spans="1:17" ht="16" x14ac:dyDescent="0.2">
      <c r="A60" t="str">
        <f>Users!A58</f>
        <v>louise.ly.chow@gmail.com</v>
      </c>
      <c r="C60" s="29" t="str">
        <f>VLOOKUP(A60,Users!A:D,2,FALSE)</f>
        <v>Louise</v>
      </c>
      <c r="D60" s="29" t="str">
        <f>VLOOKUP(A60,Users!A:D,3,FALSE)</f>
        <v>Chow</v>
      </c>
      <c r="E60" s="139">
        <f>COUNTIF(Visits!Y:Y,'Summer Challenge'!A60)</f>
        <v>0</v>
      </c>
      <c r="G60" cm="1">
        <f t="array" ref="G60">SUM(--(FREQUENCY(IF(Visits!E:E='Summer Challenge'!A60,Visits!Z:Z),Visits!Z:Z)&gt;0))</f>
        <v>1</v>
      </c>
      <c r="H60">
        <f>SUMIF(Visits!E:E,'Summer Challenge'!A60,Visits!Z:Z)</f>
        <v>8</v>
      </c>
      <c r="J60" s="147">
        <f t="shared" si="0"/>
        <v>10</v>
      </c>
      <c r="K60" s="147">
        <v>2</v>
      </c>
      <c r="L60" s="5">
        <f>SUMIF(Visits!E:E,'Summer Challenge'!A60,Visits!J:J)</f>
        <v>2</v>
      </c>
      <c r="M60" s="5">
        <f t="shared" si="1"/>
        <v>8</v>
      </c>
      <c r="N60" s="5"/>
      <c r="O60" t="str">
        <f>IF(IFERROR(VLOOKUP(Users!E58,Credits!A:A,1,FALSE),"NO")="NO","NO","YES")</f>
        <v>NO</v>
      </c>
      <c r="P60" t="s">
        <v>314</v>
      </c>
      <c r="Q60" t="str">
        <f>IF(SUM('User Engagement'!I60:J60)&gt;=0,"YES", "NO")</f>
        <v>YES</v>
      </c>
    </row>
    <row r="61" spans="1:17" ht="16" x14ac:dyDescent="0.2">
      <c r="A61" t="str">
        <f>Users!A59</f>
        <v>lucyzhou2@hotmail.com</v>
      </c>
      <c r="B61" s="80" t="str">
        <f>Users!D59</f>
        <v>07999724306</v>
      </c>
      <c r="C61" s="29" t="str">
        <f>VLOOKUP(A61,Users!A:D,2,FALSE)</f>
        <v>Lucy</v>
      </c>
      <c r="D61" s="29" t="str">
        <f>VLOOKUP(A61,Users!A:D,3,FALSE)</f>
        <v>Zhou</v>
      </c>
      <c r="E61" s="139">
        <f>COUNTIF(Visits!Y:Y,'Summer Challenge'!A61)</f>
        <v>0</v>
      </c>
      <c r="G61" cm="1">
        <f t="array" ref="G61">SUM(--(FREQUENCY(IF(Visits!E:E='Summer Challenge'!A61,Visits!Z:Z),Visits!Z:Z)&gt;0))</f>
        <v>2</v>
      </c>
      <c r="H61">
        <f>SUMIF(Visits!E:E,'Summer Challenge'!A61,Visits!Z:Z)</f>
        <v>10</v>
      </c>
      <c r="J61" s="147">
        <f t="shared" si="0"/>
        <v>20</v>
      </c>
      <c r="K61" s="147">
        <v>4</v>
      </c>
      <c r="L61" s="5">
        <f>SUMIF(Visits!E:E,'Summer Challenge'!A61,Visits!J:J)</f>
        <v>4</v>
      </c>
      <c r="M61" s="5">
        <f t="shared" si="1"/>
        <v>16</v>
      </c>
      <c r="N61" s="148" t="s">
        <v>343</v>
      </c>
      <c r="O61" t="str">
        <f>IF(IFERROR(VLOOKUP(Users!E59,Credits!A:A,1,FALSE),"NO")="NO","NO","YES")</f>
        <v>NO</v>
      </c>
      <c r="P61" t="s">
        <v>344</v>
      </c>
      <c r="Q61" t="str">
        <f>IF(SUM('User Engagement'!I61:J61)&gt;=0,"YES", "NO")</f>
        <v>YES</v>
      </c>
    </row>
    <row r="62" spans="1:17" ht="16" x14ac:dyDescent="0.2">
      <c r="A62" t="str">
        <f>Users!A60</f>
        <v>mm.manolova@yahoo.com</v>
      </c>
      <c r="B62" s="80" t="str">
        <f>Users!D60</f>
        <v>+44 7518 906811</v>
      </c>
      <c r="C62" s="29" t="str">
        <f>VLOOKUP(A62,Users!A:D,2,FALSE)</f>
        <v>Maggie</v>
      </c>
      <c r="D62" s="29" t="str">
        <f>VLOOKUP(A62,Users!A:D,3,FALSE)</f>
        <v>Manolova</v>
      </c>
      <c r="E62" s="139">
        <f>COUNTIF(Visits!Y:Y,'Summer Challenge'!A62)</f>
        <v>0</v>
      </c>
      <c r="G62" cm="1">
        <f t="array" ref="G62">SUM(--(FREQUENCY(IF(Visits!E:E='Summer Challenge'!A62,Visits!Z:Z),Visits!Z:Z)&gt;0))</f>
        <v>1</v>
      </c>
      <c r="H62">
        <f>SUMIF(Visits!E:E,'Summer Challenge'!A62,Visits!Z:Z)</f>
        <v>8</v>
      </c>
      <c r="J62" s="147">
        <f t="shared" si="0"/>
        <v>10</v>
      </c>
      <c r="K62" s="147">
        <v>2</v>
      </c>
      <c r="L62" s="5">
        <f>SUMIF(Visits!E:E,'Summer Challenge'!A62,Visits!J:J)</f>
        <v>2</v>
      </c>
      <c r="M62" s="5">
        <f t="shared" si="1"/>
        <v>8</v>
      </c>
      <c r="N62" s="146"/>
      <c r="O62" t="str">
        <f>IF(IFERROR(VLOOKUP(Users!E60,Credits!A:A,1,FALSE),"NO")="NO","NO","YES")</f>
        <v>YES</v>
      </c>
      <c r="P62" t="s">
        <v>344</v>
      </c>
      <c r="Q62" t="str">
        <f>IF(SUM('User Engagement'!I62:J62)&gt;=0,"YES", "NO")</f>
        <v>YES</v>
      </c>
    </row>
    <row r="63" spans="1:17" ht="16" x14ac:dyDescent="0.2">
      <c r="A63" t="str">
        <f>Users!A61</f>
        <v>lonmys@outlook.com</v>
      </c>
      <c r="B63" s="80">
        <f>Users!D61</f>
        <v>0</v>
      </c>
      <c r="C63" s="29" t="str">
        <f>VLOOKUP(A63,Users!A:D,2,FALSE)</f>
        <v>Malti</v>
      </c>
      <c r="D63" s="29" t="str">
        <f>VLOOKUP(A63,Users!A:D,3,FALSE)</f>
        <v>.</v>
      </c>
      <c r="E63" s="139">
        <f>COUNTIF(Visits!Y:Y,'Summer Challenge'!A63)</f>
        <v>0</v>
      </c>
      <c r="G63" cm="1">
        <f t="array" ref="G63">SUM(--(FREQUENCY(IF(Visits!E:E='Summer Challenge'!A63,Visits!Z:Z),Visits!Z:Z)&gt;0))</f>
        <v>1</v>
      </c>
      <c r="H63">
        <f>SUMIF(Visits!E:E,'Summer Challenge'!A63,Visits!Z:Z)</f>
        <v>4</v>
      </c>
      <c r="J63" s="147">
        <f t="shared" si="0"/>
        <v>5</v>
      </c>
      <c r="K63" s="147">
        <v>1</v>
      </c>
      <c r="L63" s="5">
        <f>SUMIF(Visits!E:E,'Summer Challenge'!A63,Visits!J:J)</f>
        <v>1</v>
      </c>
      <c r="M63" s="5">
        <f t="shared" si="1"/>
        <v>4</v>
      </c>
      <c r="N63" s="5"/>
      <c r="O63" t="str">
        <f>IF(IFERROR(VLOOKUP(Users!E61,Credits!A:A,1,FALSE),"NO")="NO","NO","YES")</f>
        <v>NO</v>
      </c>
      <c r="P63" t="s">
        <v>344</v>
      </c>
      <c r="Q63" t="str">
        <f>IF(SUM('User Engagement'!I63:J63)&gt;=0,"YES", "NO")</f>
        <v>YES</v>
      </c>
    </row>
    <row r="64" spans="1:17" ht="16" x14ac:dyDescent="0.2">
      <c r="A64" t="str">
        <f>Users!A62</f>
        <v>matthew.hoza@gmail.com</v>
      </c>
      <c r="B64" s="80" t="str">
        <f>Users!D62</f>
        <v>+447300421968</v>
      </c>
      <c r="C64" s="29" t="str">
        <f>VLOOKUP(A64,Users!A:D,2,FALSE)</f>
        <v>Matt</v>
      </c>
      <c r="D64" s="29" t="str">
        <f>VLOOKUP(A64,Users!A:D,3,FALSE)</f>
        <v>Hoza</v>
      </c>
      <c r="E64" s="139">
        <f>COUNTIF(Visits!Y:Y,'Summer Challenge'!A64)</f>
        <v>0</v>
      </c>
      <c r="G64" cm="1">
        <f t="array" ref="G64">SUM(--(FREQUENCY(IF(Visits!E:E='Summer Challenge'!A64,Visits!Z:Z),Visits!Z:Z)&gt;0))</f>
        <v>1</v>
      </c>
      <c r="H64">
        <f>SUMIF(Visits!E:E,'Summer Challenge'!A64,Visits!Z:Z)</f>
        <v>8</v>
      </c>
      <c r="J64" s="147">
        <f t="shared" si="0"/>
        <v>10</v>
      </c>
      <c r="K64" s="147">
        <v>1</v>
      </c>
      <c r="L64" s="5">
        <f>SUMIF(Visits!E:E,'Summer Challenge'!A64,Visits!J:J)</f>
        <v>2</v>
      </c>
      <c r="M64" s="5">
        <f t="shared" si="1"/>
        <v>8</v>
      </c>
      <c r="N64" s="5"/>
      <c r="O64" t="str">
        <f>IF(IFERROR(VLOOKUP(Users!E62,Credits!A:A,1,FALSE),"NO")="NO","NO","YES")</f>
        <v>NO</v>
      </c>
      <c r="P64" t="s">
        <v>344</v>
      </c>
      <c r="Q64" t="str">
        <f>IF(SUM('User Engagement'!I64:J64)&gt;=0,"YES", "NO")</f>
        <v>YES</v>
      </c>
    </row>
    <row r="65" spans="1:17" ht="16" x14ac:dyDescent="0.2">
      <c r="A65" t="str">
        <f>Users!A63</f>
        <v>maestromattheww@yahoo.co.uk</v>
      </c>
      <c r="B65" s="80" t="str">
        <f>Users!D63</f>
        <v>07817234925</v>
      </c>
      <c r="C65" s="29" t="str">
        <f>VLOOKUP(A65,Users!A:D,2,FALSE)</f>
        <v>Matthew</v>
      </c>
      <c r="D65" s="29" t="str">
        <f>VLOOKUP(A65,Users!A:D,3,FALSE)</f>
        <v>Watts</v>
      </c>
      <c r="E65" s="139">
        <f>COUNTIF(Visits!Y:Y,'Summer Challenge'!A65)</f>
        <v>0</v>
      </c>
      <c r="G65" cm="1">
        <f t="array" ref="G65">SUM(--(FREQUENCY(IF(Visits!E:E='Summer Challenge'!A65,Visits!Z:Z),Visits!Z:Z)&gt;0))</f>
        <v>2</v>
      </c>
      <c r="H65">
        <f>SUMIF(Visits!E:E,'Summer Challenge'!A65,Visits!Z:Z)</f>
        <v>14</v>
      </c>
      <c r="J65" s="147">
        <f t="shared" si="0"/>
        <v>25</v>
      </c>
      <c r="K65" s="147">
        <v>5</v>
      </c>
      <c r="L65" s="5">
        <f>SUMIF(Visits!E:E,'Summer Challenge'!A65,Visits!J:J)</f>
        <v>5</v>
      </c>
      <c r="M65" s="5">
        <f t="shared" si="1"/>
        <v>20</v>
      </c>
      <c r="N65" s="148" t="s">
        <v>343</v>
      </c>
      <c r="O65" t="str">
        <f>IF(IFERROR(VLOOKUP(Users!E63,Credits!A:A,1,FALSE),"NO")="NO","NO","YES")</f>
        <v>NO</v>
      </c>
      <c r="P65" t="s">
        <v>344</v>
      </c>
      <c r="Q65" t="str">
        <f>IF(SUM('User Engagement'!I65:J65)&gt;=0,"YES", "NO")</f>
        <v>YES</v>
      </c>
    </row>
    <row r="66" spans="1:17" ht="16" x14ac:dyDescent="0.2">
      <c r="A66" t="str">
        <f>Users!A64</f>
        <v>lanidoms@gmail.com</v>
      </c>
      <c r="B66" s="80">
        <f>Users!D64</f>
        <v>7503778383</v>
      </c>
      <c r="C66" s="29" t="str">
        <f>VLOOKUP(A66,Users!A:D,2,FALSE)</f>
        <v>Mercelani</v>
      </c>
      <c r="D66" s="29" t="str">
        <f>VLOOKUP(A66,Users!A:D,3,FALSE)</f>
        <v>Dumayday</v>
      </c>
      <c r="E66" s="139">
        <f>COUNTIF(Visits!Y:Y,'Summer Challenge'!A66)</f>
        <v>0</v>
      </c>
      <c r="G66" cm="1">
        <f t="array" ref="G66">SUM(--(FREQUENCY(IF(Visits!E:E='Summer Challenge'!A66,Visits!Z:Z),Visits!Z:Z)&gt;0))</f>
        <v>1</v>
      </c>
      <c r="H66">
        <f>SUMIF(Visits!E:E,'Summer Challenge'!A66,Visits!Z:Z)</f>
        <v>4</v>
      </c>
      <c r="J66" s="147">
        <f t="shared" si="0"/>
        <v>5</v>
      </c>
      <c r="K66" s="147">
        <v>1</v>
      </c>
      <c r="L66" s="5">
        <f>SUMIF(Visits!E:E,'Summer Challenge'!A66,Visits!J:J)</f>
        <v>1</v>
      </c>
      <c r="M66" s="5">
        <f t="shared" si="1"/>
        <v>4</v>
      </c>
      <c r="N66" s="5"/>
      <c r="O66" t="str">
        <f>IF(IFERROR(VLOOKUP(Users!E64,Credits!A:A,1,FALSE),"NO")="NO","NO","YES")</f>
        <v>NO</v>
      </c>
      <c r="P66" t="s">
        <v>344</v>
      </c>
      <c r="Q66" t="str">
        <f>IF(SUM('User Engagement'!I66:J66)&gt;=0,"YES", "NO")</f>
        <v>YES</v>
      </c>
    </row>
    <row r="67" spans="1:17" ht="16" x14ac:dyDescent="0.2">
      <c r="A67" t="str">
        <f>Users!A65</f>
        <v>monique.blemur@gmail.com</v>
      </c>
      <c r="B67" s="80">
        <f>Users!D65</f>
        <v>0</v>
      </c>
      <c r="C67" s="29" t="str">
        <f>VLOOKUP(A67,Users!A:D,2,FALSE)</f>
        <v>Monique</v>
      </c>
      <c r="D67" s="29" t="str">
        <f>VLOOKUP(A67,Users!A:D,3,FALSE)</f>
        <v>Blemur</v>
      </c>
      <c r="E67" s="139">
        <f>COUNTIF(Visits!Y:Y,'Summer Challenge'!A67)</f>
        <v>0</v>
      </c>
      <c r="G67" cm="1">
        <f t="array" ref="G67">SUM(--(FREQUENCY(IF(Visits!E:E='Summer Challenge'!A67,Visits!Z:Z),Visits!Z:Z)&gt;0))</f>
        <v>1</v>
      </c>
      <c r="H67">
        <f>SUMIF(Visits!E:E,'Summer Challenge'!A67,Visits!Z:Z)</f>
        <v>12</v>
      </c>
      <c r="J67" s="147">
        <f t="shared" si="0"/>
        <v>15</v>
      </c>
      <c r="K67" s="147">
        <v>3</v>
      </c>
      <c r="L67" s="5">
        <f>SUMIF(Visits!E:E,'Summer Challenge'!A67,Visits!J:J)</f>
        <v>3</v>
      </c>
      <c r="M67" s="5">
        <f t="shared" si="1"/>
        <v>12</v>
      </c>
      <c r="N67" s="146" t="s">
        <v>343</v>
      </c>
      <c r="O67" t="str">
        <f>IF(IFERROR(VLOOKUP(Users!E65,Credits!A:A,1,FALSE),"NO")="NO","NO","YES")</f>
        <v>YES</v>
      </c>
      <c r="P67" t="s">
        <v>344</v>
      </c>
      <c r="Q67" t="str">
        <f>IF(SUM('User Engagement'!I67:J67)&gt;=0,"YES", "NO")</f>
        <v>YES</v>
      </c>
    </row>
    <row r="68" spans="1:17" ht="16" x14ac:dyDescent="0.2">
      <c r="A68" t="str">
        <f>Users!A66</f>
        <v>thefengshuistory@gmail.com</v>
      </c>
      <c r="C68" s="29" t="str">
        <f>VLOOKUP(A68,Users!A:D,2,FALSE)</f>
        <v>Mouna</v>
      </c>
      <c r="D68" s="29" t="str">
        <f>VLOOKUP(A68,Users!A:D,3,FALSE)</f>
        <v>Iraqi</v>
      </c>
      <c r="E68" s="139">
        <f>COUNTIF(Visits!Y:Y,'Summer Challenge'!A68)</f>
        <v>0</v>
      </c>
      <c r="G68" cm="1">
        <f t="array" ref="G68">SUM(--(FREQUENCY(IF(Visits!E:E='Summer Challenge'!A68,Visits!Z:Z),Visits!Z:Z)&gt;0))</f>
        <v>1</v>
      </c>
      <c r="H68">
        <f>SUMIF(Visits!E:E,'Summer Challenge'!A68,Visits!Z:Z)</f>
        <v>1</v>
      </c>
      <c r="J68" s="147">
        <f t="shared" si="0"/>
        <v>5</v>
      </c>
      <c r="K68" s="147">
        <v>1</v>
      </c>
      <c r="L68" s="5">
        <f>SUMIF(Visits!E:E,'Summer Challenge'!A68,Visits!J:J)</f>
        <v>1</v>
      </c>
      <c r="M68" s="5">
        <f t="shared" si="1"/>
        <v>4</v>
      </c>
      <c r="N68" s="5"/>
      <c r="O68" t="str">
        <f>IF(IFERROR(VLOOKUP(Users!E66,Credits!A:A,1,FALSE),"NO")="NO","NO","YES")</f>
        <v>YES</v>
      </c>
      <c r="P68" t="s">
        <v>314</v>
      </c>
      <c r="Q68" t="str">
        <f>IF(SUM('User Engagement'!I68:J68)&gt;=0,"YES", "NO")</f>
        <v>YES</v>
      </c>
    </row>
    <row r="69" spans="1:17" ht="16" x14ac:dyDescent="0.2">
      <c r="A69" t="str">
        <f>Users!A67</f>
        <v>Nataliokolie@gmail.com</v>
      </c>
      <c r="B69" s="80" t="str">
        <f>Users!D67</f>
        <v xml:space="preserve">07488410909 </v>
      </c>
      <c r="C69" s="29" t="str">
        <f>VLOOKUP(A69,Users!A:D,2,FALSE)</f>
        <v>Natali</v>
      </c>
      <c r="D69" s="29" t="str">
        <f>VLOOKUP(A69,Users!A:D,3,FALSE)</f>
        <v xml:space="preserve">Okolie </v>
      </c>
      <c r="E69" s="139">
        <f>COUNTIF(Visits!Y:Y,'Summer Challenge'!A69)</f>
        <v>0</v>
      </c>
      <c r="G69" cm="1">
        <f t="array" ref="G69">SUM(--(FREQUENCY(IF(Visits!E:E='Summer Challenge'!A69,Visits!Z:Z),Visits!Z:Z)&gt;0))</f>
        <v>1</v>
      </c>
      <c r="H69">
        <f>SUMIF(Visits!E:E,'Summer Challenge'!A69,Visits!Z:Z)</f>
        <v>1</v>
      </c>
      <c r="J69" s="147">
        <f t="shared" ref="J69:J102" si="2">L69*10/2</f>
        <v>5</v>
      </c>
      <c r="K69" s="147">
        <v>1</v>
      </c>
      <c r="L69" s="5">
        <f>SUMIF(Visits!E:E,'Summer Challenge'!A69,Visits!J:J)</f>
        <v>1</v>
      </c>
      <c r="M69" s="5">
        <f t="shared" ref="M69:M102" si="3">L69*4</f>
        <v>4</v>
      </c>
      <c r="N69" s="5"/>
      <c r="O69" t="str">
        <f>IF(IFERROR(VLOOKUP(Users!E67,Credits!A:A,1,FALSE),"NO")="NO","NO","YES")</f>
        <v>NO</v>
      </c>
      <c r="P69" t="s">
        <v>344</v>
      </c>
      <c r="Q69" t="str">
        <f>IF(SUM('User Engagement'!I69:J69)&gt;=0,"YES", "NO")</f>
        <v>YES</v>
      </c>
    </row>
    <row r="70" spans="1:17" ht="16" x14ac:dyDescent="0.2">
      <c r="A70" t="str">
        <f>Users!A68</f>
        <v>natashapavlovskaya23@gmail.com</v>
      </c>
      <c r="C70" s="29" t="str">
        <f>VLOOKUP(A70,Users!A:D,2,FALSE)</f>
        <v>Natasha</v>
      </c>
      <c r="D70" s="29" t="str">
        <f>VLOOKUP(A70,Users!A:D,3,FALSE)</f>
        <v>Pavlovskaya</v>
      </c>
      <c r="E70" s="139">
        <f>COUNTIF(Visits!Y:Y,'Summer Challenge'!A70)</f>
        <v>0</v>
      </c>
      <c r="G70" cm="1">
        <f t="array" ref="G70">SUM(--(FREQUENCY(IF(Visits!E:E='Summer Challenge'!A70,Visits!Z:Z),Visits!Z:Z)&gt;0))</f>
        <v>1</v>
      </c>
      <c r="H70">
        <f>SUMIF(Visits!E:E,'Summer Challenge'!A70,Visits!Z:Z)</f>
        <v>12</v>
      </c>
      <c r="J70" s="147">
        <f t="shared" si="2"/>
        <v>15</v>
      </c>
      <c r="K70" s="147">
        <v>2</v>
      </c>
      <c r="L70" s="5">
        <f>SUMIF(Visits!E:E,'Summer Challenge'!A70,Visits!J:J)</f>
        <v>3</v>
      </c>
      <c r="M70" s="5">
        <f t="shared" si="3"/>
        <v>12</v>
      </c>
      <c r="N70" s="5"/>
      <c r="O70" t="str">
        <f>IF(IFERROR(VLOOKUP(Users!E68,Credits!A:A,1,FALSE),"NO")="NO","NO","YES")</f>
        <v>NO</v>
      </c>
      <c r="P70" t="s">
        <v>314</v>
      </c>
      <c r="Q70" t="str">
        <f>IF(SUM('User Engagement'!I70:J70)&gt;=0,"YES", "NO")</f>
        <v>YES</v>
      </c>
    </row>
    <row r="71" spans="1:17" ht="16" x14ac:dyDescent="0.2">
      <c r="A71" t="str">
        <f>Users!A69</f>
        <v>ngg971@gmail.com</v>
      </c>
      <c r="C71" s="29" t="str">
        <f>VLOOKUP(A71,Users!A:D,2,FALSE)</f>
        <v>Nathanael</v>
      </c>
      <c r="D71" s="29" t="str">
        <f>VLOOKUP(A71,Users!A:D,3,FALSE)</f>
        <v>Geman</v>
      </c>
      <c r="E71" s="139">
        <f>COUNTIF(Visits!Y:Y,'Summer Challenge'!A71)</f>
        <v>0</v>
      </c>
      <c r="G71" cm="1">
        <f t="array" ref="G71">SUM(--(FREQUENCY(IF(Visits!E:E='Summer Challenge'!A71,Visits!Z:Z),Visits!Z:Z)&gt;0))</f>
        <v>1</v>
      </c>
      <c r="H71">
        <f>SUMIF(Visits!E:E,'Summer Challenge'!A71,Visits!Z:Z)</f>
        <v>1</v>
      </c>
      <c r="J71" s="147">
        <f t="shared" si="2"/>
        <v>5</v>
      </c>
      <c r="K71" s="147">
        <v>1</v>
      </c>
      <c r="L71" s="5">
        <f>SUMIF(Visits!E:E,'Summer Challenge'!A71,Visits!J:J)</f>
        <v>1</v>
      </c>
      <c r="M71" s="5">
        <f t="shared" si="3"/>
        <v>4</v>
      </c>
      <c r="N71" s="5"/>
      <c r="O71" t="str">
        <f>IF(IFERROR(VLOOKUP(Users!E69,Credits!A:A,1,FALSE),"NO")="NO","NO","YES")</f>
        <v>NO</v>
      </c>
      <c r="P71" t="s">
        <v>314</v>
      </c>
      <c r="Q71" t="str">
        <f>IF(SUM('User Engagement'!I71:J71)&gt;=0,"YES", "NO")</f>
        <v>YES</v>
      </c>
    </row>
    <row r="72" spans="1:17" ht="16" x14ac:dyDescent="0.2">
      <c r="A72" t="str">
        <f>Users!A70</f>
        <v>isisding@gmail.com</v>
      </c>
      <c r="C72" s="29" t="str">
        <f>VLOOKUP(A72,Users!A:D,2,FALSE)</f>
        <v>ND</v>
      </c>
      <c r="D72" s="29">
        <f>VLOOKUP(A72,Users!A:D,3,FALSE)</f>
        <v>0</v>
      </c>
      <c r="E72" s="139">
        <f>COUNTIF(Visits!Y:Y,'Summer Challenge'!A72)</f>
        <v>0</v>
      </c>
      <c r="G72" cm="1">
        <f t="array" ref="G72">SUM(--(FREQUENCY(IF(Visits!E:E='Summer Challenge'!A72,Visits!Z:Z),Visits!Z:Z)&gt;0))</f>
        <v>1</v>
      </c>
      <c r="H72">
        <f>SUMIF(Visits!E:E,'Summer Challenge'!A72,Visits!Z:Z)</f>
        <v>4</v>
      </c>
      <c r="J72" s="147">
        <f t="shared" si="2"/>
        <v>5</v>
      </c>
      <c r="K72" s="147">
        <v>1</v>
      </c>
      <c r="L72" s="5">
        <f>SUMIF(Visits!E:E,'Summer Challenge'!A72,Visits!J:J)</f>
        <v>1</v>
      </c>
      <c r="M72" s="5">
        <f t="shared" si="3"/>
        <v>4</v>
      </c>
      <c r="N72" s="5"/>
      <c r="O72" t="str">
        <f>IF(IFERROR(VLOOKUP(Users!E70,Credits!A:A,1,FALSE),"NO")="NO","NO","YES")</f>
        <v>NO</v>
      </c>
      <c r="P72" t="s">
        <v>314</v>
      </c>
      <c r="Q72" t="str">
        <f>IF(SUM('User Engagement'!I72:J72)&gt;=0,"YES", "NO")</f>
        <v>YES</v>
      </c>
    </row>
    <row r="73" spans="1:17" ht="16" x14ac:dyDescent="0.2">
      <c r="A73" t="str">
        <f>Users!A71</f>
        <v>walokunrin@yahoo.com</v>
      </c>
      <c r="C73" s="29" t="str">
        <f>VLOOKUP(A73,Users!A:D,2,FALSE)</f>
        <v>Olawale</v>
      </c>
      <c r="D73" s="29" t="str">
        <f>VLOOKUP(A73,Users!A:D,3,FALSE)</f>
        <v>Okunrinboye</v>
      </c>
      <c r="E73" s="139">
        <f>COUNTIF(Visits!Y:Y,'Summer Challenge'!A73)</f>
        <v>0</v>
      </c>
      <c r="G73" cm="1">
        <f t="array" ref="G73">SUM(--(FREQUENCY(IF(Visits!E:E='Summer Challenge'!A73,Visits!Z:Z),Visits!Z:Z)&gt;0))</f>
        <v>2</v>
      </c>
      <c r="H73">
        <f>SUMIF(Visits!E:E,'Summer Challenge'!A73,Visits!Z:Z)</f>
        <v>5</v>
      </c>
      <c r="J73" s="147">
        <f t="shared" si="2"/>
        <v>10</v>
      </c>
      <c r="K73" s="147">
        <v>2</v>
      </c>
      <c r="L73" s="5">
        <f>SUMIF(Visits!E:E,'Summer Challenge'!A73,Visits!J:J)</f>
        <v>2</v>
      </c>
      <c r="M73" s="5">
        <f t="shared" si="3"/>
        <v>8</v>
      </c>
      <c r="N73" s="5"/>
      <c r="O73" t="str">
        <f>IF(IFERROR(VLOOKUP(Users!E71,Credits!A:A,1,FALSE),"NO")="NO","NO","YES")</f>
        <v>NO</v>
      </c>
      <c r="P73" t="s">
        <v>314</v>
      </c>
      <c r="Q73" t="str">
        <f>IF(SUM('User Engagement'!I73:J73)&gt;=0,"YES", "NO")</f>
        <v>YES</v>
      </c>
    </row>
    <row r="74" spans="1:17" ht="16" x14ac:dyDescent="0.2">
      <c r="A74" t="str">
        <f>Users!A72</f>
        <v>pragyaptib@gmail.com</v>
      </c>
      <c r="C74" s="29" t="str">
        <f>VLOOKUP(A74,Users!A:D,2,FALSE)</f>
        <v>Pragyapti</v>
      </c>
      <c r="D74" s="29" t="str">
        <f>VLOOKUP(A74,Users!A:D,3,FALSE)</f>
        <v>Bhandari</v>
      </c>
      <c r="E74" s="139">
        <f>COUNTIF(Visits!Y:Y,'Summer Challenge'!A74)</f>
        <v>0</v>
      </c>
      <c r="G74" cm="1">
        <f t="array" ref="G74">SUM(--(FREQUENCY(IF(Visits!E:E='Summer Challenge'!A74,Visits!Z:Z),Visits!Z:Z)&gt;0))</f>
        <v>1</v>
      </c>
      <c r="H74">
        <f>SUMIF(Visits!E:E,'Summer Challenge'!A74,Visits!Z:Z)</f>
        <v>1</v>
      </c>
      <c r="J74" s="147">
        <f t="shared" si="2"/>
        <v>5</v>
      </c>
      <c r="K74" s="147">
        <v>1</v>
      </c>
      <c r="L74" s="5">
        <f>SUMIF(Visits!E:E,'Summer Challenge'!A74,Visits!J:J)</f>
        <v>1</v>
      </c>
      <c r="M74" s="5">
        <f t="shared" si="3"/>
        <v>4</v>
      </c>
      <c r="N74" s="5"/>
      <c r="O74" t="str">
        <f>IF(IFERROR(VLOOKUP(Users!E72,Credits!A:A,1,FALSE),"NO")="NO","NO","YES")</f>
        <v>NO</v>
      </c>
      <c r="P74" t="s">
        <v>314</v>
      </c>
      <c r="Q74" t="str">
        <f>IF(SUM('User Engagement'!I74:J74)&gt;=0,"YES", "NO")</f>
        <v>YES</v>
      </c>
    </row>
    <row r="75" spans="1:17" ht="16" x14ac:dyDescent="0.2">
      <c r="A75" t="str">
        <f>Users!A73</f>
        <v>Richard_segal@yahoo.com</v>
      </c>
      <c r="B75" s="80" t="str">
        <f>Users!D73</f>
        <v>+44 7949 109489</v>
      </c>
      <c r="C75" s="29" t="str">
        <f>VLOOKUP(A75,Users!A:D,2,FALSE)</f>
        <v xml:space="preserve">Richard </v>
      </c>
      <c r="D75" s="29" t="str">
        <f>VLOOKUP(A75,Users!A:D,3,FALSE)</f>
        <v>Segal</v>
      </c>
      <c r="E75" s="139">
        <f>COUNTIF(Visits!Y:Y,'Summer Challenge'!A75)</f>
        <v>0</v>
      </c>
      <c r="G75" cm="1">
        <f t="array" ref="G75">SUM(--(FREQUENCY(IF(Visits!E:E='Summer Challenge'!A75,Visits!Z:Z),Visits!Z:Z)&gt;0))</f>
        <v>1</v>
      </c>
      <c r="H75">
        <f>SUMIF(Visits!E:E,'Summer Challenge'!A75,Visits!Z:Z)</f>
        <v>1</v>
      </c>
      <c r="J75" s="147">
        <f t="shared" si="2"/>
        <v>5</v>
      </c>
      <c r="K75" s="147">
        <v>1</v>
      </c>
      <c r="L75" s="5">
        <f>SUMIF(Visits!E:E,'Summer Challenge'!A75,Visits!J:J)</f>
        <v>1</v>
      </c>
      <c r="M75" s="5">
        <f t="shared" si="3"/>
        <v>4</v>
      </c>
      <c r="N75" s="5"/>
      <c r="O75" t="str">
        <f>IF(IFERROR(VLOOKUP(Users!E73,Credits!A:A,1,FALSE),"NO")="NO","NO","YES")</f>
        <v>NO</v>
      </c>
      <c r="P75" t="s">
        <v>344</v>
      </c>
      <c r="Q75" t="str">
        <f>IF(SUM('User Engagement'!I75:J75)&gt;=0,"YES", "NO")</f>
        <v>YES</v>
      </c>
    </row>
    <row r="76" spans="1:17" ht="16" x14ac:dyDescent="0.2">
      <c r="A76" t="str">
        <f>Users!A74</f>
        <v>roberthchapman@hotmail.com</v>
      </c>
      <c r="B76" s="80" t="str">
        <f>Users!D74</f>
        <v>07717205862</v>
      </c>
      <c r="C76" s="29" t="str">
        <f>VLOOKUP(A76,Users!A:D,2,FALSE)</f>
        <v>Robert</v>
      </c>
      <c r="D76" s="29" t="str">
        <f>VLOOKUP(A76,Users!A:D,3,FALSE)</f>
        <v>Chapman</v>
      </c>
      <c r="E76" s="139">
        <f>COUNTIF(Visits!Y:Y,'Summer Challenge'!A76)</f>
        <v>0</v>
      </c>
      <c r="G76" cm="1">
        <f t="array" ref="G76">SUM(--(FREQUENCY(IF(Visits!E:E='Summer Challenge'!A76,Visits!Z:Z),Visits!Z:Z)&gt;0))</f>
        <v>2</v>
      </c>
      <c r="H76">
        <f>SUMIF(Visits!E:E,'Summer Challenge'!A76,Visits!Z:Z)</f>
        <v>30</v>
      </c>
      <c r="J76" s="147">
        <f t="shared" si="2"/>
        <v>45</v>
      </c>
      <c r="K76" s="147">
        <v>11</v>
      </c>
      <c r="L76" s="5">
        <f>SUMIF(Visits!E:E,'Summer Challenge'!A76,Visits!J:J)</f>
        <v>9</v>
      </c>
      <c r="M76" s="5">
        <f t="shared" si="3"/>
        <v>36</v>
      </c>
      <c r="N76" s="146" t="s">
        <v>343</v>
      </c>
      <c r="O76" t="str">
        <f>IF(IFERROR(VLOOKUP(Users!E74,Credits!A:A,1,FALSE),"NO")="NO","NO","YES")</f>
        <v>YES</v>
      </c>
      <c r="P76" t="s">
        <v>344</v>
      </c>
      <c r="Q76" t="str">
        <f>IF(SUM('User Engagement'!I76:J76)&gt;=0,"YES", "NO")</f>
        <v>YES</v>
      </c>
    </row>
    <row r="77" spans="1:17" ht="16" x14ac:dyDescent="0.2">
      <c r="A77" t="str">
        <f>Users!A75</f>
        <v>tendulkar.rohini@gmail.com</v>
      </c>
      <c r="B77" s="80" t="str">
        <f>Users!D75</f>
        <v>07752083835</v>
      </c>
      <c r="C77" s="29" t="str">
        <f>VLOOKUP(A77,Users!A:D,2,FALSE)</f>
        <v>Rohini</v>
      </c>
      <c r="D77" s="29" t="str">
        <f>VLOOKUP(A77,Users!A:D,3,FALSE)</f>
        <v>Tendulkar</v>
      </c>
      <c r="E77" s="139">
        <f>COUNTIF(Visits!Y:Y,'Summer Challenge'!A77)</f>
        <v>3</v>
      </c>
      <c r="G77" cm="1">
        <f t="array" ref="G77">SUM(--(FREQUENCY(IF(Visits!E:E='Summer Challenge'!A77,Visits!Z:Z),Visits!Z:Z)&gt;0))</f>
        <v>2</v>
      </c>
      <c r="H77">
        <f>SUMIF(Visits!E:E,'Summer Challenge'!A77,Visits!Z:Z)</f>
        <v>26</v>
      </c>
      <c r="J77" s="147">
        <f t="shared" si="2"/>
        <v>40</v>
      </c>
      <c r="K77" s="147">
        <v>9</v>
      </c>
      <c r="L77" s="5">
        <f>SUMIF(Visits!E:E,'Summer Challenge'!A77,Visits!J:J)</f>
        <v>8</v>
      </c>
      <c r="M77" s="5">
        <f t="shared" si="3"/>
        <v>32</v>
      </c>
      <c r="N77" s="146" t="s">
        <v>343</v>
      </c>
      <c r="O77" t="str">
        <f>IF(IFERROR(VLOOKUP(Users!E75,Credits!A:A,1,FALSE),"NO")="NO","NO","YES")</f>
        <v>YES</v>
      </c>
      <c r="P77" t="s">
        <v>344</v>
      </c>
      <c r="Q77" t="str">
        <f>IF(SUM('User Engagement'!I77:J77)&gt;=0,"YES", "NO")</f>
        <v>YES</v>
      </c>
    </row>
    <row r="78" spans="1:17" ht="16" x14ac:dyDescent="0.2">
      <c r="A78" t="str">
        <f>Users!A76</f>
        <v>rowan.bashar@gmail.com</v>
      </c>
      <c r="B78" s="80" t="str">
        <f>Users!D76</f>
        <v>07436593641</v>
      </c>
      <c r="C78" s="29" t="str">
        <f>VLOOKUP(A78,Users!A:D,2,FALSE)</f>
        <v>Rowan</v>
      </c>
      <c r="D78" s="29" t="str">
        <f>VLOOKUP(A78,Users!A:D,3,FALSE)</f>
        <v>El Atrache</v>
      </c>
      <c r="E78" s="139">
        <f>COUNTIF(Visits!Y:Y,'Summer Challenge'!A78)</f>
        <v>0</v>
      </c>
      <c r="G78" cm="1">
        <f t="array" ref="G78">SUM(--(FREQUENCY(IF(Visits!E:E='Summer Challenge'!A78,Visits!Z:Z),Visits!Z:Z)&gt;0))</f>
        <v>1</v>
      </c>
      <c r="H78">
        <f>SUMIF(Visits!E:E,'Summer Challenge'!A78,Visits!Z:Z)</f>
        <v>8</v>
      </c>
      <c r="J78" s="147">
        <f t="shared" si="2"/>
        <v>10</v>
      </c>
      <c r="K78" s="147">
        <v>2</v>
      </c>
      <c r="L78" s="5">
        <f>SUMIF(Visits!E:E,'Summer Challenge'!A78,Visits!J:J)</f>
        <v>2</v>
      </c>
      <c r="M78" s="5">
        <f t="shared" si="3"/>
        <v>8</v>
      </c>
      <c r="N78" s="5"/>
      <c r="O78" t="str">
        <f>IF(IFERROR(VLOOKUP(Users!E76,Credits!A:A,1,FALSE),"NO")="NO","NO","YES")</f>
        <v>NO</v>
      </c>
      <c r="P78" t="s">
        <v>344</v>
      </c>
      <c r="Q78" t="str">
        <f>IF(SUM('User Engagement'!I78:J78)&gt;=0,"YES", "NO")</f>
        <v>YES</v>
      </c>
    </row>
    <row r="79" spans="1:17" ht="16" x14ac:dyDescent="0.2">
      <c r="A79" t="str">
        <f>Users!A77</f>
        <v>sabinahaytbaeva@gmail.com</v>
      </c>
      <c r="B79" s="80" t="str">
        <f>Users!D77</f>
        <v xml:space="preserve"> 07564569465</v>
      </c>
      <c r="C79" s="29" t="str">
        <f>VLOOKUP(A79,Users!A:D,2,FALSE)</f>
        <v>Sabina</v>
      </c>
      <c r="D79" s="29" t="str">
        <f>VLOOKUP(A79,Users!A:D,3,FALSE)</f>
        <v>Khaytbaeva</v>
      </c>
      <c r="E79" s="139">
        <f>COUNTIF(Visits!Y:Y,'Summer Challenge'!A79)</f>
        <v>0</v>
      </c>
      <c r="G79" cm="1">
        <f t="array" ref="G79">SUM(--(FREQUENCY(IF(Visits!E:E='Summer Challenge'!A79,Visits!Z:Z),Visits!Z:Z)&gt;0))</f>
        <v>1</v>
      </c>
      <c r="H79">
        <f>SUMIF(Visits!E:E,'Summer Challenge'!A79,Visits!Z:Z)</f>
        <v>1</v>
      </c>
      <c r="J79" s="147">
        <f t="shared" si="2"/>
        <v>5</v>
      </c>
      <c r="K79" s="147">
        <v>1</v>
      </c>
      <c r="L79" s="5">
        <f>SUMIF(Visits!E:E,'Summer Challenge'!A79,Visits!J:J)</f>
        <v>1</v>
      </c>
      <c r="M79" s="5">
        <f t="shared" si="3"/>
        <v>4</v>
      </c>
      <c r="N79" s="5"/>
      <c r="O79" t="str">
        <f>IF(IFERROR(VLOOKUP(Users!E77,Credits!A:A,1,FALSE),"NO")="NO","NO","YES")</f>
        <v>NO</v>
      </c>
      <c r="P79" t="s">
        <v>344</v>
      </c>
      <c r="Q79" t="str">
        <f>IF(SUM('User Engagement'!I79:J79)&gt;=0,"YES", "NO")</f>
        <v>YES</v>
      </c>
    </row>
    <row r="80" spans="1:17" ht="16" x14ac:dyDescent="0.2">
      <c r="A80" t="str">
        <f>Users!A78</f>
        <v>sam.samedzade@gmail.com</v>
      </c>
      <c r="B80" s="80" t="str">
        <f>Users!D78</f>
        <v>07803757887</v>
      </c>
      <c r="C80" s="29" t="str">
        <f>VLOOKUP(A80,Users!A:D,2,FALSE)</f>
        <v>Samedzade</v>
      </c>
      <c r="D80" s="29" t="str">
        <f>VLOOKUP(A80,Users!A:D,3,FALSE)</f>
        <v>Samed</v>
      </c>
      <c r="E80" s="139">
        <f>COUNTIF(Visits!Y:Y,'Summer Challenge'!A80)</f>
        <v>0</v>
      </c>
      <c r="G80" cm="1">
        <f t="array" ref="G80">SUM(--(FREQUENCY(IF(Visits!E:E='Summer Challenge'!A80,Visits!Z:Z),Visits!Z:Z)&gt;0))</f>
        <v>2</v>
      </c>
      <c r="H80">
        <f>SUMIF(Visits!E:E,'Summer Challenge'!A80,Visits!Z:Z)</f>
        <v>6</v>
      </c>
      <c r="J80" s="147">
        <f t="shared" si="2"/>
        <v>15</v>
      </c>
      <c r="K80" s="147">
        <v>4</v>
      </c>
      <c r="L80" s="5">
        <f>SUMIF(Visits!E:E,'Summer Challenge'!A80,Visits!J:J)</f>
        <v>3</v>
      </c>
      <c r="M80" s="5">
        <f t="shared" si="3"/>
        <v>12</v>
      </c>
      <c r="N80" s="5" t="s">
        <v>343</v>
      </c>
      <c r="O80" t="str">
        <f>IF(IFERROR(VLOOKUP(Users!E78,Credits!A:A,1,FALSE),"NO")="NO","NO","YES")</f>
        <v>NO</v>
      </c>
      <c r="P80" t="s">
        <v>344</v>
      </c>
      <c r="Q80" t="str">
        <f>IF(SUM('User Engagement'!I80:J80)&gt;=0,"YES", "NO")</f>
        <v>YES</v>
      </c>
    </row>
    <row r="81" spans="1:17" ht="16" x14ac:dyDescent="0.2">
      <c r="A81" t="str">
        <f>Users!A79</f>
        <v>khan.saretta@gmail.com</v>
      </c>
      <c r="B81" s="80" t="str">
        <f>Users!D79</f>
        <v>07871606482</v>
      </c>
      <c r="C81" s="29" t="str">
        <f>VLOOKUP(A81,Users!A:D,2,FALSE)</f>
        <v>Sara</v>
      </c>
      <c r="D81" s="29" t="str">
        <f>VLOOKUP(A81,Users!A:D,3,FALSE)</f>
        <v>Khan</v>
      </c>
      <c r="E81" s="139">
        <f>COUNTIF(Visits!Y:Y,'Summer Challenge'!A81)</f>
        <v>0</v>
      </c>
      <c r="G81" cm="1">
        <f t="array" ref="G81">SUM(--(FREQUENCY(IF(Visits!E:E='Summer Challenge'!A81,Visits!Z:Z),Visits!Z:Z)&gt;0))</f>
        <v>2</v>
      </c>
      <c r="H81">
        <f>SUMIF(Visits!E:E,'Summer Challenge'!A81,Visits!Z:Z)</f>
        <v>23</v>
      </c>
      <c r="J81" s="147">
        <f t="shared" si="2"/>
        <v>40</v>
      </c>
      <c r="K81" s="147">
        <v>8</v>
      </c>
      <c r="L81" s="5">
        <f>SUMIF(Visits!E:E,'Summer Challenge'!A81,Visits!J:J)</f>
        <v>8</v>
      </c>
      <c r="M81" s="5">
        <f t="shared" si="3"/>
        <v>32</v>
      </c>
      <c r="N81" s="146" t="s">
        <v>343</v>
      </c>
      <c r="O81" t="str">
        <f>IF(IFERROR(VLOOKUP(Users!E79,Credits!A:A,1,FALSE),"NO")="NO","NO","YES")</f>
        <v>YES</v>
      </c>
      <c r="P81" t="s">
        <v>344</v>
      </c>
      <c r="Q81" t="str">
        <f>IF(SUM('User Engagement'!I81:J81)&gt;=0,"YES", "NO")</f>
        <v>YES</v>
      </c>
    </row>
    <row r="82" spans="1:17" ht="16" x14ac:dyDescent="0.2">
      <c r="A82" t="str">
        <f>Users!A80</f>
        <v>scottrgilbert@hotmail.com</v>
      </c>
      <c r="C82" s="29" t="str">
        <f>VLOOKUP(A82,Users!A:D,2,FALSE)</f>
        <v>Scott</v>
      </c>
      <c r="D82" s="29" t="str">
        <f>VLOOKUP(A82,Users!A:D,3,FALSE)</f>
        <v>Gilbert</v>
      </c>
      <c r="E82" s="139">
        <f>COUNTIF(Visits!Y:Y,'Summer Challenge'!A82)</f>
        <v>0</v>
      </c>
      <c r="G82" cm="1">
        <f t="array" ref="G82">SUM(--(FREQUENCY(IF(Visits!E:E='Summer Challenge'!A82,Visits!Z:Z),Visits!Z:Z)&gt;0))</f>
        <v>0</v>
      </c>
      <c r="H82">
        <f>SUMIF(Visits!E:E,'Summer Challenge'!A82,Visits!Z:Z)</f>
        <v>0</v>
      </c>
      <c r="J82" s="147">
        <f t="shared" si="2"/>
        <v>0</v>
      </c>
      <c r="K82" s="147">
        <v>0</v>
      </c>
      <c r="L82" s="5">
        <f>SUMIF(Visits!E:E,'Summer Challenge'!A82,Visits!J:J)</f>
        <v>0</v>
      </c>
      <c r="M82" s="5">
        <f t="shared" si="3"/>
        <v>0</v>
      </c>
      <c r="N82" s="5"/>
      <c r="O82" t="str">
        <f>IF(IFERROR(VLOOKUP(Users!E80,Credits!A:A,1,FALSE),"NO")="NO","NO","YES")</f>
        <v>NO</v>
      </c>
      <c r="P82" t="s">
        <v>314</v>
      </c>
      <c r="Q82" t="str">
        <f>IF(SUM('User Engagement'!I82:J82)&gt;=0,"YES", "NO")</f>
        <v>YES</v>
      </c>
    </row>
    <row r="83" spans="1:17" ht="16" x14ac:dyDescent="0.2">
      <c r="A83" t="str">
        <f>Users!A81</f>
        <v>kittyor.or@gmail.com</v>
      </c>
      <c r="B83" s="80" t="str">
        <f>Users!D81</f>
        <v>07366956766</v>
      </c>
      <c r="C83" s="29" t="str">
        <f>VLOOKUP(A83,Users!A:D,2,FALSE)</f>
        <v>Serena</v>
      </c>
      <c r="D83" s="29" t="str">
        <f>VLOOKUP(A83,Users!A:D,3,FALSE)</f>
        <v>Or</v>
      </c>
      <c r="E83" s="139">
        <f>COUNTIF(Visits!Y:Y,'Summer Challenge'!A83)</f>
        <v>0</v>
      </c>
      <c r="G83" cm="1">
        <f t="array" ref="G83">SUM(--(FREQUENCY(IF(Visits!E:E='Summer Challenge'!A83,Visits!Z:Z),Visits!Z:Z)&gt;0))</f>
        <v>2</v>
      </c>
      <c r="H83">
        <f>SUMIF(Visits!E:E,'Summer Challenge'!A83,Visits!Z:Z)</f>
        <v>5</v>
      </c>
      <c r="J83" s="147">
        <f t="shared" si="2"/>
        <v>10</v>
      </c>
      <c r="K83" s="147">
        <v>2</v>
      </c>
      <c r="L83" s="5">
        <f>SUMIF(Visits!E:E,'Summer Challenge'!A83,Visits!J:J)</f>
        <v>2</v>
      </c>
      <c r="M83" s="5">
        <f t="shared" si="3"/>
        <v>8</v>
      </c>
      <c r="N83" s="5"/>
      <c r="O83" t="str">
        <f>IF(IFERROR(VLOOKUP(Users!E81,Credits!A:A,1,FALSE),"NO")="NO","NO","YES")</f>
        <v>NO</v>
      </c>
      <c r="P83" t="s">
        <v>344</v>
      </c>
      <c r="Q83" t="str">
        <f>IF(SUM('User Engagement'!I83:J83)&gt;=0,"YES", "NO")</f>
        <v>YES</v>
      </c>
    </row>
    <row r="84" spans="1:17" ht="16" x14ac:dyDescent="0.2">
      <c r="A84" t="str">
        <f>Users!A82</f>
        <v>shaysteele2017@gmail.com</v>
      </c>
      <c r="B84" s="80" t="str">
        <f>Users!D82</f>
        <v>07925774705</v>
      </c>
      <c r="C84" s="29" t="str">
        <f>VLOOKUP(A84,Users!A:D,2,FALSE)</f>
        <v>Shay</v>
      </c>
      <c r="D84" s="29" t="str">
        <f>VLOOKUP(A84,Users!A:D,3,FALSE)</f>
        <v>Steele</v>
      </c>
      <c r="E84" s="139">
        <f>COUNTIF(Visits!Y:Y,'Summer Challenge'!A84)</f>
        <v>0</v>
      </c>
      <c r="G84" cm="1">
        <f t="array" ref="G84">SUM(--(FREQUENCY(IF(Visits!E:E='Summer Challenge'!A84,Visits!Z:Z),Visits!Z:Z)&gt;0))</f>
        <v>2</v>
      </c>
      <c r="H84">
        <f>SUMIF(Visits!E:E,'Summer Challenge'!A84,Visits!Z:Z)</f>
        <v>15</v>
      </c>
      <c r="J84" s="147">
        <f t="shared" si="2"/>
        <v>30</v>
      </c>
      <c r="K84" s="147">
        <v>6</v>
      </c>
      <c r="L84" s="5">
        <f>SUMIF(Visits!E:E,'Summer Challenge'!A84,Visits!J:J)</f>
        <v>6</v>
      </c>
      <c r="M84" s="5">
        <f t="shared" si="3"/>
        <v>24</v>
      </c>
      <c r="N84" s="146" t="s">
        <v>343</v>
      </c>
      <c r="O84" t="str">
        <f>IF(IFERROR(VLOOKUP(Users!E82,Credits!A:A,1,FALSE),"NO")="NO","NO","YES")</f>
        <v>YES</v>
      </c>
      <c r="P84" t="s">
        <v>344</v>
      </c>
      <c r="Q84" t="str">
        <f>IF(SUM('User Engagement'!I84:J84)&gt;=0,"YES", "NO")</f>
        <v>YES</v>
      </c>
    </row>
    <row r="85" spans="1:17" ht="16" x14ac:dyDescent="0.2">
      <c r="A85" t="str">
        <f>Users!A83</f>
        <v>shlimbc2@gmail.com</v>
      </c>
      <c r="B85" s="80" t="str">
        <f>Users!D83</f>
        <v>07925774705</v>
      </c>
      <c r="C85" s="29" t="str">
        <f>VLOOKUP(A85,Users!A:D,2,FALSE)</f>
        <v>Shay</v>
      </c>
      <c r="D85" s="29" t="str">
        <f>VLOOKUP(A85,Users!A:D,3,FALSE)</f>
        <v>Lim</v>
      </c>
      <c r="E85" s="139">
        <f>COUNTIF(Visits!Y:Y,'Summer Challenge'!A85)</f>
        <v>0</v>
      </c>
      <c r="G85" cm="1">
        <f t="array" ref="G85">SUM(--(FREQUENCY(IF(Visits!E:E='Summer Challenge'!A85,Visits!Z:Z),Visits!Z:Z)&gt;0))</f>
        <v>1</v>
      </c>
      <c r="H85">
        <f>SUMIF(Visits!E:E,'Summer Challenge'!A85,Visits!Z:Z)</f>
        <v>8</v>
      </c>
      <c r="J85" s="147">
        <f t="shared" si="2"/>
        <v>10</v>
      </c>
      <c r="K85" s="147">
        <v>2</v>
      </c>
      <c r="L85" s="5">
        <f>SUMIF(Visits!E:E,'Summer Challenge'!A85,Visits!J:J)</f>
        <v>2</v>
      </c>
      <c r="M85" s="5">
        <f t="shared" si="3"/>
        <v>8</v>
      </c>
      <c r="N85" s="146" t="s">
        <v>343</v>
      </c>
      <c r="O85" t="str">
        <f>IF(IFERROR(VLOOKUP(Users!E83,Credits!A:A,1,FALSE),"NO")="NO","NO","YES")</f>
        <v>NO</v>
      </c>
      <c r="P85" t="s">
        <v>344</v>
      </c>
      <c r="Q85" t="str">
        <f>IF(SUM('User Engagement'!I85:J85)&gt;=0,"YES", "NO")</f>
        <v>YES</v>
      </c>
    </row>
    <row r="86" spans="1:17" ht="16" x14ac:dyDescent="0.2">
      <c r="A86" t="str">
        <f>Users!A84</f>
        <v>scribu@gmail.com</v>
      </c>
      <c r="C86" s="29" t="str">
        <f>VLOOKUP(A86,Users!A:D,2,FALSE)</f>
        <v>Silviu</v>
      </c>
      <c r="D86" s="29" t="str">
        <f>VLOOKUP(A86,Users!A:D,3,FALSE)</f>
        <v>Burca</v>
      </c>
      <c r="E86" s="139">
        <f>COUNTIF(Visits!Y:Y,'Summer Challenge'!A86)</f>
        <v>0</v>
      </c>
      <c r="G86" cm="1">
        <f t="array" ref="G86">SUM(--(FREQUENCY(IF(Visits!E:E='Summer Challenge'!A86,Visits!Z:Z),Visits!Z:Z)&gt;0))</f>
        <v>1</v>
      </c>
      <c r="H86">
        <f>SUMIF(Visits!E:E,'Summer Challenge'!A86,Visits!Z:Z)</f>
        <v>4</v>
      </c>
      <c r="J86" s="147">
        <f t="shared" si="2"/>
        <v>5</v>
      </c>
      <c r="K86" s="147">
        <v>1</v>
      </c>
      <c r="L86" s="5">
        <f>SUMIF(Visits!E:E,'Summer Challenge'!A86,Visits!J:J)</f>
        <v>1</v>
      </c>
      <c r="M86" s="5">
        <f t="shared" si="3"/>
        <v>4</v>
      </c>
      <c r="N86" s="5"/>
      <c r="O86" t="str">
        <f>IF(IFERROR(VLOOKUP(Users!E84,Credits!A:A,1,FALSE),"NO")="NO","NO","YES")</f>
        <v>NO</v>
      </c>
      <c r="P86" t="s">
        <v>314</v>
      </c>
      <c r="Q86" t="str">
        <f>IF(SUM('User Engagement'!I86:J86)&gt;=0,"YES", "NO")</f>
        <v>YES</v>
      </c>
    </row>
    <row r="87" spans="1:17" ht="16" x14ac:dyDescent="0.2">
      <c r="A87" t="str">
        <f>Users!A85</f>
        <v>simon.brk@gmail.com</v>
      </c>
      <c r="B87" s="80" t="str">
        <f>Users!D85</f>
        <v>+44 7301 979131</v>
      </c>
      <c r="C87" s="29" t="str">
        <f>VLOOKUP(A87,Users!A:D,2,FALSE)</f>
        <v>Simon</v>
      </c>
      <c r="D87" s="29" t="str">
        <f>VLOOKUP(A87,Users!A:D,3,FALSE)</f>
        <v>Bourke</v>
      </c>
      <c r="E87" s="139">
        <f>COUNTIF(Visits!Y:Y,'Summer Challenge'!A87)</f>
        <v>0</v>
      </c>
      <c r="G87" cm="1">
        <f t="array" ref="G87">SUM(--(FREQUENCY(IF(Visits!E:E='Summer Challenge'!A87,Visits!Z:Z),Visits!Z:Z)&gt;0))</f>
        <v>1</v>
      </c>
      <c r="H87">
        <f>SUMIF(Visits!E:E,'Summer Challenge'!A87,Visits!Z:Z)</f>
        <v>4</v>
      </c>
      <c r="J87" s="147">
        <f t="shared" si="2"/>
        <v>5</v>
      </c>
      <c r="K87" s="147">
        <v>1</v>
      </c>
      <c r="L87" s="5">
        <f>SUMIF(Visits!E:E,'Summer Challenge'!A87,Visits!J:J)</f>
        <v>1</v>
      </c>
      <c r="M87" s="5">
        <f t="shared" si="3"/>
        <v>4</v>
      </c>
      <c r="N87" s="5"/>
      <c r="O87" t="str">
        <f>IF(IFERROR(VLOOKUP(Users!E85,Credits!A:A,1,FALSE),"NO")="NO","NO","YES")</f>
        <v>NO</v>
      </c>
      <c r="P87" t="s">
        <v>344</v>
      </c>
      <c r="Q87" t="str">
        <f>IF(SUM('User Engagement'!I87:J87)&gt;=0,"YES", "NO")</f>
        <v>YES</v>
      </c>
    </row>
    <row r="88" spans="1:17" ht="16" x14ac:dyDescent="0.2">
      <c r="A88" t="str">
        <f>Users!A86</f>
        <v>simon88e@yahoo.com</v>
      </c>
      <c r="C88" s="29" t="str">
        <f>VLOOKUP(A88,Users!A:D,2,FALSE)</f>
        <v>Simona</v>
      </c>
      <c r="D88" s="29" t="str">
        <f>VLOOKUP(A88,Users!A:D,3,FALSE)</f>
        <v>Vicol</v>
      </c>
      <c r="E88" s="139">
        <f>COUNTIF(Visits!Y:Y,'Summer Challenge'!A88)</f>
        <v>0</v>
      </c>
      <c r="G88" cm="1">
        <f t="array" ref="G88">SUM(--(FREQUENCY(IF(Visits!E:E='Summer Challenge'!A88,Visits!Z:Z),Visits!Z:Z)&gt;0))</f>
        <v>1</v>
      </c>
      <c r="H88">
        <f>SUMIF(Visits!E:E,'Summer Challenge'!A88,Visits!Z:Z)</f>
        <v>4</v>
      </c>
      <c r="J88" s="147">
        <f t="shared" si="2"/>
        <v>5</v>
      </c>
      <c r="K88" s="147">
        <v>1</v>
      </c>
      <c r="L88" s="5">
        <f>SUMIF(Visits!E:E,'Summer Challenge'!A88,Visits!J:J)</f>
        <v>1</v>
      </c>
      <c r="M88" s="5">
        <f t="shared" si="3"/>
        <v>4</v>
      </c>
      <c r="N88" s="5"/>
      <c r="O88" t="str">
        <f>IF(IFERROR(VLOOKUP(Users!E86,Credits!A:A,1,FALSE),"NO")="NO","NO","YES")</f>
        <v>NO</v>
      </c>
      <c r="P88" t="s">
        <v>314</v>
      </c>
      <c r="Q88" t="str">
        <f>IF(SUM('User Engagement'!I88:J88)&gt;=0,"YES", "NO")</f>
        <v>YES</v>
      </c>
    </row>
    <row r="89" spans="1:17" ht="16" x14ac:dyDescent="0.2">
      <c r="A89" t="str">
        <f>Users!A87</f>
        <v>sophia.shemlugu@gmail.com</v>
      </c>
      <c r="C89" s="29" t="str">
        <f>VLOOKUP(A89,Users!A:D,2,FALSE)</f>
        <v>Sophia</v>
      </c>
      <c r="D89" s="29" t="str">
        <f>VLOOKUP(A89,Users!A:D,3,FALSE)</f>
        <v>Shemlugu</v>
      </c>
      <c r="E89" s="139">
        <f>COUNTIF(Visits!Y:Y,'Summer Challenge'!A89)</f>
        <v>0</v>
      </c>
      <c r="G89" cm="1">
        <f t="array" ref="G89">SUM(--(FREQUENCY(IF(Visits!E:E='Summer Challenge'!A89,Visits!Z:Z),Visits!Z:Z)&gt;0))</f>
        <v>1</v>
      </c>
      <c r="H89">
        <f>SUMIF(Visits!E:E,'Summer Challenge'!A89,Visits!Z:Z)</f>
        <v>4</v>
      </c>
      <c r="J89" s="147">
        <f t="shared" si="2"/>
        <v>5</v>
      </c>
      <c r="K89" s="147">
        <v>1</v>
      </c>
      <c r="L89" s="5">
        <f>SUMIF(Visits!E:E,'Summer Challenge'!A89,Visits!J:J)</f>
        <v>1</v>
      </c>
      <c r="M89" s="5">
        <f t="shared" si="3"/>
        <v>4</v>
      </c>
      <c r="N89" s="5"/>
      <c r="O89" t="str">
        <f>IF(IFERROR(VLOOKUP(Users!E87,Credits!A:A,1,FALSE),"NO")="NO","NO","YES")</f>
        <v>NO</v>
      </c>
      <c r="P89" t="s">
        <v>314</v>
      </c>
      <c r="Q89" t="str">
        <f>IF(SUM('User Engagement'!I89:J89)&gt;=0,"YES", "NO")</f>
        <v>YES</v>
      </c>
    </row>
    <row r="90" spans="1:17" ht="16" x14ac:dyDescent="0.2">
      <c r="A90" t="str">
        <f>Users!A88</f>
        <v>srivaths.s@gmail.com</v>
      </c>
      <c r="B90" s="80" t="str">
        <f>Users!D88</f>
        <v>07946225673</v>
      </c>
      <c r="C90" s="29" t="str">
        <f>VLOOKUP(A90,Users!A:D,2,FALSE)</f>
        <v>Srivaths</v>
      </c>
      <c r="D90" s="29" t="str">
        <f>VLOOKUP(A90,Users!A:D,3,FALSE)</f>
        <v>Swaminathan</v>
      </c>
      <c r="E90" s="139">
        <f>COUNTIF(Visits!Y:Y,'Summer Challenge'!A90)</f>
        <v>0</v>
      </c>
      <c r="G90" cm="1">
        <f t="array" ref="G90">SUM(--(FREQUENCY(IF(Visits!E:E='Summer Challenge'!A90,Visits!Z:Z),Visits!Z:Z)&gt;0))</f>
        <v>2</v>
      </c>
      <c r="H90">
        <f>SUMIF(Visits!E:E,'Summer Challenge'!A90,Visits!Z:Z)</f>
        <v>6</v>
      </c>
      <c r="J90" s="147">
        <f t="shared" si="2"/>
        <v>15</v>
      </c>
      <c r="K90" s="147">
        <v>3</v>
      </c>
      <c r="L90" s="5">
        <f>SUMIF(Visits!E:E,'Summer Challenge'!A90,Visits!J:J)</f>
        <v>3</v>
      </c>
      <c r="M90" s="5">
        <f t="shared" si="3"/>
        <v>12</v>
      </c>
      <c r="N90" s="5"/>
      <c r="O90" t="str">
        <f>IF(IFERROR(VLOOKUP(Users!E88,Credits!A:A,1,FALSE),"NO")="NO","NO","YES")</f>
        <v>NO</v>
      </c>
      <c r="P90" t="s">
        <v>344</v>
      </c>
      <c r="Q90" t="str">
        <f>IF(SUM('User Engagement'!I90:J90)&gt;=0,"YES", "NO")</f>
        <v>YES</v>
      </c>
    </row>
    <row r="91" spans="1:17" ht="16" x14ac:dyDescent="0.2">
      <c r="A91" t="str">
        <f>Users!A89</f>
        <v>susandjackson01@gmail.com</v>
      </c>
      <c r="C91" s="29" t="str">
        <f>VLOOKUP(A91,Users!A:D,2,FALSE)</f>
        <v>Susan</v>
      </c>
      <c r="D91" s="29" t="str">
        <f>VLOOKUP(A91,Users!A:D,3,FALSE)</f>
        <v>Durkan Jackson</v>
      </c>
      <c r="E91" s="139">
        <f>COUNTIF(Visits!Y:Y,'Summer Challenge'!A91)</f>
        <v>0</v>
      </c>
      <c r="G91" cm="1">
        <f t="array" ref="G91">SUM(--(FREQUENCY(IF(Visits!E:E='Summer Challenge'!A91,Visits!Z:Z),Visits!Z:Z)&gt;0))</f>
        <v>1</v>
      </c>
      <c r="H91">
        <f>SUMIF(Visits!E:E,'Summer Challenge'!A91,Visits!Z:Z)</f>
        <v>1</v>
      </c>
      <c r="J91" s="147">
        <f t="shared" si="2"/>
        <v>5</v>
      </c>
      <c r="K91" s="147">
        <v>1</v>
      </c>
      <c r="L91" s="5">
        <f>SUMIF(Visits!E:E,'Summer Challenge'!A91,Visits!J:J)</f>
        <v>1</v>
      </c>
      <c r="M91" s="5">
        <f t="shared" si="3"/>
        <v>4</v>
      </c>
      <c r="N91" s="5"/>
      <c r="O91" t="str">
        <f>IF(IFERROR(VLOOKUP(Users!E89,Credits!A:A,1,FALSE),"NO")="NO","NO","YES")</f>
        <v>NO</v>
      </c>
      <c r="P91" t="s">
        <v>314</v>
      </c>
      <c r="Q91" t="str">
        <f>IF(SUM('User Engagement'!I91:J91)&gt;=0,"YES", "NO")</f>
        <v>YES</v>
      </c>
    </row>
    <row r="92" spans="1:17" ht="16" x14ac:dyDescent="0.2">
      <c r="A92" t="str">
        <f>Users!A90</f>
        <v>tatatamzzz@gmail.com</v>
      </c>
      <c r="B92" s="80" t="str">
        <f>Users!D90</f>
        <v>07901584632</v>
      </c>
      <c r="C92" s="29" t="str">
        <f>VLOOKUP(A92,Users!A:D,2,FALSE)</f>
        <v>Tamara</v>
      </c>
      <c r="D92" s="29" t="str">
        <f>VLOOKUP(A92,Users!A:D,3,FALSE)</f>
        <v>Muñoz</v>
      </c>
      <c r="E92" s="139">
        <f>COUNTIF(Visits!Y:Y,'Summer Challenge'!A92)</f>
        <v>0</v>
      </c>
      <c r="G92" cm="1">
        <f t="array" ref="G92">SUM(--(FREQUENCY(IF(Visits!E:E='Summer Challenge'!A92,Visits!Z:Z),Visits!Z:Z)&gt;0))</f>
        <v>1</v>
      </c>
      <c r="H92">
        <f>SUMIF(Visits!E:E,'Summer Challenge'!A92,Visits!Z:Z)</f>
        <v>1</v>
      </c>
      <c r="J92" s="147">
        <f t="shared" si="2"/>
        <v>5</v>
      </c>
      <c r="K92" s="147">
        <v>1</v>
      </c>
      <c r="L92" s="5">
        <f>SUMIF(Visits!E:E,'Summer Challenge'!A92,Visits!J:J)</f>
        <v>1</v>
      </c>
      <c r="M92" s="5">
        <f t="shared" si="3"/>
        <v>4</v>
      </c>
      <c r="N92" s="5"/>
      <c r="O92" t="str">
        <f>IF(IFERROR(VLOOKUP(Users!E90,Credits!A:A,1,FALSE),"NO")="NO","NO","YES")</f>
        <v>NO</v>
      </c>
      <c r="P92" t="s">
        <v>344</v>
      </c>
      <c r="Q92" t="str">
        <f>IF(SUM('User Engagement'!I92:J92)&gt;=0,"YES", "NO")</f>
        <v>YES</v>
      </c>
    </row>
    <row r="93" spans="1:17" ht="16" x14ac:dyDescent="0.2">
      <c r="A93" t="str">
        <f>Users!A91</f>
        <v>tamara.dews@lseg.com</v>
      </c>
      <c r="B93" s="80" t="str">
        <f>Users!D91</f>
        <v>07776960365/+1 (917) 693-7780</v>
      </c>
      <c r="C93" s="29" t="str">
        <f>VLOOKUP(A93,Users!A:D,2,FALSE)</f>
        <v>Tamara</v>
      </c>
      <c r="D93" s="29" t="str">
        <f>VLOOKUP(A93,Users!A:D,3,FALSE)</f>
        <v>Dews</v>
      </c>
      <c r="E93" s="139">
        <f>COUNTIF(Visits!Y:Y,'Summer Challenge'!A93)</f>
        <v>0</v>
      </c>
      <c r="G93" cm="1">
        <f t="array" ref="G93">SUM(--(FREQUENCY(IF(Visits!E:E='Summer Challenge'!A93,Visits!Z:Z),Visits!Z:Z)&gt;0))</f>
        <v>1</v>
      </c>
      <c r="H93">
        <f>SUMIF(Visits!E:E,'Summer Challenge'!A93,Visits!Z:Z)</f>
        <v>4</v>
      </c>
      <c r="J93" s="147">
        <f t="shared" si="2"/>
        <v>5</v>
      </c>
      <c r="K93" s="147">
        <v>1</v>
      </c>
      <c r="L93" s="5">
        <f>SUMIF(Visits!E:E,'Summer Challenge'!A93,Visits!J:J)</f>
        <v>1</v>
      </c>
      <c r="M93" s="5">
        <f t="shared" si="3"/>
        <v>4</v>
      </c>
      <c r="N93" s="5"/>
      <c r="O93" t="str">
        <f>IF(IFERROR(VLOOKUP(Users!E91,Credits!A:A,1,FALSE),"NO")="NO","NO","YES")</f>
        <v>NO</v>
      </c>
      <c r="P93" t="s">
        <v>344</v>
      </c>
      <c r="Q93" t="str">
        <f>IF(SUM('User Engagement'!I93:J93)&gt;=0,"YES", "NO")</f>
        <v>YES</v>
      </c>
    </row>
    <row r="94" spans="1:17" ht="16" x14ac:dyDescent="0.2">
      <c r="A94" t="str">
        <f>Users!A92</f>
        <v>sethi.tanvi@gmail.com</v>
      </c>
      <c r="B94" s="80" t="str">
        <f>Users!D92</f>
        <v>07846232630</v>
      </c>
      <c r="C94" s="29" t="str">
        <f>VLOOKUP(A94,Users!A:D,2,FALSE)</f>
        <v>Tanvi</v>
      </c>
      <c r="D94" s="29" t="str">
        <f>VLOOKUP(A94,Users!A:D,3,FALSE)</f>
        <v>Sethi</v>
      </c>
      <c r="E94" s="139">
        <f>COUNTIF(Visits!Y:Y,'Summer Challenge'!A94)</f>
        <v>3</v>
      </c>
      <c r="G94" cm="1">
        <f t="array" ref="G94">SUM(--(FREQUENCY(IF(Visits!E:E='Summer Challenge'!A94,Visits!Z:Z),Visits!Z:Z)&gt;0))</f>
        <v>2</v>
      </c>
      <c r="H94">
        <f>SUMIF(Visits!E:E,'Summer Challenge'!A94,Visits!Z:Z)</f>
        <v>21</v>
      </c>
      <c r="J94" s="147">
        <f t="shared" si="2"/>
        <v>30</v>
      </c>
      <c r="K94" s="147">
        <v>5</v>
      </c>
      <c r="L94" s="5">
        <f>SUMIF(Visits!E:E,'Summer Challenge'!A94,Visits!J:J)</f>
        <v>6</v>
      </c>
      <c r="M94" s="5">
        <f t="shared" si="3"/>
        <v>24</v>
      </c>
      <c r="N94" s="146" t="s">
        <v>343</v>
      </c>
      <c r="O94" t="str">
        <f>IF(IFERROR(VLOOKUP(Users!E92,Credits!A:A,1,FALSE),"NO")="NO","NO","YES")</f>
        <v>YES</v>
      </c>
      <c r="P94" t="s">
        <v>344</v>
      </c>
      <c r="Q94" t="str">
        <f>IF(SUM('User Engagement'!I94:J94)&gt;=0,"YES", "NO")</f>
        <v>YES</v>
      </c>
    </row>
    <row r="95" spans="1:17" ht="16" x14ac:dyDescent="0.2">
      <c r="A95" t="str">
        <f>Users!A93</f>
        <v>teodor.rd27@gmail.com</v>
      </c>
      <c r="C95" s="29" t="str">
        <f>VLOOKUP(A95,Users!A:D,2,FALSE)</f>
        <v>Teodor</v>
      </c>
      <c r="D95" s="29" t="str">
        <f>VLOOKUP(A95,Users!A:D,3,FALSE)</f>
        <v>Radu</v>
      </c>
      <c r="E95" s="139">
        <f>COUNTIF(Visits!Y:Y,'Summer Challenge'!A95)</f>
        <v>0</v>
      </c>
      <c r="G95" cm="1">
        <f t="array" ref="G95">SUM(--(FREQUENCY(IF(Visits!E:E='Summer Challenge'!A95,Visits!Z:Z),Visits!Z:Z)&gt;0))</f>
        <v>1</v>
      </c>
      <c r="H95">
        <f>SUMIF(Visits!E:E,'Summer Challenge'!A95,Visits!Z:Z)</f>
        <v>4</v>
      </c>
      <c r="J95" s="147">
        <f t="shared" si="2"/>
        <v>5</v>
      </c>
      <c r="K95" s="147">
        <v>1</v>
      </c>
      <c r="L95" s="5">
        <f>SUMIF(Visits!E:E,'Summer Challenge'!A95,Visits!J:J)</f>
        <v>1</v>
      </c>
      <c r="M95" s="5">
        <f t="shared" si="3"/>
        <v>4</v>
      </c>
      <c r="N95" s="5"/>
      <c r="O95" t="str">
        <f>IF(IFERROR(VLOOKUP(Users!E93,Credits!A:A,1,FALSE),"NO")="NO","NO","YES")</f>
        <v>NO</v>
      </c>
      <c r="P95" t="s">
        <v>314</v>
      </c>
      <c r="Q95" t="str">
        <f>IF(SUM('User Engagement'!I95:J95)&gt;=0,"YES", "NO")</f>
        <v>YES</v>
      </c>
    </row>
    <row r="96" spans="1:17" ht="16" x14ac:dyDescent="0.2">
      <c r="A96" t="str">
        <f>Users!A94</f>
        <v>yangtianqi2023@163.com</v>
      </c>
      <c r="C96" s="29" t="str">
        <f>VLOOKUP(A96,Users!A:D,2,FALSE)</f>
        <v>Tianqi</v>
      </c>
      <c r="D96" s="29" t="str">
        <f>VLOOKUP(A96,Users!A:D,3,FALSE)</f>
        <v>Yang</v>
      </c>
      <c r="E96" s="139">
        <f>COUNTIF(Visits!Y:Y,'Summer Challenge'!A96)</f>
        <v>0</v>
      </c>
      <c r="G96" cm="1">
        <f t="array" ref="G96">SUM(--(FREQUENCY(IF(Visits!E:E='Summer Challenge'!A96,Visits!Z:Z),Visits!Z:Z)&gt;0))</f>
        <v>1</v>
      </c>
      <c r="H96">
        <f>SUMIF(Visits!E:E,'Summer Challenge'!A96,Visits!Z:Z)</f>
        <v>4</v>
      </c>
      <c r="J96" s="147">
        <f t="shared" si="2"/>
        <v>5</v>
      </c>
      <c r="K96" s="147">
        <v>1</v>
      </c>
      <c r="L96" s="5">
        <f>SUMIF(Visits!E:E,'Summer Challenge'!A96,Visits!J:J)</f>
        <v>1</v>
      </c>
      <c r="M96" s="5">
        <f t="shared" si="3"/>
        <v>4</v>
      </c>
      <c r="N96" s="5"/>
      <c r="O96" t="str">
        <f>IF(IFERROR(VLOOKUP(Users!E94,Credits!A:A,1,FALSE),"NO")="NO","NO","YES")</f>
        <v>NO</v>
      </c>
      <c r="P96" t="s">
        <v>314</v>
      </c>
      <c r="Q96" t="str">
        <f>IF(SUM('User Engagement'!I96:J96)&gt;=0,"YES", "NO")</f>
        <v>YES</v>
      </c>
    </row>
    <row r="97" spans="1:19" ht="16" x14ac:dyDescent="0.2">
      <c r="A97" t="str">
        <f>Users!A95</f>
        <v>tomhsaville@hotmail.co.uk</v>
      </c>
      <c r="C97" s="29" t="str">
        <f>VLOOKUP(A97,Users!A:D,2,FALSE)</f>
        <v>Tom</v>
      </c>
      <c r="D97" s="29" t="str">
        <f>VLOOKUP(A97,Users!A:D,3,FALSE)</f>
        <v>Saville</v>
      </c>
      <c r="E97" s="139">
        <f>COUNTIF(Visits!Y:Y,'Summer Challenge'!A97)</f>
        <v>0</v>
      </c>
      <c r="G97" cm="1">
        <f t="array" ref="G97">SUM(--(FREQUENCY(IF(Visits!E:E='Summer Challenge'!A97,Visits!Z:Z),Visits!Z:Z)&gt;0))</f>
        <v>2</v>
      </c>
      <c r="H97">
        <f>SUMIF(Visits!E:E,'Summer Challenge'!A97,Visits!Z:Z)</f>
        <v>5</v>
      </c>
      <c r="J97" s="147">
        <f t="shared" si="2"/>
        <v>10</v>
      </c>
      <c r="K97" s="147">
        <v>2</v>
      </c>
      <c r="L97" s="5">
        <f>SUMIF(Visits!E:E,'Summer Challenge'!A97,Visits!J:J)</f>
        <v>2</v>
      </c>
      <c r="M97" s="5">
        <f t="shared" si="3"/>
        <v>8</v>
      </c>
      <c r="N97" s="5"/>
      <c r="O97" t="str">
        <f>IF(IFERROR(VLOOKUP(Users!E95,Credits!A:A,1,FALSE),"NO")="NO","NO","YES")</f>
        <v>NO</v>
      </c>
      <c r="P97" t="s">
        <v>314</v>
      </c>
      <c r="Q97" t="str">
        <f>IF(SUM('User Engagement'!I97:J97)&gt;=0,"YES", "NO")</f>
        <v>YES</v>
      </c>
    </row>
    <row r="98" spans="1:19" ht="16" x14ac:dyDescent="0.2">
      <c r="A98" t="str">
        <f>Users!A96</f>
        <v>wil_akanno@hotmail.com</v>
      </c>
      <c r="B98" s="80" t="str">
        <f>Users!D96</f>
        <v>07931 309501</v>
      </c>
      <c r="C98" s="29" t="str">
        <f>VLOOKUP(A98,Users!A:D,2,FALSE)</f>
        <v>Wil</v>
      </c>
      <c r="D98" s="29" t="str">
        <f>VLOOKUP(A98,Users!A:D,3,FALSE)</f>
        <v>Akanno</v>
      </c>
      <c r="E98" s="139">
        <f>COUNTIF(Visits!Y:Y,'Summer Challenge'!A98)</f>
        <v>0</v>
      </c>
      <c r="G98" cm="1">
        <f t="array" ref="G98">SUM(--(FREQUENCY(IF(Visits!E:E='Summer Challenge'!A98,Visits!Z:Z),Visits!Z:Z)&gt;0))</f>
        <v>1</v>
      </c>
      <c r="H98">
        <f>SUMIF(Visits!E:E,'Summer Challenge'!A98,Visits!Z:Z)</f>
        <v>4</v>
      </c>
      <c r="J98" s="147">
        <f t="shared" si="2"/>
        <v>5</v>
      </c>
      <c r="K98" s="147">
        <v>1</v>
      </c>
      <c r="L98" s="5">
        <f>SUMIF(Visits!E:E,'Summer Challenge'!A98,Visits!J:J)</f>
        <v>1</v>
      </c>
      <c r="M98" s="5">
        <f t="shared" si="3"/>
        <v>4</v>
      </c>
      <c r="N98" s="5"/>
      <c r="O98" t="str">
        <f>IF(IFERROR(VLOOKUP(Users!E96,Credits!A:A,1,FALSE),"NO")="NO","NO","YES")</f>
        <v>NO</v>
      </c>
      <c r="P98" t="s">
        <v>344</v>
      </c>
      <c r="Q98" t="str">
        <f>IF(SUM('User Engagement'!I98:J98)&gt;=0,"YES", "NO")</f>
        <v>YES</v>
      </c>
    </row>
    <row r="99" spans="1:19" ht="16" x14ac:dyDescent="0.2">
      <c r="A99" t="str">
        <f>Users!A97</f>
        <v>win.man@icloud.com</v>
      </c>
      <c r="B99" s="80" t="str">
        <f>Users!D97</f>
        <v>07896634620</v>
      </c>
      <c r="C99" s="29" t="str">
        <f>VLOOKUP(A99,Users!A:D,2,FALSE)</f>
        <v>Win</v>
      </c>
      <c r="D99" s="29" t="str">
        <f>VLOOKUP(A99,Users!A:D,3,FALSE)</f>
        <v>Man</v>
      </c>
      <c r="E99" s="139">
        <f>COUNTIF(Visits!Y:Y,'Summer Challenge'!A99)</f>
        <v>0</v>
      </c>
      <c r="G99" cm="1">
        <f t="array" ref="G99">SUM(--(FREQUENCY(IF(Visits!E:E='Summer Challenge'!A99,Visits!Z:Z),Visits!Z:Z)&gt;0))</f>
        <v>1</v>
      </c>
      <c r="H99">
        <f>SUMIF(Visits!E:E,'Summer Challenge'!A99,Visits!Z:Z)</f>
        <v>8</v>
      </c>
      <c r="J99" s="147">
        <f t="shared" si="2"/>
        <v>10</v>
      </c>
      <c r="K99" s="147">
        <v>2</v>
      </c>
      <c r="L99" s="5">
        <f>SUMIF(Visits!E:E,'Summer Challenge'!A99,Visits!J:J)</f>
        <v>2</v>
      </c>
      <c r="M99" s="5">
        <f t="shared" si="3"/>
        <v>8</v>
      </c>
      <c r="N99" s="5"/>
      <c r="O99" t="str">
        <f>IF(IFERROR(VLOOKUP(Users!E97,Credits!A:A,1,FALSE),"NO")="NO","NO","YES")</f>
        <v>NO</v>
      </c>
      <c r="P99" t="s">
        <v>344</v>
      </c>
      <c r="Q99" t="str">
        <f>IF(SUM('User Engagement'!I99:J99)&gt;=0,"YES", "NO")</f>
        <v>YES</v>
      </c>
    </row>
    <row r="100" spans="1:19" ht="16" x14ac:dyDescent="0.2">
      <c r="A100" t="str">
        <f>Users!A98</f>
        <v>yyasemin.mermer@gmail.com</v>
      </c>
      <c r="C100" s="29" t="str">
        <f>VLOOKUP(A100,Users!A:D,2,FALSE)</f>
        <v>Yasemin</v>
      </c>
      <c r="D100" s="29" t="str">
        <f>VLOOKUP(A100,Users!A:D,3,FALSE)</f>
        <v>Mermer</v>
      </c>
      <c r="E100" s="139">
        <f>COUNTIF(Visits!Y:Y,'Summer Challenge'!A100)</f>
        <v>0</v>
      </c>
      <c r="G100" cm="1">
        <f t="array" ref="G100">SUM(--(FREQUENCY(IF(Visits!E:E='Summer Challenge'!A100,Visits!Z:Z),Visits!Z:Z)&gt;0))</f>
        <v>1</v>
      </c>
      <c r="H100">
        <f>SUMIF(Visits!E:E,'Summer Challenge'!A100,Visits!Z:Z)</f>
        <v>4</v>
      </c>
      <c r="J100" s="147">
        <f t="shared" si="2"/>
        <v>5</v>
      </c>
      <c r="K100" s="147">
        <v>1</v>
      </c>
      <c r="L100" s="5">
        <f>SUMIF(Visits!E:E,'Summer Challenge'!A100,Visits!J:J)</f>
        <v>1</v>
      </c>
      <c r="M100" s="5">
        <f t="shared" si="3"/>
        <v>4</v>
      </c>
      <c r="N100" s="5"/>
      <c r="O100" t="str">
        <f>IF(IFERROR(VLOOKUP(Users!E98,Credits!A:A,1,FALSE),"NO")="NO","NO","YES")</f>
        <v>NO</v>
      </c>
      <c r="P100" t="s">
        <v>314</v>
      </c>
      <c r="Q100" t="str">
        <f>IF(SUM('User Engagement'!I100:J100)&gt;=0,"YES", "NO")</f>
        <v>YES</v>
      </c>
    </row>
    <row r="101" spans="1:19" ht="16" x14ac:dyDescent="0.2">
      <c r="A101" t="str">
        <f>Users!A99</f>
        <v>yskinoue0127@gmail.com</v>
      </c>
      <c r="B101" s="80" t="str">
        <f>Users!D99</f>
        <v>+44 7789 411814</v>
      </c>
      <c r="C101" s="29" t="str">
        <f>VLOOKUP(A101,Users!A:D,2,FALSE)</f>
        <v>Yusuke</v>
      </c>
      <c r="D101" s="29" t="str">
        <f>VLOOKUP(A101,Users!A:D,3,FALSE)</f>
        <v>Inoue</v>
      </c>
      <c r="E101" s="139">
        <f>COUNTIF(Visits!Y:Y,'Summer Challenge'!A101)</f>
        <v>0</v>
      </c>
      <c r="G101" cm="1">
        <f t="array" ref="G101">SUM(--(FREQUENCY(IF(Visits!E:E='Summer Challenge'!A101,Visits!Z:Z),Visits!Z:Z)&gt;0))</f>
        <v>2</v>
      </c>
      <c r="H101">
        <f>SUMIF(Visits!E:E,'Summer Challenge'!A101,Visits!Z:Z)</f>
        <v>5</v>
      </c>
      <c r="J101" s="147">
        <f t="shared" si="2"/>
        <v>10</v>
      </c>
      <c r="K101" s="147">
        <v>2</v>
      </c>
      <c r="L101" s="5">
        <f>SUMIF(Visits!E:E,'Summer Challenge'!A101,Visits!J:J)</f>
        <v>2</v>
      </c>
      <c r="M101" s="5">
        <f t="shared" si="3"/>
        <v>8</v>
      </c>
      <c r="N101" s="5"/>
      <c r="O101" t="str">
        <f>IF(IFERROR(VLOOKUP(Users!E99,Credits!A:A,1,FALSE),"NO")="NO","NO","YES")</f>
        <v>NO</v>
      </c>
      <c r="P101" t="s">
        <v>344</v>
      </c>
      <c r="Q101" t="str">
        <f>IF(SUM('User Engagement'!I101:J101)&gt;=0,"YES", "NO")</f>
        <v>YES</v>
      </c>
    </row>
    <row r="102" spans="1:19" ht="16" x14ac:dyDescent="0.2">
      <c r="A102" t="str">
        <f>Users!A100</f>
        <v>zinab.rama@gmail.com</v>
      </c>
      <c r="C102" s="29" t="str">
        <f>VLOOKUP(A102,Users!A:D,2,FALSE)</f>
        <v>Zinab</v>
      </c>
      <c r="D102" s="29" t="str">
        <f>VLOOKUP(A102,Users!A:D,3,FALSE)</f>
        <v>Al Ramathany</v>
      </c>
      <c r="E102" s="139">
        <f>COUNTIF(Visits!Y:Y,'Summer Challenge'!A102)</f>
        <v>0</v>
      </c>
      <c r="G102" cm="1">
        <f t="array" ref="G102">SUM(--(FREQUENCY(IF(Visits!E:E='Summer Challenge'!A102,Visits!Z:Z),Visits!Z:Z)&gt;0))</f>
        <v>1</v>
      </c>
      <c r="H102">
        <f>SUMIF(Visits!E:E,'Summer Challenge'!A102,Visits!Z:Z)</f>
        <v>8</v>
      </c>
      <c r="J102" s="147">
        <f t="shared" si="2"/>
        <v>10</v>
      </c>
      <c r="K102" s="147">
        <v>2</v>
      </c>
      <c r="L102" s="5">
        <f>SUMIF(Visits!E:E,'Summer Challenge'!A102,Visits!J:J)</f>
        <v>2</v>
      </c>
      <c r="M102" s="5">
        <f t="shared" si="3"/>
        <v>8</v>
      </c>
      <c r="N102" s="5"/>
      <c r="O102" t="str">
        <f>IF(IFERROR(VLOOKUP(Users!E100,Credits!A:A,1,FALSE),"NO")="NO","NO","YES")</f>
        <v>NO</v>
      </c>
      <c r="P102" t="s">
        <v>314</v>
      </c>
      <c r="Q102" t="str">
        <f>IF(SUM('User Engagement'!I102:J102)&gt;=0,"YES", "NO")</f>
        <v>YES</v>
      </c>
    </row>
    <row r="103" spans="1:19" ht="16" x14ac:dyDescent="0.2">
      <c r="A103" t="str">
        <f>Users!A101</f>
        <v>Shulliclintondavis@gmail.com</v>
      </c>
      <c r="C103" s="29" t="str">
        <f>VLOOKUP(A103,Users!A:D,2,FALSE)</f>
        <v>Shulli</v>
      </c>
      <c r="D103" s="29" t="str">
        <f>VLOOKUP(A103,Users!A:D,3,FALSE)</f>
        <v>Clinton-Davis</v>
      </c>
      <c r="E103" s="139">
        <f>COUNTIF(Visits!Y:Y,'Summer Challenge'!A103)</f>
        <v>0</v>
      </c>
      <c r="G103" cm="1">
        <f t="array" ref="G103">SUM(--(FREQUENCY(IF(Visits!E:E='Summer Challenge'!A103,Visits!Z:Z),Visits!Z:Z)&gt;0))</f>
        <v>0</v>
      </c>
      <c r="H103">
        <f>SUMIF(Visits!E:E,'Summer Challenge'!A103,Visits!Z:Z)</f>
        <v>0</v>
      </c>
      <c r="P103" t="s">
        <v>314</v>
      </c>
      <c r="Q103" t="str">
        <f>IF(SUM('User Engagement'!I103:J103)&gt;=0,"YES", "NO")</f>
        <v>YES</v>
      </c>
    </row>
    <row r="104" spans="1:19" ht="16" x14ac:dyDescent="0.2">
      <c r="A104" t="str">
        <f>Users!A102</f>
        <v>u.gaukhar@gmail.com</v>
      </c>
      <c r="C104" s="29" t="str">
        <f>VLOOKUP(A104,Users!A:D,2,FALSE)</f>
        <v>Gaukhar</v>
      </c>
      <c r="D104" s="29" t="str">
        <f>VLOOKUP(A104,Users!A:D,3,FALSE)</f>
        <v>Uskenbayeva</v>
      </c>
      <c r="E104" s="139">
        <f>COUNTIF(Visits!Y:Y,'Summer Challenge'!A104)</f>
        <v>0</v>
      </c>
      <c r="G104" cm="1">
        <f t="array" ref="G104">SUM(--(FREQUENCY(IF(Visits!E:E='Summer Challenge'!A104,Visits!Z:Z),Visits!Z:Z)&gt;0))</f>
        <v>0</v>
      </c>
      <c r="H104">
        <f>SUMIF(Visits!E:E,'Summer Challenge'!A104,Visits!Z:Z)</f>
        <v>0</v>
      </c>
      <c r="P104" t="s">
        <v>314</v>
      </c>
      <c r="Q104" t="str">
        <f>IF(SUM('User Engagement'!I104:J104)&gt;=0,"YES", "NO")</f>
        <v>YES</v>
      </c>
    </row>
    <row r="105" spans="1:19" ht="16" x14ac:dyDescent="0.2">
      <c r="A105" t="str">
        <f>Users!A103</f>
        <v>Angelov.Konstantin@gmail.com</v>
      </c>
      <c r="C105" s="29" t="str">
        <f>VLOOKUP(A105,Users!A:D,2,FALSE)</f>
        <v>Konstantin</v>
      </c>
      <c r="D105" s="29" t="str">
        <f>VLOOKUP(A105,Users!A:D,3,FALSE)</f>
        <v>Angelov</v>
      </c>
      <c r="E105" s="139">
        <f>COUNTIF(Visits!Y:Y,'Summer Challenge'!A105)</f>
        <v>0</v>
      </c>
      <c r="G105" cm="1">
        <f t="array" ref="G105">SUM(--(FREQUENCY(IF(Visits!E:E='Summer Challenge'!A105,Visits!Z:Z),Visits!Z:Z)&gt;0))</f>
        <v>0</v>
      </c>
      <c r="H105">
        <f>SUMIF(Visits!E:E,'Summer Challenge'!A105,Visits!Z:Z)</f>
        <v>0</v>
      </c>
      <c r="P105" t="s">
        <v>314</v>
      </c>
      <c r="Q105" t="str">
        <f>IF(SUM('User Engagement'!I105:J105)&gt;=0,"YES", "NO")</f>
        <v>YES</v>
      </c>
    </row>
    <row r="106" spans="1:19" ht="34" x14ac:dyDescent="0.2">
      <c r="A106" s="138" t="s">
        <v>94</v>
      </c>
      <c r="B106" s="138"/>
      <c r="C106" s="138" t="s">
        <v>95</v>
      </c>
      <c r="D106" s="138" t="s">
        <v>96</v>
      </c>
      <c r="E106" s="140" t="s">
        <v>331</v>
      </c>
      <c r="F106" s="142" t="s">
        <v>332</v>
      </c>
      <c r="G106" s="137" t="s">
        <v>333</v>
      </c>
      <c r="H106" s="137" t="s">
        <v>334</v>
      </c>
      <c r="I106" s="144" t="s">
        <v>335</v>
      </c>
      <c r="J106" s="138" t="s">
        <v>336</v>
      </c>
      <c r="K106" s="138"/>
      <c r="L106" s="138" t="s">
        <v>338</v>
      </c>
      <c r="M106" s="138" t="s">
        <v>339</v>
      </c>
      <c r="N106" s="138" t="s">
        <v>340</v>
      </c>
      <c r="O106" s="138" t="s">
        <v>341</v>
      </c>
      <c r="P106" t="s">
        <v>314</v>
      </c>
      <c r="Q106" t="str">
        <f>IF(SUM('User Engagement'!I106:J106)&gt;=0,"YES", "NO")</f>
        <v>YES</v>
      </c>
      <c r="R106" s="138"/>
      <c r="S106" s="138" t="s">
        <v>345</v>
      </c>
    </row>
    <row r="107" spans="1:19" ht="16" x14ac:dyDescent="0.2">
      <c r="A107">
        <f>Users!A105</f>
        <v>0</v>
      </c>
      <c r="C107" s="29" t="e">
        <f>VLOOKUP(A107,Users!A:D,2,FALSE)</f>
        <v>#N/A</v>
      </c>
      <c r="D107" s="29" t="e">
        <f>VLOOKUP(A107,Users!A:D,3,FALSE)</f>
        <v>#N/A</v>
      </c>
      <c r="E107" s="139">
        <f>COUNTIF(Visits!Y:Y,'Summer Challenge'!A107)</f>
        <v>0</v>
      </c>
      <c r="F107" s="141">
        <v>-2</v>
      </c>
      <c r="G107" t="e" cm="1">
        <f t="array" ref="G107">SUM(--(FREQUENCY(IF(Visits!E:E='Summer Challenge'!A107,Visits!Z:Z),Visits!Z:Z)&gt;0))</f>
        <v>#N/A</v>
      </c>
      <c r="H107">
        <f>SUMIF(Visits!E:E,'Summer Challenge'!A107,Visits!Z:Z)</f>
        <v>0</v>
      </c>
      <c r="J107" s="147">
        <f t="shared" ref="J107:J138" si="4">L107*10/2</f>
        <v>0</v>
      </c>
      <c r="K107" s="147"/>
      <c r="L107" s="5">
        <f>SUMIF(Visits!E:E,'Summer Challenge'!A107,Visits!J:J)</f>
        <v>0</v>
      </c>
      <c r="M107" s="5">
        <f t="shared" ref="M107:M138" si="5">L107*4</f>
        <v>0</v>
      </c>
      <c r="N107" s="146" t="s">
        <v>343</v>
      </c>
      <c r="O107" t="str">
        <f>IF(IFERROR(VLOOKUP(Users!E105,Credits!A:A,1,FALSE),"NO")="NO","NO","YES")</f>
        <v>NO</v>
      </c>
      <c r="P107" t="s">
        <v>314</v>
      </c>
      <c r="Q107" t="str">
        <f>IF(SUM('User Engagement'!I107:J107)&gt;=0,"YES", "NO")</f>
        <v>YES</v>
      </c>
    </row>
    <row r="108" spans="1:19" ht="16" x14ac:dyDescent="0.2">
      <c r="A108">
        <f>Users!A106</f>
        <v>0</v>
      </c>
      <c r="C108" s="29" t="e">
        <f>VLOOKUP(A108,Users!A:D,2,FALSE)</f>
        <v>#N/A</v>
      </c>
      <c r="D108" s="29" t="e">
        <f>VLOOKUP(A108,Users!A:D,3,FALSE)</f>
        <v>#N/A</v>
      </c>
      <c r="E108" s="139">
        <f>COUNTIF(Visits!Y:Y,'Summer Challenge'!A108)</f>
        <v>0</v>
      </c>
      <c r="G108" t="e" cm="1">
        <f t="array" ref="G108">SUM(--(FREQUENCY(IF(Visits!E:E='Summer Challenge'!A108,Visits!Z:Z),Visits!Z:Z)&gt;0))</f>
        <v>#N/A</v>
      </c>
      <c r="H108">
        <f>SUMIF(Visits!E:E,'Summer Challenge'!A108,Visits!Z:Z)</f>
        <v>0</v>
      </c>
      <c r="J108" s="147">
        <f t="shared" si="4"/>
        <v>0</v>
      </c>
      <c r="K108" s="147"/>
      <c r="L108" s="5">
        <f>SUMIF(Visits!E:E,'Summer Challenge'!A108,Visits!J:J)</f>
        <v>0</v>
      </c>
      <c r="M108" s="5">
        <f t="shared" si="5"/>
        <v>0</v>
      </c>
      <c r="N108" s="5"/>
      <c r="O108" t="str">
        <f>IF(IFERROR(VLOOKUP(Users!E106,Credits!A:A,1,FALSE),"NO")="NO","NO","YES")</f>
        <v>NO</v>
      </c>
      <c r="P108" t="s">
        <v>314</v>
      </c>
      <c r="Q108" t="str">
        <f>IF(SUM('User Engagement'!I108:J108)&gt;=0,"YES", "NO")</f>
        <v>YES</v>
      </c>
    </row>
    <row r="109" spans="1:19" ht="16" x14ac:dyDescent="0.2">
      <c r="A109">
        <f>Users!A107</f>
        <v>0</v>
      </c>
      <c r="C109" s="29" t="e">
        <f>VLOOKUP(A109,Users!A:D,2,FALSE)</f>
        <v>#N/A</v>
      </c>
      <c r="D109" s="29" t="e">
        <f>VLOOKUP(A109,Users!A:D,3,FALSE)</f>
        <v>#N/A</v>
      </c>
      <c r="E109" s="139">
        <f>COUNTIF(Visits!Y:Y,'Summer Challenge'!A109)</f>
        <v>0</v>
      </c>
      <c r="G109" t="e" cm="1">
        <f t="array" ref="G109">SUM(--(FREQUENCY(IF(Visits!E:E='Summer Challenge'!A109,Visits!Z:Z),Visits!Z:Z)&gt;0))</f>
        <v>#N/A</v>
      </c>
      <c r="H109">
        <f>SUMIF(Visits!E:E,'Summer Challenge'!A109,Visits!Z:Z)</f>
        <v>0</v>
      </c>
      <c r="J109" s="147">
        <f t="shared" si="4"/>
        <v>0</v>
      </c>
      <c r="K109" s="147"/>
      <c r="L109" s="5">
        <f>SUMIF(Visits!E:E,'Summer Challenge'!A109,Visits!J:J)</f>
        <v>0</v>
      </c>
      <c r="M109" s="5">
        <f t="shared" si="5"/>
        <v>0</v>
      </c>
      <c r="N109" s="5"/>
      <c r="O109" t="str">
        <f>IF(IFERROR(VLOOKUP(Users!E107,Credits!A:A,1,FALSE),"NO")="NO","NO","YES")</f>
        <v>NO</v>
      </c>
      <c r="P109" t="s">
        <v>314</v>
      </c>
      <c r="Q109" t="str">
        <f>IF(SUM('User Engagement'!I109:J109)&gt;=0,"YES", "NO")</f>
        <v>YES</v>
      </c>
    </row>
    <row r="110" spans="1:19" ht="16" x14ac:dyDescent="0.2">
      <c r="A110">
        <f>Users!A108</f>
        <v>0</v>
      </c>
      <c r="C110" s="29" t="e">
        <f>VLOOKUP(A110,Users!A:D,2,FALSE)</f>
        <v>#N/A</v>
      </c>
      <c r="D110" s="29" t="e">
        <f>VLOOKUP(A110,Users!A:D,3,FALSE)</f>
        <v>#N/A</v>
      </c>
      <c r="E110" s="139">
        <f>COUNTIF(Visits!Y:Y,'Summer Challenge'!A110)</f>
        <v>0</v>
      </c>
      <c r="G110" t="e" cm="1">
        <f t="array" ref="G110">SUM(--(FREQUENCY(IF(Visits!E:E='Summer Challenge'!A110,Visits!Z:Z),Visits!Z:Z)&gt;0))</f>
        <v>#N/A</v>
      </c>
      <c r="H110">
        <f>SUMIF(Visits!E:E,'Summer Challenge'!A110,Visits!Z:Z)</f>
        <v>0</v>
      </c>
      <c r="J110" s="147">
        <f t="shared" si="4"/>
        <v>0</v>
      </c>
      <c r="K110" s="147"/>
      <c r="L110" s="5">
        <f>SUMIF(Visits!E:E,'Summer Challenge'!A110,Visits!J:J)</f>
        <v>0</v>
      </c>
      <c r="M110" s="5">
        <f t="shared" si="5"/>
        <v>0</v>
      </c>
      <c r="N110" s="5"/>
      <c r="O110" t="str">
        <f>IF(IFERROR(VLOOKUP(Users!E108,Credits!A:A,1,FALSE),"NO")="NO","NO","YES")</f>
        <v>NO</v>
      </c>
      <c r="P110" t="s">
        <v>314</v>
      </c>
      <c r="Q110" t="str">
        <f>IF(SUM('User Engagement'!I110:J110)&gt;=0,"YES", "NO")</f>
        <v>YES</v>
      </c>
    </row>
    <row r="111" spans="1:19" ht="16" x14ac:dyDescent="0.2">
      <c r="A111">
        <f>Users!A109</f>
        <v>0</v>
      </c>
      <c r="C111" s="29" t="e">
        <f>VLOOKUP(A111,Users!A:D,2,FALSE)</f>
        <v>#N/A</v>
      </c>
      <c r="D111" s="29" t="e">
        <f>VLOOKUP(A111,Users!A:D,3,FALSE)</f>
        <v>#N/A</v>
      </c>
      <c r="E111" s="139">
        <f>COUNTIF(Visits!Y:Y,'Summer Challenge'!A111)</f>
        <v>0</v>
      </c>
      <c r="G111" t="e" cm="1">
        <f t="array" ref="G111">SUM(--(FREQUENCY(IF(Visits!E:E='Summer Challenge'!A111,Visits!Z:Z),Visits!Z:Z)&gt;0))</f>
        <v>#N/A</v>
      </c>
      <c r="H111">
        <f>SUMIF(Visits!E:E,'Summer Challenge'!A111,Visits!Z:Z)</f>
        <v>0</v>
      </c>
      <c r="J111" s="147">
        <f t="shared" si="4"/>
        <v>0</v>
      </c>
      <c r="K111" s="147"/>
      <c r="L111" s="5">
        <f>SUMIF(Visits!E:E,'Summer Challenge'!A111,Visits!J:J)</f>
        <v>0</v>
      </c>
      <c r="M111" s="5">
        <f t="shared" si="5"/>
        <v>0</v>
      </c>
      <c r="N111" s="5"/>
      <c r="O111" t="str">
        <f>IF(IFERROR(VLOOKUP(Users!E109,Credits!A:A,1,FALSE),"NO")="NO","NO","YES")</f>
        <v>NO</v>
      </c>
      <c r="P111" t="s">
        <v>314</v>
      </c>
      <c r="Q111" t="str">
        <f>IF(SUM('User Engagement'!I111:J111)&gt;=0,"YES", "NO")</f>
        <v>YES</v>
      </c>
    </row>
    <row r="112" spans="1:19" ht="16" x14ac:dyDescent="0.2">
      <c r="A112">
        <f>Users!A110</f>
        <v>0</v>
      </c>
      <c r="C112" s="29" t="e">
        <f>VLOOKUP(A112,Users!A:D,2,FALSE)</f>
        <v>#N/A</v>
      </c>
      <c r="D112" s="29" t="e">
        <f>VLOOKUP(A112,Users!A:D,3,FALSE)</f>
        <v>#N/A</v>
      </c>
      <c r="E112" s="139">
        <f>COUNTIF(Visits!Y:Y,'Summer Challenge'!A112)</f>
        <v>0</v>
      </c>
      <c r="G112" t="e" cm="1">
        <f t="array" ref="G112">SUM(--(FREQUENCY(IF(Visits!E:E='Summer Challenge'!A112,Visits!Z:Z),Visits!Z:Z)&gt;0))</f>
        <v>#N/A</v>
      </c>
      <c r="H112">
        <f>SUMIF(Visits!E:E,'Summer Challenge'!A112,Visits!Z:Z)</f>
        <v>0</v>
      </c>
      <c r="J112" s="147">
        <f t="shared" si="4"/>
        <v>0</v>
      </c>
      <c r="K112" s="147"/>
      <c r="L112" s="5">
        <f>SUMIF(Visits!E:E,'Summer Challenge'!A112,Visits!J:J)</f>
        <v>0</v>
      </c>
      <c r="M112" s="5">
        <f t="shared" si="5"/>
        <v>0</v>
      </c>
      <c r="N112" s="5"/>
      <c r="O112" t="str">
        <f>IF(IFERROR(VLOOKUP(Users!E110,Credits!A:A,1,FALSE),"NO")="NO","NO","YES")</f>
        <v>NO</v>
      </c>
      <c r="P112" t="s">
        <v>314</v>
      </c>
      <c r="Q112" t="str">
        <f>IF(SUM('User Engagement'!I112:J112)&gt;=0,"YES", "NO")</f>
        <v>YES</v>
      </c>
    </row>
    <row r="113" spans="1:17" ht="16" x14ac:dyDescent="0.2">
      <c r="A113">
        <f>Users!A111</f>
        <v>0</v>
      </c>
      <c r="C113" s="29" t="e">
        <f>VLOOKUP(A113,Users!A:D,2,FALSE)</f>
        <v>#N/A</v>
      </c>
      <c r="D113" s="29" t="e">
        <f>VLOOKUP(A113,Users!A:D,3,FALSE)</f>
        <v>#N/A</v>
      </c>
      <c r="E113" s="139">
        <f>COUNTIF(Visits!Y:Y,'Summer Challenge'!A113)</f>
        <v>0</v>
      </c>
      <c r="G113" t="e" cm="1">
        <f t="array" ref="G113">SUM(--(FREQUENCY(IF(Visits!E:E='Summer Challenge'!A113,Visits!Z:Z),Visits!Z:Z)&gt;0))</f>
        <v>#N/A</v>
      </c>
      <c r="H113">
        <f>SUMIF(Visits!E:E,'Summer Challenge'!A113,Visits!Z:Z)</f>
        <v>0</v>
      </c>
      <c r="J113" s="147">
        <f t="shared" si="4"/>
        <v>0</v>
      </c>
      <c r="K113" s="147"/>
      <c r="L113" s="5">
        <f>SUMIF(Visits!E:E,'Summer Challenge'!A113,Visits!J:J)</f>
        <v>0</v>
      </c>
      <c r="M113" s="5">
        <f t="shared" si="5"/>
        <v>0</v>
      </c>
      <c r="N113" s="5"/>
      <c r="O113" t="str">
        <f>IF(IFERROR(VLOOKUP(Users!E111,Credits!A:A,1,FALSE),"NO")="NO","NO","YES")</f>
        <v>NO</v>
      </c>
      <c r="P113" t="s">
        <v>314</v>
      </c>
      <c r="Q113" t="str">
        <f>IF(SUM('User Engagement'!I113:J113)&gt;=0,"YES", "NO")</f>
        <v>YES</v>
      </c>
    </row>
    <row r="114" spans="1:17" ht="16" x14ac:dyDescent="0.2">
      <c r="A114">
        <f>Users!A112</f>
        <v>0</v>
      </c>
      <c r="C114" s="29" t="e">
        <f>VLOOKUP(A114,Users!A:D,2,FALSE)</f>
        <v>#N/A</v>
      </c>
      <c r="D114" s="29" t="e">
        <f>VLOOKUP(A114,Users!A:D,3,FALSE)</f>
        <v>#N/A</v>
      </c>
      <c r="E114" s="139">
        <f>COUNTIF(Visits!Y:Y,'Summer Challenge'!A114)</f>
        <v>0</v>
      </c>
      <c r="G114" t="e" cm="1">
        <f t="array" ref="G114">SUM(--(FREQUENCY(IF(Visits!E:E='Summer Challenge'!A114,Visits!Z:Z),Visits!Z:Z)&gt;0))</f>
        <v>#N/A</v>
      </c>
      <c r="H114">
        <f>SUMIF(Visits!E:E,'Summer Challenge'!A114,Visits!Z:Z)</f>
        <v>0</v>
      </c>
      <c r="J114" s="147">
        <f t="shared" si="4"/>
        <v>0</v>
      </c>
      <c r="K114" s="147"/>
      <c r="L114" s="5">
        <f>SUMIF(Visits!E:E,'Summer Challenge'!A114,Visits!J:J)</f>
        <v>0</v>
      </c>
      <c r="M114" s="5">
        <f t="shared" si="5"/>
        <v>0</v>
      </c>
      <c r="N114" s="5"/>
      <c r="O114" t="str">
        <f>IF(IFERROR(VLOOKUP(Users!E112,Credits!A:A,1,FALSE),"NO")="NO","NO","YES")</f>
        <v>NO</v>
      </c>
      <c r="P114" t="s">
        <v>314</v>
      </c>
      <c r="Q114" t="str">
        <f>IF(SUM('User Engagement'!I114:J114)&gt;=0,"YES", "NO")</f>
        <v>YES</v>
      </c>
    </row>
    <row r="115" spans="1:17" ht="16" x14ac:dyDescent="0.2">
      <c r="A115">
        <f>Users!A113</f>
        <v>0</v>
      </c>
      <c r="C115" s="29" t="e">
        <f>VLOOKUP(A115,Users!A:D,2,FALSE)</f>
        <v>#N/A</v>
      </c>
      <c r="D115" s="29" t="e">
        <f>VLOOKUP(A115,Users!A:D,3,FALSE)</f>
        <v>#N/A</v>
      </c>
      <c r="E115" s="139">
        <f>COUNTIF(Visits!Y:Y,'Summer Challenge'!A115)</f>
        <v>0</v>
      </c>
      <c r="G115" t="e" cm="1">
        <f t="array" ref="G115">SUM(--(FREQUENCY(IF(Visits!E:E='Summer Challenge'!A115,Visits!Z:Z),Visits!Z:Z)&gt;0))</f>
        <v>#N/A</v>
      </c>
      <c r="H115">
        <f>SUMIF(Visits!E:E,'Summer Challenge'!A115,Visits!Z:Z)</f>
        <v>0</v>
      </c>
      <c r="J115" s="147">
        <f t="shared" si="4"/>
        <v>0</v>
      </c>
      <c r="K115" s="147"/>
      <c r="L115" s="5">
        <f>SUMIF(Visits!E:E,'Summer Challenge'!A115,Visits!J:J)</f>
        <v>0</v>
      </c>
      <c r="M115" s="5">
        <f t="shared" si="5"/>
        <v>0</v>
      </c>
      <c r="N115" s="5"/>
      <c r="O115" t="str">
        <f>IF(IFERROR(VLOOKUP(Users!E113,Credits!A:A,1,FALSE),"NO")="NO","NO","YES")</f>
        <v>NO</v>
      </c>
      <c r="P115" t="s">
        <v>314</v>
      </c>
      <c r="Q115" t="str">
        <f>IF(SUM('User Engagement'!I115:J115)&gt;=0,"YES", "NO")</f>
        <v>YES</v>
      </c>
    </row>
    <row r="116" spans="1:17" ht="16" x14ac:dyDescent="0.2">
      <c r="A116">
        <f>Users!A114</f>
        <v>0</v>
      </c>
      <c r="C116" s="29" t="e">
        <f>VLOOKUP(A116,Users!A:D,2,FALSE)</f>
        <v>#N/A</v>
      </c>
      <c r="D116" s="29" t="e">
        <f>VLOOKUP(A116,Users!A:D,3,FALSE)</f>
        <v>#N/A</v>
      </c>
      <c r="E116" s="139">
        <f>COUNTIF(Visits!Y:Y,'Summer Challenge'!A116)</f>
        <v>0</v>
      </c>
      <c r="G116" t="e" cm="1">
        <f t="array" ref="G116">SUM(--(FREQUENCY(IF(Visits!E:E='Summer Challenge'!A116,Visits!Z:Z),Visits!Z:Z)&gt;0))</f>
        <v>#N/A</v>
      </c>
      <c r="H116">
        <f>SUMIF(Visits!E:E,'Summer Challenge'!A116,Visits!Z:Z)</f>
        <v>0</v>
      </c>
      <c r="J116" s="147">
        <f t="shared" si="4"/>
        <v>0</v>
      </c>
      <c r="K116" s="147"/>
      <c r="L116" s="5">
        <f>SUMIF(Visits!E:E,'Summer Challenge'!A116,Visits!J:J)</f>
        <v>0</v>
      </c>
      <c r="M116" s="5">
        <f t="shared" si="5"/>
        <v>0</v>
      </c>
      <c r="N116" s="5"/>
      <c r="O116" t="str">
        <f>IF(IFERROR(VLOOKUP(Users!E114,Credits!A:A,1,FALSE),"NO")="NO","NO","YES")</f>
        <v>NO</v>
      </c>
      <c r="P116" t="s">
        <v>314</v>
      </c>
      <c r="Q116" t="str">
        <f>IF(SUM('User Engagement'!I116:J116)&gt;=0,"YES", "NO")</f>
        <v>YES</v>
      </c>
    </row>
    <row r="117" spans="1:17" ht="16" x14ac:dyDescent="0.2">
      <c r="A117">
        <f>Users!A115</f>
        <v>0</v>
      </c>
      <c r="C117" s="29" t="e">
        <f>VLOOKUP(A117,Users!A:D,2,FALSE)</f>
        <v>#N/A</v>
      </c>
      <c r="D117" s="29" t="e">
        <f>VLOOKUP(A117,Users!A:D,3,FALSE)</f>
        <v>#N/A</v>
      </c>
      <c r="E117" s="139">
        <f>COUNTIF(Visits!Y:Y,'Summer Challenge'!A117)</f>
        <v>0</v>
      </c>
      <c r="G117" t="e" cm="1">
        <f t="array" ref="G117">SUM(--(FREQUENCY(IF(Visits!E:E='Summer Challenge'!A117,Visits!Z:Z),Visits!Z:Z)&gt;0))</f>
        <v>#N/A</v>
      </c>
      <c r="H117">
        <f>SUMIF(Visits!E:E,'Summer Challenge'!A117,Visits!Z:Z)</f>
        <v>0</v>
      </c>
      <c r="J117" s="147">
        <f t="shared" si="4"/>
        <v>0</v>
      </c>
      <c r="K117" s="147"/>
      <c r="L117" s="5">
        <f>SUMIF(Visits!E:E,'Summer Challenge'!A117,Visits!J:J)</f>
        <v>0</v>
      </c>
      <c r="M117" s="5">
        <f t="shared" si="5"/>
        <v>0</v>
      </c>
      <c r="N117" s="5"/>
      <c r="O117" t="str">
        <f>IF(IFERROR(VLOOKUP(Users!E115,Credits!A:A,1,FALSE),"NO")="NO","NO","YES")</f>
        <v>NO</v>
      </c>
      <c r="P117" t="s">
        <v>314</v>
      </c>
      <c r="Q117" t="str">
        <f>IF(SUM('User Engagement'!I117:J117)&gt;=0,"YES", "NO")</f>
        <v>YES</v>
      </c>
    </row>
    <row r="118" spans="1:17" ht="16" x14ac:dyDescent="0.2">
      <c r="A118">
        <f>Users!A116</f>
        <v>0</v>
      </c>
      <c r="C118" s="29" t="e">
        <f>VLOOKUP(A118,Users!A:D,2,FALSE)</f>
        <v>#N/A</v>
      </c>
      <c r="D118" s="29" t="e">
        <f>VLOOKUP(A118,Users!A:D,3,FALSE)</f>
        <v>#N/A</v>
      </c>
      <c r="E118" s="139">
        <f>COUNTIF(Visits!Y:Y,'Summer Challenge'!A118)</f>
        <v>0</v>
      </c>
      <c r="G118" t="e" cm="1">
        <f t="array" ref="G118">SUM(--(FREQUENCY(IF(Visits!E:E='Summer Challenge'!A118,Visits!Z:Z),Visits!Z:Z)&gt;0))</f>
        <v>#N/A</v>
      </c>
      <c r="H118">
        <f>SUMIF(Visits!E:E,'Summer Challenge'!A118,Visits!Z:Z)</f>
        <v>0</v>
      </c>
      <c r="J118" s="147">
        <f t="shared" si="4"/>
        <v>0</v>
      </c>
      <c r="K118" s="147"/>
      <c r="L118" s="5">
        <f>SUMIF(Visits!E:E,'Summer Challenge'!A118,Visits!J:J)</f>
        <v>0</v>
      </c>
      <c r="M118" s="5">
        <f t="shared" si="5"/>
        <v>0</v>
      </c>
      <c r="N118" s="146"/>
      <c r="O118" t="s">
        <v>314</v>
      </c>
      <c r="P118" t="s">
        <v>314</v>
      </c>
      <c r="Q118" t="str">
        <f>IF(SUM('User Engagement'!I118:J118)&gt;=0,"YES", "NO")</f>
        <v>YES</v>
      </c>
    </row>
    <row r="119" spans="1:17" ht="16" x14ac:dyDescent="0.2">
      <c r="A119">
        <f>Users!A117</f>
        <v>0</v>
      </c>
      <c r="C119" s="29" t="e">
        <f>VLOOKUP(A119,Users!A:D,2,FALSE)</f>
        <v>#N/A</v>
      </c>
      <c r="D119" s="29" t="e">
        <f>VLOOKUP(A119,Users!A:D,3,FALSE)</f>
        <v>#N/A</v>
      </c>
      <c r="E119" s="139">
        <f>COUNTIF(Visits!Y:Y,'Summer Challenge'!A119)</f>
        <v>0</v>
      </c>
      <c r="G119" t="e" cm="1">
        <f t="array" ref="G119">SUM(--(FREQUENCY(IF(Visits!E:E='Summer Challenge'!A119,Visits!Z:Z),Visits!Z:Z)&gt;0))</f>
        <v>#N/A</v>
      </c>
      <c r="H119">
        <f>SUMIF(Visits!E:E,'Summer Challenge'!A119,Visits!Z:Z)</f>
        <v>0</v>
      </c>
      <c r="J119" s="147">
        <f t="shared" si="4"/>
        <v>0</v>
      </c>
      <c r="K119" s="147"/>
      <c r="L119" s="5">
        <f>SUMIF(Visits!E:E,'Summer Challenge'!A119,Visits!J:J)</f>
        <v>0</v>
      </c>
      <c r="M119" s="5">
        <f t="shared" si="5"/>
        <v>0</v>
      </c>
      <c r="N119" s="5"/>
      <c r="O119" t="str">
        <f>IF(IFERROR(VLOOKUP(Users!E117,Credits!A:A,1,FALSE),"NO")="NO","NO","YES")</f>
        <v>NO</v>
      </c>
      <c r="P119" t="s">
        <v>314</v>
      </c>
      <c r="Q119" t="str">
        <f>IF(SUM('User Engagement'!I119:J119)&gt;=0,"YES", "NO")</f>
        <v>YES</v>
      </c>
    </row>
    <row r="120" spans="1:17" ht="16" x14ac:dyDescent="0.2">
      <c r="A120">
        <f>Users!A118</f>
        <v>0</v>
      </c>
      <c r="C120" s="29" t="e">
        <f>VLOOKUP(A120,Users!A:D,2,FALSE)</f>
        <v>#N/A</v>
      </c>
      <c r="D120" s="29" t="e">
        <f>VLOOKUP(A120,Users!A:D,3,FALSE)</f>
        <v>#N/A</v>
      </c>
      <c r="E120" s="139">
        <f>COUNTIF(Visits!Y:Y,'Summer Challenge'!A120)</f>
        <v>0</v>
      </c>
      <c r="G120" t="e" cm="1">
        <f t="array" ref="G120">SUM(--(FREQUENCY(IF(Visits!E:E='Summer Challenge'!A120,Visits!Z:Z),Visits!Z:Z)&gt;0))</f>
        <v>#N/A</v>
      </c>
      <c r="H120">
        <f>SUMIF(Visits!E:E,'Summer Challenge'!A120,Visits!Z:Z)</f>
        <v>0</v>
      </c>
      <c r="J120" s="147">
        <f t="shared" si="4"/>
        <v>0</v>
      </c>
      <c r="K120" s="147"/>
      <c r="L120" s="5">
        <f>SUMIF(Visits!E:E,'Summer Challenge'!A120,Visits!J:J)</f>
        <v>0</v>
      </c>
      <c r="M120" s="5">
        <f t="shared" si="5"/>
        <v>0</v>
      </c>
      <c r="N120" s="5"/>
      <c r="O120" t="str">
        <f>IF(IFERROR(VLOOKUP(Users!E118,Credits!A:A,1,FALSE),"NO")="NO","NO","YES")</f>
        <v>NO</v>
      </c>
      <c r="P120" t="s">
        <v>314</v>
      </c>
      <c r="Q120" t="str">
        <f>IF(SUM('User Engagement'!I120:J120)&gt;=0,"YES", "NO")</f>
        <v>YES</v>
      </c>
    </row>
    <row r="121" spans="1:17" ht="16" x14ac:dyDescent="0.2">
      <c r="A121">
        <f>Users!A119</f>
        <v>0</v>
      </c>
      <c r="C121" s="29" t="e">
        <f>VLOOKUP(A121,Users!A:D,2,FALSE)</f>
        <v>#N/A</v>
      </c>
      <c r="D121" s="29" t="e">
        <f>VLOOKUP(A121,Users!A:D,3,FALSE)</f>
        <v>#N/A</v>
      </c>
      <c r="E121" s="139">
        <f>COUNTIF(Visits!Y:Y,'Summer Challenge'!A121)</f>
        <v>0</v>
      </c>
      <c r="G121" t="e" cm="1">
        <f t="array" ref="G121">SUM(--(FREQUENCY(IF(Visits!E:E='Summer Challenge'!A121,Visits!Z:Z),Visits!Z:Z)&gt;0))</f>
        <v>#N/A</v>
      </c>
      <c r="H121">
        <f>SUMIF(Visits!E:E,'Summer Challenge'!A121,Visits!Z:Z)</f>
        <v>0</v>
      </c>
      <c r="J121" s="147">
        <f t="shared" si="4"/>
        <v>0</v>
      </c>
      <c r="K121" s="147"/>
      <c r="L121" s="5">
        <f>SUMIF(Visits!E:E,'Summer Challenge'!A121,Visits!J:J)</f>
        <v>0</v>
      </c>
      <c r="M121" s="5">
        <f t="shared" si="5"/>
        <v>0</v>
      </c>
      <c r="N121" s="5"/>
      <c r="O121" t="str">
        <f>IF(IFERROR(VLOOKUP(Users!E119,Credits!A:A,1,FALSE),"NO")="NO","NO","YES")</f>
        <v>NO</v>
      </c>
      <c r="P121" t="s">
        <v>314</v>
      </c>
      <c r="Q121" t="str">
        <f>IF(SUM('User Engagement'!I121:J121)&gt;=0,"YES", "NO")</f>
        <v>YES</v>
      </c>
    </row>
    <row r="122" spans="1:17" ht="16" x14ac:dyDescent="0.2">
      <c r="A122">
        <f>Users!A120</f>
        <v>0</v>
      </c>
      <c r="C122" s="29" t="e">
        <f>VLOOKUP(A122,Users!A:D,2,FALSE)</f>
        <v>#N/A</v>
      </c>
      <c r="D122" s="29" t="e">
        <f>VLOOKUP(A122,Users!A:D,3,FALSE)</f>
        <v>#N/A</v>
      </c>
      <c r="E122" s="139">
        <f>COUNTIF(Visits!Y:Y,'Summer Challenge'!A122)</f>
        <v>0</v>
      </c>
      <c r="G122" t="e" cm="1">
        <f t="array" ref="G122">SUM(--(FREQUENCY(IF(Visits!E:E='Summer Challenge'!A122,Visits!Z:Z),Visits!Z:Z)&gt;0))</f>
        <v>#N/A</v>
      </c>
      <c r="H122">
        <f>SUMIF(Visits!E:E,'Summer Challenge'!A122,Visits!Z:Z)</f>
        <v>0</v>
      </c>
      <c r="J122" s="147">
        <f t="shared" si="4"/>
        <v>0</v>
      </c>
      <c r="K122" s="147"/>
      <c r="L122" s="5">
        <f>SUMIF(Visits!E:E,'Summer Challenge'!A122,Visits!J:J)</f>
        <v>0</v>
      </c>
      <c r="M122" s="5">
        <f t="shared" si="5"/>
        <v>0</v>
      </c>
      <c r="N122" s="5"/>
      <c r="O122" t="str">
        <f>IF(IFERROR(VLOOKUP(Users!E120,Credits!A:A,1,FALSE),"NO")="NO","NO","YES")</f>
        <v>NO</v>
      </c>
      <c r="P122" t="s">
        <v>314</v>
      </c>
      <c r="Q122" t="str">
        <f>IF(SUM('User Engagement'!I122:J122)&gt;=0,"YES", "NO")</f>
        <v>YES</v>
      </c>
    </row>
    <row r="123" spans="1:17" ht="16" x14ac:dyDescent="0.2">
      <c r="A123">
        <f>Users!A121</f>
        <v>0</v>
      </c>
      <c r="C123" s="29" t="e">
        <f>VLOOKUP(A123,Users!A:D,2,FALSE)</f>
        <v>#N/A</v>
      </c>
      <c r="D123" s="29" t="e">
        <f>VLOOKUP(A123,Users!A:D,3,FALSE)</f>
        <v>#N/A</v>
      </c>
      <c r="E123" s="139">
        <f>COUNTIF(Visits!Y:Y,'Summer Challenge'!A123)</f>
        <v>0</v>
      </c>
      <c r="G123" t="e" cm="1">
        <f t="array" ref="G123">SUM(--(FREQUENCY(IF(Visits!E:E='Summer Challenge'!A123,Visits!Z:Z),Visits!Z:Z)&gt;0))</f>
        <v>#N/A</v>
      </c>
      <c r="H123">
        <f>SUMIF(Visits!E:E,'Summer Challenge'!A123,Visits!Z:Z)</f>
        <v>0</v>
      </c>
      <c r="J123" s="147">
        <f t="shared" si="4"/>
        <v>0</v>
      </c>
      <c r="K123" s="147"/>
      <c r="L123" s="5">
        <f>SUMIF(Visits!E:E,'Summer Challenge'!A123,Visits!J:J)</f>
        <v>0</v>
      </c>
      <c r="M123" s="5">
        <f t="shared" si="5"/>
        <v>0</v>
      </c>
      <c r="N123" s="5"/>
      <c r="O123" t="str">
        <f>IF(IFERROR(VLOOKUP(Users!E121,Credits!A:A,1,FALSE),"NO")="NO","NO","YES")</f>
        <v>NO</v>
      </c>
      <c r="P123" t="s">
        <v>314</v>
      </c>
      <c r="Q123" t="str">
        <f>IF(SUM('User Engagement'!I123:J123)&gt;=0,"YES", "NO")</f>
        <v>YES</v>
      </c>
    </row>
    <row r="124" spans="1:17" ht="16" x14ac:dyDescent="0.2">
      <c r="A124">
        <f>Users!A122</f>
        <v>0</v>
      </c>
      <c r="C124" s="29" t="e">
        <f>VLOOKUP(A124,Users!A:D,2,FALSE)</f>
        <v>#N/A</v>
      </c>
      <c r="D124" s="29" t="e">
        <f>VLOOKUP(A124,Users!A:D,3,FALSE)</f>
        <v>#N/A</v>
      </c>
      <c r="E124" s="139">
        <f>COUNTIF(Visits!Y:Y,'Summer Challenge'!A124)</f>
        <v>0</v>
      </c>
      <c r="G124" t="e" cm="1">
        <f t="array" ref="G124">SUM(--(FREQUENCY(IF(Visits!E:E='Summer Challenge'!A124,Visits!Z:Z),Visits!Z:Z)&gt;0))</f>
        <v>#N/A</v>
      </c>
      <c r="H124">
        <f>SUMIF(Visits!E:E,'Summer Challenge'!A124,Visits!Z:Z)</f>
        <v>0</v>
      </c>
      <c r="J124" s="147">
        <f t="shared" si="4"/>
        <v>0</v>
      </c>
      <c r="K124" s="147"/>
      <c r="L124" s="5">
        <f>SUMIF(Visits!E:E,'Summer Challenge'!A124,Visits!J:J)</f>
        <v>0</v>
      </c>
      <c r="M124" s="5">
        <f t="shared" si="5"/>
        <v>0</v>
      </c>
      <c r="N124" s="5"/>
      <c r="O124" t="str">
        <f>IF(IFERROR(VLOOKUP(Users!E122,Credits!A:A,1,FALSE),"NO")="NO","NO","YES")</f>
        <v>NO</v>
      </c>
      <c r="P124" t="s">
        <v>314</v>
      </c>
      <c r="Q124" t="str">
        <f>IF(SUM('User Engagement'!I124:J124)&gt;=0,"YES", "NO")</f>
        <v>YES</v>
      </c>
    </row>
    <row r="125" spans="1:17" ht="16" x14ac:dyDescent="0.2">
      <c r="A125">
        <f>Users!A123</f>
        <v>0</v>
      </c>
      <c r="C125" s="29" t="e">
        <f>VLOOKUP(A125,Users!A:D,2,FALSE)</f>
        <v>#N/A</v>
      </c>
      <c r="D125" s="29" t="e">
        <f>VLOOKUP(A125,Users!A:D,3,FALSE)</f>
        <v>#N/A</v>
      </c>
      <c r="E125" s="139">
        <f>COUNTIF(Visits!Y:Y,'Summer Challenge'!A125)</f>
        <v>0</v>
      </c>
      <c r="G125" t="e" cm="1">
        <f t="array" ref="G125">SUM(--(FREQUENCY(IF(Visits!E:E='Summer Challenge'!A125,Visits!Z:Z),Visits!Z:Z)&gt;0))</f>
        <v>#N/A</v>
      </c>
      <c r="H125">
        <f>SUMIF(Visits!E:E,'Summer Challenge'!A125,Visits!Z:Z)</f>
        <v>0</v>
      </c>
      <c r="I125" s="143">
        <v>3</v>
      </c>
      <c r="J125" s="147">
        <f t="shared" si="4"/>
        <v>0</v>
      </c>
      <c r="K125" s="147"/>
      <c r="L125" s="5">
        <f>SUMIF(Visits!E:E,'Summer Challenge'!A125,Visits!J:J)</f>
        <v>0</v>
      </c>
      <c r="M125" s="5">
        <f t="shared" si="5"/>
        <v>0</v>
      </c>
      <c r="N125" s="146" t="s">
        <v>343</v>
      </c>
      <c r="O125" t="str">
        <f>IF(IFERROR(VLOOKUP(Users!E123,Credits!A:A,1,FALSE),"NO")="NO","NO","YES")</f>
        <v>NO</v>
      </c>
      <c r="P125" t="s">
        <v>314</v>
      </c>
      <c r="Q125" t="str">
        <f>IF(SUM('User Engagement'!I125:J125)&gt;=0,"YES", "NO")</f>
        <v>YES</v>
      </c>
    </row>
    <row r="126" spans="1:17" ht="16" x14ac:dyDescent="0.2">
      <c r="A126">
        <f>Users!A124</f>
        <v>0</v>
      </c>
      <c r="C126" s="29" t="e">
        <f>VLOOKUP(A126,Users!A:D,2,FALSE)</f>
        <v>#N/A</v>
      </c>
      <c r="D126" s="29" t="e">
        <f>VLOOKUP(A126,Users!A:D,3,FALSE)</f>
        <v>#N/A</v>
      </c>
      <c r="E126" s="139">
        <f>COUNTIF(Visits!Y:Y,'Summer Challenge'!A126)</f>
        <v>0</v>
      </c>
      <c r="G126" t="e" cm="1">
        <f t="array" ref="G126">SUM(--(FREQUENCY(IF(Visits!E:E='Summer Challenge'!A126,Visits!Z:Z),Visits!Z:Z)&gt;0))</f>
        <v>#N/A</v>
      </c>
      <c r="H126">
        <f>SUMIF(Visits!E:E,'Summer Challenge'!A126,Visits!Z:Z)</f>
        <v>0</v>
      </c>
      <c r="J126" s="147">
        <f t="shared" si="4"/>
        <v>0</v>
      </c>
      <c r="K126" s="147"/>
      <c r="L126" s="5">
        <f>SUMIF(Visits!E:E,'Summer Challenge'!A126,Visits!J:J)</f>
        <v>0</v>
      </c>
      <c r="M126" s="5">
        <f t="shared" si="5"/>
        <v>0</v>
      </c>
      <c r="N126" s="5" t="s">
        <v>343</v>
      </c>
      <c r="O126" t="str">
        <f>IF(IFERROR(VLOOKUP(Users!E124,Credits!A:A,1,FALSE),"NO")="NO","NO","YES")</f>
        <v>NO</v>
      </c>
      <c r="P126" t="s">
        <v>314</v>
      </c>
      <c r="Q126" t="str">
        <f>IF(SUM('User Engagement'!I126:J126)&gt;=0,"YES", "NO")</f>
        <v>YES</v>
      </c>
    </row>
    <row r="127" spans="1:17" ht="16" x14ac:dyDescent="0.2">
      <c r="A127">
        <f>Users!A125</f>
        <v>0</v>
      </c>
      <c r="C127" s="29" t="e">
        <f>VLOOKUP(A127,Users!A:D,2,FALSE)</f>
        <v>#N/A</v>
      </c>
      <c r="D127" s="29" t="e">
        <f>VLOOKUP(A127,Users!A:D,3,FALSE)</f>
        <v>#N/A</v>
      </c>
      <c r="E127" s="139">
        <f>COUNTIF(Visits!Y:Y,'Summer Challenge'!A127)</f>
        <v>0</v>
      </c>
      <c r="G127" t="e" cm="1">
        <f t="array" ref="G127">SUM(--(FREQUENCY(IF(Visits!E:E='Summer Challenge'!A127,Visits!Z:Z),Visits!Z:Z)&gt;0))</f>
        <v>#N/A</v>
      </c>
      <c r="H127">
        <f>SUMIF(Visits!E:E,'Summer Challenge'!A127,Visits!Z:Z)</f>
        <v>0</v>
      </c>
      <c r="J127" s="147">
        <f t="shared" si="4"/>
        <v>0</v>
      </c>
      <c r="K127" s="147"/>
      <c r="L127" s="5">
        <f>SUMIF(Visits!E:E,'Summer Challenge'!A127,Visits!J:J)</f>
        <v>0</v>
      </c>
      <c r="M127" s="5">
        <f t="shared" si="5"/>
        <v>0</v>
      </c>
      <c r="N127" s="5"/>
      <c r="O127" t="str">
        <f>IF(IFERROR(VLOOKUP(Users!E125,Credits!A:A,1,FALSE),"NO")="NO","NO","YES")</f>
        <v>NO</v>
      </c>
      <c r="P127" t="s">
        <v>314</v>
      </c>
      <c r="Q127" t="str">
        <f>IF(SUM('User Engagement'!I127:J127)&gt;=0,"YES", "NO")</f>
        <v>YES</v>
      </c>
    </row>
    <row r="128" spans="1:17" ht="16" x14ac:dyDescent="0.2">
      <c r="A128">
        <f>Users!A126</f>
        <v>0</v>
      </c>
      <c r="C128" s="29" t="e">
        <f>VLOOKUP(A128,Users!A:D,2,FALSE)</f>
        <v>#N/A</v>
      </c>
      <c r="D128" s="29" t="e">
        <f>VLOOKUP(A128,Users!A:D,3,FALSE)</f>
        <v>#N/A</v>
      </c>
      <c r="E128" s="139">
        <f>COUNTIF(Visits!Y:Y,'Summer Challenge'!A128)</f>
        <v>0</v>
      </c>
      <c r="G128" t="e" cm="1">
        <f t="array" ref="G128">SUM(--(FREQUENCY(IF(Visits!E:E='Summer Challenge'!A128,Visits!Z:Z),Visits!Z:Z)&gt;0))</f>
        <v>#N/A</v>
      </c>
      <c r="H128">
        <f>SUMIF(Visits!E:E,'Summer Challenge'!A128,Visits!Z:Z)</f>
        <v>0</v>
      </c>
      <c r="J128" s="147">
        <f t="shared" si="4"/>
        <v>0</v>
      </c>
      <c r="K128" s="147"/>
      <c r="L128" s="5">
        <f>SUMIF(Visits!E:E,'Summer Challenge'!A128,Visits!J:J)</f>
        <v>0</v>
      </c>
      <c r="M128" s="5">
        <f t="shared" si="5"/>
        <v>0</v>
      </c>
      <c r="N128" s="146" t="s">
        <v>343</v>
      </c>
      <c r="O128" t="str">
        <f>IF(IFERROR(VLOOKUP(Users!E126,Credits!A:A,1,FALSE),"NO")="NO","NO","YES")</f>
        <v>NO</v>
      </c>
      <c r="P128" t="s">
        <v>314</v>
      </c>
      <c r="Q128" t="str">
        <f>IF(SUM('User Engagement'!I128:J128)&gt;=0,"YES", "NO")</f>
        <v>YES</v>
      </c>
    </row>
    <row r="129" spans="1:17" ht="16" x14ac:dyDescent="0.2">
      <c r="A129">
        <f>Users!A127</f>
        <v>0</v>
      </c>
      <c r="C129" s="29" t="e">
        <f>VLOOKUP(A129,Users!A:D,2,FALSE)</f>
        <v>#N/A</v>
      </c>
      <c r="D129" s="29" t="e">
        <f>VLOOKUP(A129,Users!A:D,3,FALSE)</f>
        <v>#N/A</v>
      </c>
      <c r="E129" s="139">
        <f>COUNTIF(Visits!Y:Y,'Summer Challenge'!A129)</f>
        <v>0</v>
      </c>
      <c r="G129" t="e" cm="1">
        <f t="array" ref="G129">SUM(--(FREQUENCY(IF(Visits!E:E='Summer Challenge'!A129,Visits!Z:Z),Visits!Z:Z)&gt;0))</f>
        <v>#N/A</v>
      </c>
      <c r="H129">
        <f>SUMIF(Visits!E:E,'Summer Challenge'!A129,Visits!Z:Z)</f>
        <v>0</v>
      </c>
      <c r="J129" s="147">
        <f t="shared" si="4"/>
        <v>0</v>
      </c>
      <c r="K129" s="147"/>
      <c r="L129" s="5">
        <f>SUMIF(Visits!E:E,'Summer Challenge'!A129,Visits!J:J)</f>
        <v>0</v>
      </c>
      <c r="M129" s="5">
        <f t="shared" si="5"/>
        <v>0</v>
      </c>
      <c r="N129" s="5"/>
      <c r="O129" t="str">
        <f>IF(IFERROR(VLOOKUP(Users!E127,Credits!A:A,1,FALSE),"NO")="NO","NO","YES")</f>
        <v>NO</v>
      </c>
      <c r="P129" t="s">
        <v>314</v>
      </c>
      <c r="Q129" t="str">
        <f>IF(SUM('User Engagement'!I129:J129)&gt;=0,"YES", "NO")</f>
        <v>YES</v>
      </c>
    </row>
    <row r="130" spans="1:17" ht="16" x14ac:dyDescent="0.2">
      <c r="A130">
        <f>Users!A128</f>
        <v>0</v>
      </c>
      <c r="C130" s="29" t="e">
        <f>VLOOKUP(A130,Users!A:D,2,FALSE)</f>
        <v>#N/A</v>
      </c>
      <c r="D130" s="29" t="e">
        <f>VLOOKUP(A130,Users!A:D,3,FALSE)</f>
        <v>#N/A</v>
      </c>
      <c r="E130" s="139">
        <f>COUNTIF(Visits!Y:Y,'Summer Challenge'!A130)</f>
        <v>0</v>
      </c>
      <c r="G130" t="e" cm="1">
        <f t="array" ref="G130">SUM(--(FREQUENCY(IF(Visits!E:E='Summer Challenge'!A130,Visits!Z:Z),Visits!Z:Z)&gt;0))</f>
        <v>#N/A</v>
      </c>
      <c r="H130">
        <f>SUMIF(Visits!E:E,'Summer Challenge'!A130,Visits!Z:Z)</f>
        <v>0</v>
      </c>
      <c r="J130" s="147">
        <f t="shared" si="4"/>
        <v>0</v>
      </c>
      <c r="K130" s="147"/>
      <c r="L130" s="5">
        <f>SUMIF(Visits!E:E,'Summer Challenge'!A130,Visits!J:J)</f>
        <v>0</v>
      </c>
      <c r="M130" s="5">
        <f t="shared" si="5"/>
        <v>0</v>
      </c>
      <c r="N130" s="146" t="s">
        <v>343</v>
      </c>
      <c r="O130" t="str">
        <f>IF(IFERROR(VLOOKUP(Users!E128,Credits!A:A,1,FALSE),"NO")="NO","NO","YES")</f>
        <v>NO</v>
      </c>
      <c r="P130" t="s">
        <v>314</v>
      </c>
      <c r="Q130" t="str">
        <f>IF(SUM('User Engagement'!I130:J130)&gt;=0,"YES", "NO")</f>
        <v>YES</v>
      </c>
    </row>
    <row r="131" spans="1:17" ht="16" x14ac:dyDescent="0.2">
      <c r="A131">
        <f>Users!A129</f>
        <v>0</v>
      </c>
      <c r="C131" s="29" t="e">
        <f>VLOOKUP(A131,Users!A:D,2,FALSE)</f>
        <v>#N/A</v>
      </c>
      <c r="D131" s="29" t="e">
        <f>VLOOKUP(A131,Users!A:D,3,FALSE)</f>
        <v>#N/A</v>
      </c>
      <c r="E131" s="139">
        <f>COUNTIF(Visits!Y:Y,'Summer Challenge'!A131)</f>
        <v>0</v>
      </c>
      <c r="G131" t="e" cm="1">
        <f t="array" ref="G131">SUM(--(FREQUENCY(IF(Visits!E:E='Summer Challenge'!A131,Visits!Z:Z),Visits!Z:Z)&gt;0))</f>
        <v>#N/A</v>
      </c>
      <c r="H131">
        <f>SUMIF(Visits!E:E,'Summer Challenge'!A131,Visits!Z:Z)</f>
        <v>0</v>
      </c>
      <c r="J131" s="147">
        <f t="shared" si="4"/>
        <v>0</v>
      </c>
      <c r="K131" s="147"/>
      <c r="L131" s="5">
        <f>SUMIF(Visits!E:E,'Summer Challenge'!A131,Visits!J:J)</f>
        <v>0</v>
      </c>
      <c r="M131" s="5">
        <f t="shared" si="5"/>
        <v>0</v>
      </c>
      <c r="N131" s="5"/>
      <c r="O131" t="str">
        <f>IF(IFERROR(VLOOKUP(Users!E129,Credits!A:A,1,FALSE),"NO")="NO","NO","YES")</f>
        <v>NO</v>
      </c>
      <c r="P131" t="s">
        <v>314</v>
      </c>
      <c r="Q131" t="str">
        <f>IF(SUM('User Engagement'!I131:J131)&gt;=0,"YES", "NO")</f>
        <v>YES</v>
      </c>
    </row>
    <row r="132" spans="1:17" ht="16" x14ac:dyDescent="0.2">
      <c r="A132">
        <f>Users!A130</f>
        <v>0</v>
      </c>
      <c r="C132" s="29" t="e">
        <f>VLOOKUP(A132,Users!A:D,2,FALSE)</f>
        <v>#N/A</v>
      </c>
      <c r="D132" s="29" t="e">
        <f>VLOOKUP(A132,Users!A:D,3,FALSE)</f>
        <v>#N/A</v>
      </c>
      <c r="E132" s="139">
        <f>COUNTIF(Visits!Y:Y,'Summer Challenge'!A132)</f>
        <v>0</v>
      </c>
      <c r="G132" t="e" cm="1">
        <f t="array" ref="G132">SUM(--(FREQUENCY(IF(Visits!E:E='Summer Challenge'!A132,Visits!Z:Z),Visits!Z:Z)&gt;0))</f>
        <v>#N/A</v>
      </c>
      <c r="H132">
        <f>SUMIF(Visits!E:E,'Summer Challenge'!A132,Visits!Z:Z)</f>
        <v>0</v>
      </c>
      <c r="J132" s="147">
        <f t="shared" si="4"/>
        <v>0</v>
      </c>
      <c r="K132" s="147"/>
      <c r="L132" s="5">
        <f>SUMIF(Visits!E:E,'Summer Challenge'!A132,Visits!J:J)</f>
        <v>0</v>
      </c>
      <c r="M132" s="5">
        <f t="shared" si="5"/>
        <v>0</v>
      </c>
      <c r="N132" s="5"/>
      <c r="O132" t="str">
        <f>IF(IFERROR(VLOOKUP(Users!E130,Credits!A:A,1,FALSE),"NO")="NO","NO","YES")</f>
        <v>NO</v>
      </c>
      <c r="P132" t="s">
        <v>314</v>
      </c>
      <c r="Q132" t="str">
        <f>IF(SUM('User Engagement'!I132:J132)&gt;=0,"YES", "NO")</f>
        <v>YES</v>
      </c>
    </row>
    <row r="133" spans="1:17" ht="16" x14ac:dyDescent="0.2">
      <c r="A133">
        <f>Users!A131</f>
        <v>0</v>
      </c>
      <c r="C133" s="29" t="e">
        <f>VLOOKUP(A133,Users!A:D,2,FALSE)</f>
        <v>#N/A</v>
      </c>
      <c r="D133" s="29" t="e">
        <f>VLOOKUP(A133,Users!A:D,3,FALSE)</f>
        <v>#N/A</v>
      </c>
      <c r="E133" s="139">
        <f>COUNTIF(Visits!Y:Y,'Summer Challenge'!A133)</f>
        <v>0</v>
      </c>
      <c r="G133" t="e" cm="1">
        <f t="array" ref="G133">SUM(--(FREQUENCY(IF(Visits!E:E='Summer Challenge'!A133,Visits!Z:Z),Visits!Z:Z)&gt;0))</f>
        <v>#N/A</v>
      </c>
      <c r="H133">
        <f>SUMIF(Visits!E:E,'Summer Challenge'!A133,Visits!Z:Z)</f>
        <v>0</v>
      </c>
      <c r="J133" s="147">
        <f t="shared" si="4"/>
        <v>0</v>
      </c>
      <c r="K133" s="147"/>
      <c r="L133" s="5">
        <f>SUMIF(Visits!E:E,'Summer Challenge'!A133,Visits!J:J)</f>
        <v>0</v>
      </c>
      <c r="M133" s="5">
        <f t="shared" si="5"/>
        <v>0</v>
      </c>
      <c r="N133" s="5"/>
      <c r="O133" t="str">
        <f>IF(IFERROR(VLOOKUP(Users!E131,Credits!A:A,1,FALSE),"NO")="NO","NO","YES")</f>
        <v>NO</v>
      </c>
      <c r="P133" t="s">
        <v>314</v>
      </c>
      <c r="Q133" t="str">
        <f>IF(SUM('User Engagement'!I133:J133)&gt;=0,"YES", "NO")</f>
        <v>YES</v>
      </c>
    </row>
    <row r="134" spans="1:17" ht="16" x14ac:dyDescent="0.2">
      <c r="A134">
        <f>Users!A132</f>
        <v>0</v>
      </c>
      <c r="C134" s="29" t="e">
        <f>VLOOKUP(A134,Users!A:D,2,FALSE)</f>
        <v>#N/A</v>
      </c>
      <c r="D134" s="29" t="e">
        <f>VLOOKUP(A134,Users!A:D,3,FALSE)</f>
        <v>#N/A</v>
      </c>
      <c r="E134" s="139">
        <f>COUNTIF(Visits!Y:Y,'Summer Challenge'!A134)</f>
        <v>0</v>
      </c>
      <c r="G134" t="e" cm="1">
        <f t="array" ref="G134">SUM(--(FREQUENCY(IF(Visits!E:E='Summer Challenge'!A134,Visits!Z:Z),Visits!Z:Z)&gt;0))</f>
        <v>#N/A</v>
      </c>
      <c r="H134">
        <f>SUMIF(Visits!E:E,'Summer Challenge'!A134,Visits!Z:Z)</f>
        <v>0</v>
      </c>
      <c r="J134" s="147">
        <f t="shared" si="4"/>
        <v>0</v>
      </c>
      <c r="K134" s="147"/>
      <c r="L134" s="5">
        <f>SUMIF(Visits!E:E,'Summer Challenge'!A134,Visits!J:J)</f>
        <v>0</v>
      </c>
      <c r="M134" s="5">
        <f t="shared" si="5"/>
        <v>0</v>
      </c>
      <c r="N134" s="146"/>
      <c r="O134" t="str">
        <f>IF(IFERROR(VLOOKUP(Users!E132,Credits!A:A,1,FALSE),"NO")="NO","NO","YES")</f>
        <v>NO</v>
      </c>
      <c r="P134" t="s">
        <v>314</v>
      </c>
      <c r="Q134" t="str">
        <f>IF(SUM('User Engagement'!I134:J134)&gt;=0,"YES", "NO")</f>
        <v>YES</v>
      </c>
    </row>
    <row r="135" spans="1:17" ht="16" x14ac:dyDescent="0.2">
      <c r="A135">
        <f>Users!A133</f>
        <v>0</v>
      </c>
      <c r="C135" s="29" t="e">
        <f>VLOOKUP(A135,Users!A:D,2,FALSE)</f>
        <v>#N/A</v>
      </c>
      <c r="D135" s="29" t="e">
        <f>VLOOKUP(A135,Users!A:D,3,FALSE)</f>
        <v>#N/A</v>
      </c>
      <c r="E135" s="139">
        <f>COUNTIF(Visits!Y:Y,'Summer Challenge'!A135)</f>
        <v>0</v>
      </c>
      <c r="G135" t="e" cm="1">
        <f t="array" ref="G135">SUM(--(FREQUENCY(IF(Visits!E:E='Summer Challenge'!A135,Visits!Z:Z),Visits!Z:Z)&gt;0))</f>
        <v>#N/A</v>
      </c>
      <c r="H135">
        <f>SUMIF(Visits!E:E,'Summer Challenge'!A135,Visits!Z:Z)</f>
        <v>0</v>
      </c>
      <c r="J135" s="147">
        <f t="shared" si="4"/>
        <v>0</v>
      </c>
      <c r="K135" s="147"/>
      <c r="L135" s="5">
        <f>SUMIF(Visits!E:E,'Summer Challenge'!A135,Visits!J:J)</f>
        <v>0</v>
      </c>
      <c r="M135" s="5">
        <f t="shared" si="5"/>
        <v>0</v>
      </c>
      <c r="N135" s="5"/>
      <c r="O135" t="str">
        <f>IF(IFERROR(VLOOKUP(Users!E133,Credits!A:A,1,FALSE),"NO")="NO","NO","YES")</f>
        <v>NO</v>
      </c>
      <c r="P135" t="s">
        <v>314</v>
      </c>
      <c r="Q135" t="str">
        <f>IF(SUM('User Engagement'!I135:J135)&gt;=0,"YES", "NO")</f>
        <v>YES</v>
      </c>
    </row>
    <row r="136" spans="1:17" ht="16" x14ac:dyDescent="0.2">
      <c r="A136">
        <f>Users!A134</f>
        <v>0</v>
      </c>
      <c r="C136" s="29" t="e">
        <f>VLOOKUP(A136,Users!A:D,2,FALSE)</f>
        <v>#N/A</v>
      </c>
      <c r="D136" s="29" t="e">
        <f>VLOOKUP(A136,Users!A:D,3,FALSE)</f>
        <v>#N/A</v>
      </c>
      <c r="E136" s="139">
        <f>COUNTIF(Visits!Y:Y,'Summer Challenge'!A136)</f>
        <v>0</v>
      </c>
      <c r="G136" t="e" cm="1">
        <f t="array" ref="G136">SUM(--(FREQUENCY(IF(Visits!E:E='Summer Challenge'!A136,Visits!Z:Z),Visits!Z:Z)&gt;0))</f>
        <v>#N/A</v>
      </c>
      <c r="H136">
        <f>SUMIF(Visits!E:E,'Summer Challenge'!A136,Visits!Z:Z)</f>
        <v>0</v>
      </c>
      <c r="J136" s="147">
        <f t="shared" si="4"/>
        <v>0</v>
      </c>
      <c r="K136" s="147"/>
      <c r="L136" s="5">
        <f>SUMIF(Visits!E:E,'Summer Challenge'!A136,Visits!J:J)</f>
        <v>0</v>
      </c>
      <c r="M136" s="5">
        <f t="shared" si="5"/>
        <v>0</v>
      </c>
      <c r="N136" s="5"/>
      <c r="O136" t="str">
        <f>IF(IFERROR(VLOOKUP(Users!E134,Credits!A:A,1,FALSE),"NO")="NO","NO","YES")</f>
        <v>NO</v>
      </c>
      <c r="P136" t="s">
        <v>314</v>
      </c>
      <c r="Q136" t="str">
        <f>IF(SUM('User Engagement'!I136:J136)&gt;=0,"YES", "NO")</f>
        <v>YES</v>
      </c>
    </row>
    <row r="137" spans="1:17" ht="16" x14ac:dyDescent="0.2">
      <c r="A137">
        <f>Users!A135</f>
        <v>0</v>
      </c>
      <c r="C137" s="29" t="e">
        <f>VLOOKUP(A137,Users!A:D,2,FALSE)</f>
        <v>#N/A</v>
      </c>
      <c r="D137" s="29" t="e">
        <f>VLOOKUP(A137,Users!A:D,3,FALSE)</f>
        <v>#N/A</v>
      </c>
      <c r="E137" s="139">
        <f>COUNTIF(Visits!Y:Y,'Summer Challenge'!A137)</f>
        <v>0</v>
      </c>
      <c r="G137" t="e" cm="1">
        <f t="array" ref="G137">SUM(--(FREQUENCY(IF(Visits!E:E='Summer Challenge'!A137,Visits!Z:Z),Visits!Z:Z)&gt;0))</f>
        <v>#N/A</v>
      </c>
      <c r="H137">
        <f>SUMIF(Visits!E:E,'Summer Challenge'!A137,Visits!Z:Z)</f>
        <v>0</v>
      </c>
      <c r="J137" s="147">
        <f t="shared" si="4"/>
        <v>0</v>
      </c>
      <c r="K137" s="147"/>
      <c r="L137" s="5">
        <f>SUMIF(Visits!E:E,'Summer Challenge'!A137,Visits!J:J)</f>
        <v>0</v>
      </c>
      <c r="M137" s="5">
        <f t="shared" si="5"/>
        <v>0</v>
      </c>
      <c r="N137" s="5"/>
      <c r="O137" t="str">
        <f>IF(IFERROR(VLOOKUP(Users!E135,Credits!A:A,1,FALSE),"NO")="NO","NO","YES")</f>
        <v>NO</v>
      </c>
      <c r="P137" t="s">
        <v>314</v>
      </c>
      <c r="Q137" t="str">
        <f>IF(SUM('User Engagement'!I137:J137)&gt;=0,"YES", "NO")</f>
        <v>YES</v>
      </c>
    </row>
    <row r="138" spans="1:17" ht="16" x14ac:dyDescent="0.2">
      <c r="A138">
        <f>Users!A136</f>
        <v>0</v>
      </c>
      <c r="C138" s="29" t="e">
        <f>VLOOKUP(A138,Users!A:D,2,FALSE)</f>
        <v>#N/A</v>
      </c>
      <c r="D138" s="29" t="e">
        <f>VLOOKUP(A138,Users!A:D,3,FALSE)</f>
        <v>#N/A</v>
      </c>
      <c r="E138" s="139">
        <f>COUNTIF(Visits!Y:Y,'Summer Challenge'!A138)</f>
        <v>0</v>
      </c>
      <c r="G138" t="e" cm="1">
        <f t="array" ref="G138">SUM(--(FREQUENCY(IF(Visits!E:E='Summer Challenge'!A138,Visits!Z:Z),Visits!Z:Z)&gt;0))</f>
        <v>#N/A</v>
      </c>
      <c r="H138">
        <f>SUMIF(Visits!E:E,'Summer Challenge'!A138,Visits!Z:Z)</f>
        <v>0</v>
      </c>
      <c r="J138" s="147">
        <f t="shared" si="4"/>
        <v>0</v>
      </c>
      <c r="K138" s="147"/>
      <c r="L138" s="5">
        <f>SUMIF(Visits!E:E,'Summer Challenge'!A138,Visits!J:J)</f>
        <v>0</v>
      </c>
      <c r="M138" s="5">
        <f t="shared" si="5"/>
        <v>0</v>
      </c>
      <c r="N138" s="146"/>
      <c r="O138" t="str">
        <f>IF(IFERROR(VLOOKUP(Users!E136,Credits!A:A,1,FALSE),"NO")="NO","NO","YES")</f>
        <v>NO</v>
      </c>
      <c r="P138" t="s">
        <v>314</v>
      </c>
      <c r="Q138" t="str">
        <f>IF(SUM('User Engagement'!I138:J138)&gt;=0,"YES", "NO")</f>
        <v>YES</v>
      </c>
    </row>
    <row r="139" spans="1:17" ht="16" x14ac:dyDescent="0.2">
      <c r="A139">
        <f>Users!A137</f>
        <v>0</v>
      </c>
      <c r="C139" s="29" t="e">
        <f>VLOOKUP(A139,Users!A:D,2,FALSE)</f>
        <v>#N/A</v>
      </c>
      <c r="D139" s="29" t="e">
        <f>VLOOKUP(A139,Users!A:D,3,FALSE)</f>
        <v>#N/A</v>
      </c>
      <c r="E139" s="139">
        <f>COUNTIF(Visits!Y:Y,'Summer Challenge'!A139)</f>
        <v>0</v>
      </c>
      <c r="G139" t="e" cm="1">
        <f t="array" ref="G139">SUM(--(FREQUENCY(IF(Visits!E:E='Summer Challenge'!A139,Visits!Z:Z),Visits!Z:Z)&gt;0))</f>
        <v>#N/A</v>
      </c>
      <c r="H139">
        <f>SUMIF(Visits!E:E,'Summer Challenge'!A139,Visits!Z:Z)</f>
        <v>0</v>
      </c>
      <c r="J139" s="147">
        <f t="shared" ref="J139:J170" si="6">L139*10/2</f>
        <v>0</v>
      </c>
      <c r="K139" s="147"/>
      <c r="L139" s="5">
        <f>SUMIF(Visits!E:E,'Summer Challenge'!A139,Visits!J:J)</f>
        <v>0</v>
      </c>
      <c r="M139" s="5">
        <f t="shared" ref="M139:M170" si="7">L139*4</f>
        <v>0</v>
      </c>
      <c r="N139" s="5"/>
      <c r="O139" t="str">
        <f>IF(IFERROR(VLOOKUP(Users!E137,Credits!A:A,1,FALSE),"NO")="NO","NO","YES")</f>
        <v>NO</v>
      </c>
      <c r="P139" t="s">
        <v>314</v>
      </c>
      <c r="Q139" t="str">
        <f>IF(SUM('User Engagement'!I139:J139)&gt;=0,"YES", "NO")</f>
        <v>YES</v>
      </c>
    </row>
    <row r="140" spans="1:17" ht="16" x14ac:dyDescent="0.2">
      <c r="A140">
        <f>Users!A138</f>
        <v>0</v>
      </c>
      <c r="C140" s="29" t="e">
        <f>VLOOKUP(A140,Users!A:D,2,FALSE)</f>
        <v>#N/A</v>
      </c>
      <c r="D140" s="29" t="e">
        <f>VLOOKUP(A140,Users!A:D,3,FALSE)</f>
        <v>#N/A</v>
      </c>
      <c r="E140" s="139">
        <f>COUNTIF(Visits!Y:Y,'Summer Challenge'!A140)</f>
        <v>0</v>
      </c>
      <c r="G140" t="e" cm="1">
        <f t="array" ref="G140">SUM(--(FREQUENCY(IF(Visits!E:E='Summer Challenge'!A140,Visits!Z:Z),Visits!Z:Z)&gt;0))</f>
        <v>#N/A</v>
      </c>
      <c r="H140">
        <f>SUMIF(Visits!E:E,'Summer Challenge'!A140,Visits!Z:Z)</f>
        <v>0</v>
      </c>
      <c r="J140" s="147">
        <f t="shared" si="6"/>
        <v>0</v>
      </c>
      <c r="K140" s="147"/>
      <c r="L140" s="5">
        <f>SUMIF(Visits!E:E,'Summer Challenge'!A140,Visits!J:J)</f>
        <v>0</v>
      </c>
      <c r="M140" s="5">
        <f t="shared" si="7"/>
        <v>0</v>
      </c>
      <c r="N140" s="5"/>
      <c r="O140" t="str">
        <f>IF(IFERROR(VLOOKUP(Users!E138,Credits!A:A,1,FALSE),"NO")="NO","NO","YES")</f>
        <v>NO</v>
      </c>
      <c r="P140" t="s">
        <v>314</v>
      </c>
      <c r="Q140" t="str">
        <f>IF(SUM('User Engagement'!I140:J140)&gt;=0,"YES", "NO")</f>
        <v>YES</v>
      </c>
    </row>
    <row r="141" spans="1:17" ht="16" x14ac:dyDescent="0.2">
      <c r="A141">
        <f>Users!A139</f>
        <v>0</v>
      </c>
      <c r="C141" s="29" t="e">
        <f>VLOOKUP(A141,Users!A:D,2,FALSE)</f>
        <v>#N/A</v>
      </c>
      <c r="D141" s="29" t="e">
        <f>VLOOKUP(A141,Users!A:D,3,FALSE)</f>
        <v>#N/A</v>
      </c>
      <c r="E141" s="139">
        <f>COUNTIF(Visits!Y:Y,'Summer Challenge'!A141)</f>
        <v>0</v>
      </c>
      <c r="G141" t="e" cm="1">
        <f t="array" ref="G141">SUM(--(FREQUENCY(IF(Visits!E:E='Summer Challenge'!A141,Visits!Z:Z),Visits!Z:Z)&gt;0))</f>
        <v>#N/A</v>
      </c>
      <c r="H141">
        <f>SUMIF(Visits!E:E,'Summer Challenge'!A141,Visits!Z:Z)</f>
        <v>0</v>
      </c>
      <c r="J141" s="147">
        <f t="shared" si="6"/>
        <v>0</v>
      </c>
      <c r="K141" s="147"/>
      <c r="L141" s="5">
        <f>SUMIF(Visits!E:E,'Summer Challenge'!A141,Visits!J:J)</f>
        <v>0</v>
      </c>
      <c r="M141" s="5">
        <f t="shared" si="7"/>
        <v>0</v>
      </c>
      <c r="N141" s="146" t="s">
        <v>343</v>
      </c>
      <c r="O141" t="str">
        <f>IF(IFERROR(VLOOKUP(Users!E139,Credits!A:A,1,FALSE),"NO")="NO","NO","YES")</f>
        <v>NO</v>
      </c>
      <c r="P141" t="s">
        <v>314</v>
      </c>
      <c r="Q141" t="str">
        <f>IF(SUM('User Engagement'!I141:J141)&gt;=0,"YES", "NO")</f>
        <v>YES</v>
      </c>
    </row>
    <row r="142" spans="1:17" ht="16" x14ac:dyDescent="0.2">
      <c r="A142">
        <f>Users!A140</f>
        <v>0</v>
      </c>
      <c r="C142" s="29" t="e">
        <f>VLOOKUP(A142,Users!A:D,2,FALSE)</f>
        <v>#N/A</v>
      </c>
      <c r="D142" s="29" t="e">
        <f>VLOOKUP(A142,Users!A:D,3,FALSE)</f>
        <v>#N/A</v>
      </c>
      <c r="E142" s="139">
        <f>COUNTIF(Visits!Y:Y,'Summer Challenge'!A142)</f>
        <v>0</v>
      </c>
      <c r="G142" t="e" cm="1">
        <f t="array" ref="G142">SUM(--(FREQUENCY(IF(Visits!E:E='Summer Challenge'!A142,Visits!Z:Z),Visits!Z:Z)&gt;0))</f>
        <v>#N/A</v>
      </c>
      <c r="H142">
        <f>SUMIF(Visits!E:E,'Summer Challenge'!A142,Visits!Z:Z)</f>
        <v>0</v>
      </c>
      <c r="J142" s="147">
        <f t="shared" si="6"/>
        <v>0</v>
      </c>
      <c r="K142" s="147"/>
      <c r="L142" s="5">
        <f>SUMIF(Visits!E:E,'Summer Challenge'!A142,Visits!J:J)</f>
        <v>0</v>
      </c>
      <c r="M142" s="5">
        <f t="shared" si="7"/>
        <v>0</v>
      </c>
      <c r="N142" s="5"/>
      <c r="O142" t="str">
        <f>IF(IFERROR(VLOOKUP(Users!E140,Credits!A:A,1,FALSE),"NO")="NO","NO","YES")</f>
        <v>NO</v>
      </c>
      <c r="P142" t="s">
        <v>314</v>
      </c>
      <c r="Q142" t="str">
        <f>IF(SUM('User Engagement'!I142:J142)&gt;=0,"YES", "NO")</f>
        <v>YES</v>
      </c>
    </row>
    <row r="143" spans="1:17" ht="16" x14ac:dyDescent="0.2">
      <c r="A143">
        <f>Users!A141</f>
        <v>0</v>
      </c>
      <c r="C143" s="29" t="e">
        <f>VLOOKUP(A143,Users!A:D,2,FALSE)</f>
        <v>#N/A</v>
      </c>
      <c r="D143" s="29" t="e">
        <f>VLOOKUP(A143,Users!A:D,3,FALSE)</f>
        <v>#N/A</v>
      </c>
      <c r="E143" s="139">
        <f>COUNTIF(Visits!Y:Y,'Summer Challenge'!A143)</f>
        <v>0</v>
      </c>
      <c r="G143" t="e" cm="1">
        <f t="array" ref="G143">SUM(--(FREQUENCY(IF(Visits!E:E='Summer Challenge'!A143,Visits!Z:Z),Visits!Z:Z)&gt;0))</f>
        <v>#N/A</v>
      </c>
      <c r="H143">
        <f>SUMIF(Visits!E:E,'Summer Challenge'!A143,Visits!Z:Z)</f>
        <v>0</v>
      </c>
      <c r="J143" s="147">
        <f t="shared" si="6"/>
        <v>0</v>
      </c>
      <c r="K143" s="147"/>
      <c r="L143" s="5">
        <f>SUMIF(Visits!E:E,'Summer Challenge'!A143,Visits!J:J)</f>
        <v>0</v>
      </c>
      <c r="M143" s="5">
        <f t="shared" si="7"/>
        <v>0</v>
      </c>
      <c r="N143" s="5"/>
      <c r="O143" t="str">
        <f>IF(IFERROR(VLOOKUP(Users!E141,Credits!A:A,1,FALSE),"NO")="NO","NO","YES")</f>
        <v>NO</v>
      </c>
      <c r="P143" t="s">
        <v>314</v>
      </c>
      <c r="Q143" t="str">
        <f>IF(SUM('User Engagement'!I143:J143)&gt;=0,"YES", "NO")</f>
        <v>YES</v>
      </c>
    </row>
    <row r="144" spans="1:17" ht="16" x14ac:dyDescent="0.2">
      <c r="A144">
        <f>Users!A142</f>
        <v>0</v>
      </c>
      <c r="C144" s="29" t="e">
        <f>VLOOKUP(A144,Users!A:D,2,FALSE)</f>
        <v>#N/A</v>
      </c>
      <c r="D144" s="29" t="e">
        <f>VLOOKUP(A144,Users!A:D,3,FALSE)</f>
        <v>#N/A</v>
      </c>
      <c r="E144" s="139">
        <f>COUNTIF(Visits!Y:Y,'Summer Challenge'!A144)</f>
        <v>0</v>
      </c>
      <c r="G144" t="e" cm="1">
        <f t="array" ref="G144">SUM(--(FREQUENCY(IF(Visits!E:E='Summer Challenge'!A144,Visits!Z:Z),Visits!Z:Z)&gt;0))</f>
        <v>#N/A</v>
      </c>
      <c r="H144">
        <f>SUMIF(Visits!E:E,'Summer Challenge'!A144,Visits!Z:Z)</f>
        <v>0</v>
      </c>
      <c r="J144" s="147">
        <f t="shared" si="6"/>
        <v>0</v>
      </c>
      <c r="K144" s="147"/>
      <c r="L144" s="5">
        <f>SUMIF(Visits!E:E,'Summer Challenge'!A144,Visits!J:J)</f>
        <v>0</v>
      </c>
      <c r="M144" s="5">
        <f t="shared" si="7"/>
        <v>0</v>
      </c>
      <c r="N144" s="5"/>
      <c r="O144" t="str">
        <f>IF(IFERROR(VLOOKUP(Users!E142,Credits!A:A,1,FALSE),"NO")="NO","NO","YES")</f>
        <v>NO</v>
      </c>
      <c r="P144" t="s">
        <v>314</v>
      </c>
      <c r="Q144" t="str">
        <f>IF(SUM('User Engagement'!I144:J144)&gt;=0,"YES", "NO")</f>
        <v>YES</v>
      </c>
    </row>
    <row r="145" spans="1:17" ht="16" x14ac:dyDescent="0.2">
      <c r="A145">
        <f>Users!A143</f>
        <v>0</v>
      </c>
      <c r="C145" s="29" t="e">
        <f>VLOOKUP(A145,Users!A:D,2,FALSE)</f>
        <v>#N/A</v>
      </c>
      <c r="D145" s="29" t="e">
        <f>VLOOKUP(A145,Users!A:D,3,FALSE)</f>
        <v>#N/A</v>
      </c>
      <c r="E145" s="139">
        <f>COUNTIF(Visits!Y:Y,'Summer Challenge'!A145)</f>
        <v>0</v>
      </c>
      <c r="G145" t="e" cm="1">
        <f t="array" ref="G145">SUM(--(FREQUENCY(IF(Visits!E:E='Summer Challenge'!A145,Visits!Z:Z),Visits!Z:Z)&gt;0))</f>
        <v>#N/A</v>
      </c>
      <c r="H145">
        <f>SUMIF(Visits!E:E,'Summer Challenge'!A145,Visits!Z:Z)</f>
        <v>0</v>
      </c>
      <c r="J145" s="147">
        <f t="shared" si="6"/>
        <v>0</v>
      </c>
      <c r="K145" s="147"/>
      <c r="L145" s="5">
        <f>SUMIF(Visits!E:E,'Summer Challenge'!A145,Visits!J:J)</f>
        <v>0</v>
      </c>
      <c r="M145" s="5">
        <f t="shared" si="7"/>
        <v>0</v>
      </c>
      <c r="N145" s="5"/>
      <c r="O145" t="str">
        <f>IF(IFERROR(VLOOKUP(Users!E143,Credits!A:A,1,FALSE),"NO")="NO","NO","YES")</f>
        <v>NO</v>
      </c>
      <c r="P145" t="s">
        <v>314</v>
      </c>
      <c r="Q145" t="str">
        <f>IF(SUM('User Engagement'!I145:J145)&gt;=0,"YES", "NO")</f>
        <v>YES</v>
      </c>
    </row>
    <row r="146" spans="1:17" ht="16" x14ac:dyDescent="0.2">
      <c r="A146">
        <f>Users!A144</f>
        <v>0</v>
      </c>
      <c r="C146" s="29" t="e">
        <f>VLOOKUP(A146,Users!A:D,2,FALSE)</f>
        <v>#N/A</v>
      </c>
      <c r="D146" s="29" t="e">
        <f>VLOOKUP(A146,Users!A:D,3,FALSE)</f>
        <v>#N/A</v>
      </c>
      <c r="E146" s="139">
        <f>COUNTIF(Visits!Y:Y,'Summer Challenge'!A146)</f>
        <v>0</v>
      </c>
      <c r="G146" t="e" cm="1">
        <f t="array" ref="G146">SUM(--(FREQUENCY(IF(Visits!E:E='Summer Challenge'!A146,Visits!Z:Z),Visits!Z:Z)&gt;0))</f>
        <v>#N/A</v>
      </c>
      <c r="H146">
        <f>SUMIF(Visits!E:E,'Summer Challenge'!A146,Visits!Z:Z)</f>
        <v>0</v>
      </c>
      <c r="J146" s="147">
        <f t="shared" si="6"/>
        <v>0</v>
      </c>
      <c r="K146" s="147"/>
      <c r="L146" s="5">
        <f>SUMIF(Visits!E:E,'Summer Challenge'!A146,Visits!J:J)</f>
        <v>0</v>
      </c>
      <c r="M146" s="5">
        <f t="shared" si="7"/>
        <v>0</v>
      </c>
      <c r="N146" s="5"/>
      <c r="O146" t="str">
        <f>IF(IFERROR(VLOOKUP(Users!E144,Credits!A:A,1,FALSE),"NO")="NO","NO","YES")</f>
        <v>NO</v>
      </c>
      <c r="P146" t="s">
        <v>314</v>
      </c>
      <c r="Q146" t="str">
        <f>IF(SUM('User Engagement'!I146:J146)&gt;=0,"YES", "NO")</f>
        <v>YES</v>
      </c>
    </row>
    <row r="147" spans="1:17" ht="16" x14ac:dyDescent="0.2">
      <c r="A147">
        <f>Users!A145</f>
        <v>0</v>
      </c>
      <c r="C147" s="29" t="e">
        <f>VLOOKUP(A147,Users!A:D,2,FALSE)</f>
        <v>#N/A</v>
      </c>
      <c r="D147" s="29" t="e">
        <f>VLOOKUP(A147,Users!A:D,3,FALSE)</f>
        <v>#N/A</v>
      </c>
      <c r="E147" s="139">
        <f>COUNTIF(Visits!Y:Y,'Summer Challenge'!A147)</f>
        <v>0</v>
      </c>
      <c r="G147" t="e" cm="1">
        <f t="array" ref="G147">SUM(--(FREQUENCY(IF(Visits!E:E='Summer Challenge'!A147,Visits!Z:Z),Visits!Z:Z)&gt;0))</f>
        <v>#N/A</v>
      </c>
      <c r="H147">
        <f>SUMIF(Visits!E:E,'Summer Challenge'!A147,Visits!Z:Z)</f>
        <v>0</v>
      </c>
      <c r="J147" s="147">
        <f t="shared" si="6"/>
        <v>0</v>
      </c>
      <c r="K147" s="147"/>
      <c r="L147" s="5">
        <f>SUMIF(Visits!E:E,'Summer Challenge'!A147,Visits!J:J)</f>
        <v>0</v>
      </c>
      <c r="M147" s="5">
        <f t="shared" si="7"/>
        <v>0</v>
      </c>
      <c r="N147" s="5"/>
      <c r="O147" t="str">
        <f>IF(IFERROR(VLOOKUP(Users!E145,Credits!A:A,1,FALSE),"NO")="NO","NO","YES")</f>
        <v>NO</v>
      </c>
      <c r="P147" t="s">
        <v>314</v>
      </c>
      <c r="Q147" t="str">
        <f>IF(SUM('User Engagement'!I147:J147)&gt;=0,"YES", "NO")</f>
        <v>YES</v>
      </c>
    </row>
    <row r="148" spans="1:17" ht="16" x14ac:dyDescent="0.2">
      <c r="A148">
        <f>Users!A146</f>
        <v>0</v>
      </c>
      <c r="C148" s="29" t="e">
        <f>VLOOKUP(A148,Users!A:D,2,FALSE)</f>
        <v>#N/A</v>
      </c>
      <c r="D148" s="29" t="e">
        <f>VLOOKUP(A148,Users!A:D,3,FALSE)</f>
        <v>#N/A</v>
      </c>
      <c r="E148" s="139">
        <f>COUNTIF(Visits!Y:Y,'Summer Challenge'!A148)</f>
        <v>0</v>
      </c>
      <c r="G148" t="e" cm="1">
        <f t="array" ref="G148">SUM(--(FREQUENCY(IF(Visits!E:E='Summer Challenge'!A148,Visits!Z:Z),Visits!Z:Z)&gt;0))</f>
        <v>#N/A</v>
      </c>
      <c r="H148">
        <f>SUMIF(Visits!E:E,'Summer Challenge'!A148,Visits!Z:Z)</f>
        <v>0</v>
      </c>
      <c r="J148" s="147">
        <f t="shared" si="6"/>
        <v>0</v>
      </c>
      <c r="K148" s="147"/>
      <c r="L148" s="5">
        <f>SUMIF(Visits!E:E,'Summer Challenge'!A148,Visits!J:J)</f>
        <v>0</v>
      </c>
      <c r="M148" s="5">
        <f t="shared" si="7"/>
        <v>0</v>
      </c>
      <c r="N148" s="5"/>
      <c r="O148" t="str">
        <f>IF(IFERROR(VLOOKUP(Users!E146,Credits!A:A,1,FALSE),"NO")="NO","NO","YES")</f>
        <v>NO</v>
      </c>
      <c r="P148" t="s">
        <v>314</v>
      </c>
      <c r="Q148" t="str">
        <f>IF(SUM('User Engagement'!I148:J148)&gt;=0,"YES", "NO")</f>
        <v>YES</v>
      </c>
    </row>
    <row r="149" spans="1:17" ht="16" x14ac:dyDescent="0.2">
      <c r="A149">
        <f>Users!A147</f>
        <v>0</v>
      </c>
      <c r="C149" s="29" t="e">
        <f>VLOOKUP(A149,Users!A:D,2,FALSE)</f>
        <v>#N/A</v>
      </c>
      <c r="D149" s="29" t="e">
        <f>VLOOKUP(A149,Users!A:D,3,FALSE)</f>
        <v>#N/A</v>
      </c>
      <c r="E149" s="139">
        <f>COUNTIF(Visits!Y:Y,'Summer Challenge'!A149)</f>
        <v>0</v>
      </c>
      <c r="G149" t="e" cm="1">
        <f t="array" ref="G149">SUM(--(FREQUENCY(IF(Visits!E:E='Summer Challenge'!A149,Visits!Z:Z),Visits!Z:Z)&gt;0))</f>
        <v>#N/A</v>
      </c>
      <c r="H149">
        <f>SUMIF(Visits!E:E,'Summer Challenge'!A149,Visits!Z:Z)</f>
        <v>0</v>
      </c>
      <c r="J149" s="147">
        <f t="shared" si="6"/>
        <v>0</v>
      </c>
      <c r="K149" s="147"/>
      <c r="L149" s="5">
        <f>SUMIF(Visits!E:E,'Summer Challenge'!A149,Visits!J:J)</f>
        <v>0</v>
      </c>
      <c r="M149" s="5">
        <f t="shared" si="7"/>
        <v>0</v>
      </c>
      <c r="N149" s="5"/>
      <c r="O149" t="str">
        <f>IF(IFERROR(VLOOKUP(Users!E147,Credits!A:A,1,FALSE),"NO")="NO","NO","YES")</f>
        <v>NO</v>
      </c>
      <c r="P149" t="s">
        <v>314</v>
      </c>
      <c r="Q149" t="str">
        <f>IF(SUM('User Engagement'!I149:J149)&gt;=0,"YES", "NO")</f>
        <v>YES</v>
      </c>
    </row>
    <row r="150" spans="1:17" ht="16" x14ac:dyDescent="0.2">
      <c r="A150">
        <f>Users!A148</f>
        <v>0</v>
      </c>
      <c r="C150" s="29" t="e">
        <f>VLOOKUP(A150,Users!A:D,2,FALSE)</f>
        <v>#N/A</v>
      </c>
      <c r="D150" s="29" t="e">
        <f>VLOOKUP(A150,Users!A:D,3,FALSE)</f>
        <v>#N/A</v>
      </c>
      <c r="E150" s="139">
        <f>COUNTIF(Visits!Y:Y,'Summer Challenge'!A150)</f>
        <v>0</v>
      </c>
      <c r="F150" s="141">
        <v>-5</v>
      </c>
      <c r="G150" t="e" cm="1">
        <f t="array" ref="G150">SUM(--(FREQUENCY(IF(Visits!E:E='Summer Challenge'!A150,Visits!Z:Z),Visits!Z:Z)&gt;0))</f>
        <v>#N/A</v>
      </c>
      <c r="H150">
        <f>SUMIF(Visits!E:E,'Summer Challenge'!A150,Visits!Z:Z)</f>
        <v>0</v>
      </c>
      <c r="J150" s="147">
        <f t="shared" si="6"/>
        <v>0</v>
      </c>
      <c r="K150" s="147"/>
      <c r="L150" s="5">
        <f>SUMIF(Visits!E:E,'Summer Challenge'!A150,Visits!J:J)</f>
        <v>0</v>
      </c>
      <c r="M150" s="5">
        <f t="shared" si="7"/>
        <v>0</v>
      </c>
      <c r="N150" s="146"/>
      <c r="O150" t="str">
        <f>IF(IFERROR(VLOOKUP(Users!E148,Credits!A:A,1,FALSE),"NO")="NO","NO","YES")</f>
        <v>NO</v>
      </c>
      <c r="P150" t="s">
        <v>314</v>
      </c>
      <c r="Q150" t="str">
        <f>IF(SUM('User Engagement'!I150:J150)&gt;=0,"YES", "NO")</f>
        <v>YES</v>
      </c>
    </row>
    <row r="151" spans="1:17" ht="16" x14ac:dyDescent="0.2">
      <c r="A151">
        <f>Users!A149</f>
        <v>0</v>
      </c>
      <c r="C151" s="29" t="e">
        <f>VLOOKUP(A151,Users!A:D,2,FALSE)</f>
        <v>#N/A</v>
      </c>
      <c r="D151" s="29" t="e">
        <f>VLOOKUP(A151,Users!A:D,3,FALSE)</f>
        <v>#N/A</v>
      </c>
      <c r="E151" s="139">
        <f>COUNTIF(Visits!Y:Y,'Summer Challenge'!A151)</f>
        <v>0</v>
      </c>
      <c r="G151" t="e" cm="1">
        <f t="array" ref="G151">SUM(--(FREQUENCY(IF(Visits!E:E='Summer Challenge'!A151,Visits!Z:Z),Visits!Z:Z)&gt;0))</f>
        <v>#N/A</v>
      </c>
      <c r="H151">
        <f>SUMIF(Visits!E:E,'Summer Challenge'!A151,Visits!Z:Z)</f>
        <v>0</v>
      </c>
      <c r="J151" s="147">
        <f t="shared" si="6"/>
        <v>0</v>
      </c>
      <c r="K151" s="147"/>
      <c r="L151" s="5">
        <f>SUMIF(Visits!E:E,'Summer Challenge'!A151,Visits!J:J)</f>
        <v>0</v>
      </c>
      <c r="M151" s="5">
        <f t="shared" si="7"/>
        <v>0</v>
      </c>
      <c r="N151" s="5"/>
      <c r="O151" t="str">
        <f>IF(IFERROR(VLOOKUP(Users!E149,Credits!A:A,1,FALSE),"NO")="NO","NO","YES")</f>
        <v>NO</v>
      </c>
      <c r="P151" t="s">
        <v>314</v>
      </c>
      <c r="Q151" t="str">
        <f>IF(SUM('User Engagement'!I151:J151)&gt;=0,"YES", "NO")</f>
        <v>YES</v>
      </c>
    </row>
    <row r="152" spans="1:17" ht="16" x14ac:dyDescent="0.2">
      <c r="A152">
        <f>Users!A150</f>
        <v>0</v>
      </c>
      <c r="C152" s="29" t="e">
        <f>VLOOKUP(A152,Users!A:D,2,FALSE)</f>
        <v>#N/A</v>
      </c>
      <c r="D152" s="29" t="e">
        <f>VLOOKUP(A152,Users!A:D,3,FALSE)</f>
        <v>#N/A</v>
      </c>
      <c r="E152" s="139">
        <f>COUNTIF(Visits!Y:Y,'Summer Challenge'!A152)</f>
        <v>0</v>
      </c>
      <c r="G152" t="e" cm="1">
        <f t="array" ref="G152">SUM(--(FREQUENCY(IF(Visits!E:E='Summer Challenge'!A152,Visits!Z:Z),Visits!Z:Z)&gt;0))</f>
        <v>#N/A</v>
      </c>
      <c r="H152">
        <f>SUMIF(Visits!E:E,'Summer Challenge'!A152,Visits!Z:Z)</f>
        <v>0</v>
      </c>
      <c r="J152" s="147">
        <f t="shared" si="6"/>
        <v>0</v>
      </c>
      <c r="K152" s="147"/>
      <c r="L152" s="5">
        <f>SUMIF(Visits!E:E,'Summer Challenge'!A152,Visits!J:J)</f>
        <v>0</v>
      </c>
      <c r="M152" s="5">
        <f t="shared" si="7"/>
        <v>0</v>
      </c>
      <c r="N152" s="5"/>
      <c r="O152" t="str">
        <f>IF(IFERROR(VLOOKUP(Users!E150,Credits!A:A,1,FALSE),"NO")="NO","NO","YES")</f>
        <v>NO</v>
      </c>
      <c r="P152" t="s">
        <v>314</v>
      </c>
      <c r="Q152" t="str">
        <f>IF(SUM('User Engagement'!I152:J152)&gt;=0,"YES", "NO")</f>
        <v>YES</v>
      </c>
    </row>
    <row r="153" spans="1:17" ht="16" x14ac:dyDescent="0.2">
      <c r="A153">
        <f>Users!A151</f>
        <v>0</v>
      </c>
      <c r="C153" s="29" t="e">
        <f>VLOOKUP(A153,Users!A:D,2,FALSE)</f>
        <v>#N/A</v>
      </c>
      <c r="D153" s="29" t="e">
        <f>VLOOKUP(A153,Users!A:D,3,FALSE)</f>
        <v>#N/A</v>
      </c>
      <c r="E153" s="139">
        <f>COUNTIF(Visits!Y:Y,'Summer Challenge'!A153)</f>
        <v>0</v>
      </c>
      <c r="G153" t="e" cm="1">
        <f t="array" ref="G153">SUM(--(FREQUENCY(IF(Visits!E:E='Summer Challenge'!A153,Visits!Z:Z),Visits!Z:Z)&gt;0))</f>
        <v>#N/A</v>
      </c>
      <c r="H153">
        <f>SUMIF(Visits!E:E,'Summer Challenge'!A153,Visits!Z:Z)</f>
        <v>0</v>
      </c>
      <c r="J153" s="147">
        <f t="shared" si="6"/>
        <v>0</v>
      </c>
      <c r="K153" s="147"/>
      <c r="L153" s="5">
        <f>SUMIF(Visits!E:E,'Summer Challenge'!A153,Visits!J:J)</f>
        <v>0</v>
      </c>
      <c r="M153" s="5">
        <f t="shared" si="7"/>
        <v>0</v>
      </c>
      <c r="N153" s="146"/>
      <c r="O153" t="str">
        <f>IF(IFERROR(VLOOKUP(Users!E151,Credits!A:A,1,FALSE),"NO")="NO","NO","YES")</f>
        <v>NO</v>
      </c>
      <c r="P153" t="s">
        <v>314</v>
      </c>
      <c r="Q153" t="str">
        <f>IF(SUM('User Engagement'!I153:J153)&gt;=0,"YES", "NO")</f>
        <v>YES</v>
      </c>
    </row>
    <row r="154" spans="1:17" ht="16" x14ac:dyDescent="0.2">
      <c r="A154">
        <f>Users!A152</f>
        <v>0</v>
      </c>
      <c r="C154" s="29" t="e">
        <f>VLOOKUP(A154,Users!A:D,2,FALSE)</f>
        <v>#N/A</v>
      </c>
      <c r="D154" s="29" t="e">
        <f>VLOOKUP(A154,Users!A:D,3,FALSE)</f>
        <v>#N/A</v>
      </c>
      <c r="E154" s="139">
        <f>COUNTIF(Visits!Y:Y,'Summer Challenge'!A154)</f>
        <v>0</v>
      </c>
      <c r="G154" t="e" cm="1">
        <f t="array" ref="G154">SUM(--(FREQUENCY(IF(Visits!E:E='Summer Challenge'!A154,Visits!Z:Z),Visits!Z:Z)&gt;0))</f>
        <v>#N/A</v>
      </c>
      <c r="H154">
        <f>SUMIF(Visits!E:E,'Summer Challenge'!A154,Visits!Z:Z)</f>
        <v>0</v>
      </c>
      <c r="J154" s="147">
        <f t="shared" si="6"/>
        <v>0</v>
      </c>
      <c r="K154" s="147"/>
      <c r="L154" s="5">
        <f>SUMIF(Visits!E:E,'Summer Challenge'!A154,Visits!J:J)</f>
        <v>0</v>
      </c>
      <c r="M154" s="5">
        <f t="shared" si="7"/>
        <v>0</v>
      </c>
      <c r="N154" s="5"/>
      <c r="O154" t="str">
        <f>IF(IFERROR(VLOOKUP(Users!E152,Credits!A:A,1,FALSE),"NO")="NO","NO","YES")</f>
        <v>NO</v>
      </c>
      <c r="P154" t="s">
        <v>314</v>
      </c>
      <c r="Q154" t="str">
        <f>IF(SUM('User Engagement'!I154:J154)&gt;=0,"YES", "NO")</f>
        <v>YES</v>
      </c>
    </row>
    <row r="155" spans="1:17" ht="16" x14ac:dyDescent="0.2">
      <c r="A155">
        <f>Users!A153</f>
        <v>0</v>
      </c>
      <c r="C155" s="29" t="e">
        <f>VLOOKUP(A155,Users!A:D,2,FALSE)</f>
        <v>#N/A</v>
      </c>
      <c r="D155" s="29" t="e">
        <f>VLOOKUP(A155,Users!A:D,3,FALSE)</f>
        <v>#N/A</v>
      </c>
      <c r="E155" s="139">
        <f>COUNTIF(Visits!Y:Y,'Summer Challenge'!A155)</f>
        <v>0</v>
      </c>
      <c r="G155" t="e" cm="1">
        <f t="array" ref="G155">SUM(--(FREQUENCY(IF(Visits!E:E='Summer Challenge'!A155,Visits!Z:Z),Visits!Z:Z)&gt;0))</f>
        <v>#N/A</v>
      </c>
      <c r="H155">
        <f>SUMIF(Visits!E:E,'Summer Challenge'!A155,Visits!Z:Z)</f>
        <v>0</v>
      </c>
      <c r="J155" s="147">
        <f t="shared" si="6"/>
        <v>0</v>
      </c>
      <c r="K155" s="147"/>
      <c r="L155" s="5">
        <f>SUMIF(Visits!E:E,'Summer Challenge'!A155,Visits!J:J)</f>
        <v>0</v>
      </c>
      <c r="M155" s="5">
        <f t="shared" si="7"/>
        <v>0</v>
      </c>
      <c r="N155" s="5"/>
      <c r="O155" t="str">
        <f>IF(IFERROR(VLOOKUP(Users!E153,Credits!A:A,1,FALSE),"NO")="NO","NO","YES")</f>
        <v>NO</v>
      </c>
      <c r="P155" t="s">
        <v>314</v>
      </c>
      <c r="Q155" t="str">
        <f>IF(SUM('User Engagement'!I155:J155)&gt;=0,"YES", "NO")</f>
        <v>YES</v>
      </c>
    </row>
    <row r="156" spans="1:17" ht="16" x14ac:dyDescent="0.2">
      <c r="A156">
        <f>Users!A154</f>
        <v>0</v>
      </c>
      <c r="C156" s="29" t="e">
        <f>VLOOKUP(A156,Users!A:D,2,FALSE)</f>
        <v>#N/A</v>
      </c>
      <c r="D156" s="29" t="e">
        <f>VLOOKUP(A156,Users!A:D,3,FALSE)</f>
        <v>#N/A</v>
      </c>
      <c r="E156" s="139">
        <f>COUNTIF(Visits!Y:Y,'Summer Challenge'!A156)</f>
        <v>0</v>
      </c>
      <c r="G156" t="e" cm="1">
        <f t="array" ref="G156">SUM(--(FREQUENCY(IF(Visits!E:E='Summer Challenge'!A156,Visits!Z:Z),Visits!Z:Z)&gt;0))</f>
        <v>#N/A</v>
      </c>
      <c r="H156">
        <f>SUMIF(Visits!E:E,'Summer Challenge'!A156,Visits!Z:Z)</f>
        <v>0</v>
      </c>
      <c r="J156" s="147">
        <f t="shared" si="6"/>
        <v>0</v>
      </c>
      <c r="K156" s="147"/>
      <c r="L156" s="5">
        <f>SUMIF(Visits!E:E,'Summer Challenge'!A156,Visits!J:J)</f>
        <v>0</v>
      </c>
      <c r="M156" s="5">
        <f t="shared" si="7"/>
        <v>0</v>
      </c>
      <c r="N156" s="5"/>
      <c r="O156" t="str">
        <f>IF(IFERROR(VLOOKUP(Users!E154,Credits!A:A,1,FALSE),"NO")="NO","NO","YES")</f>
        <v>NO</v>
      </c>
      <c r="P156" t="s">
        <v>314</v>
      </c>
      <c r="Q156" t="str">
        <f>IF(SUM('User Engagement'!I156:J156)&gt;=0,"YES", "NO")</f>
        <v>YES</v>
      </c>
    </row>
    <row r="157" spans="1:17" ht="16" x14ac:dyDescent="0.2">
      <c r="A157">
        <f>Users!A155</f>
        <v>0</v>
      </c>
      <c r="C157" s="29" t="e">
        <f>VLOOKUP(A157,Users!A:D,2,FALSE)</f>
        <v>#N/A</v>
      </c>
      <c r="D157" s="29" t="e">
        <f>VLOOKUP(A157,Users!A:D,3,FALSE)</f>
        <v>#N/A</v>
      </c>
      <c r="E157" s="139">
        <f>COUNTIF(Visits!Y:Y,'Summer Challenge'!A157)</f>
        <v>0</v>
      </c>
      <c r="G157" t="e" cm="1">
        <f t="array" ref="G157">SUM(--(FREQUENCY(IF(Visits!E:E='Summer Challenge'!A157,Visits!Z:Z),Visits!Z:Z)&gt;0))</f>
        <v>#N/A</v>
      </c>
      <c r="H157">
        <f>SUMIF(Visits!E:E,'Summer Challenge'!A157,Visits!Z:Z)</f>
        <v>0</v>
      </c>
      <c r="J157" s="147">
        <f t="shared" si="6"/>
        <v>0</v>
      </c>
      <c r="K157" s="147"/>
      <c r="L157" s="5">
        <f>SUMIF(Visits!E:E,'Summer Challenge'!A157,Visits!J:J)</f>
        <v>0</v>
      </c>
      <c r="M157" s="5">
        <f t="shared" si="7"/>
        <v>0</v>
      </c>
      <c r="N157" s="5"/>
      <c r="O157" t="str">
        <f>IF(IFERROR(VLOOKUP(Users!E155,Credits!A:A,1,FALSE),"NO")="NO","NO","YES")</f>
        <v>NO</v>
      </c>
      <c r="P157" t="s">
        <v>314</v>
      </c>
      <c r="Q157" t="str">
        <f>IF(SUM('User Engagement'!I157:J157)&gt;=0,"YES", "NO")</f>
        <v>YES</v>
      </c>
    </row>
    <row r="158" spans="1:17" ht="16" x14ac:dyDescent="0.2">
      <c r="A158">
        <f>Users!A156</f>
        <v>0</v>
      </c>
      <c r="C158" s="29" t="e">
        <f>VLOOKUP(A158,Users!A:D,2,FALSE)</f>
        <v>#N/A</v>
      </c>
      <c r="D158" s="29" t="e">
        <f>VLOOKUP(A158,Users!A:D,3,FALSE)</f>
        <v>#N/A</v>
      </c>
      <c r="E158" s="139">
        <f>COUNTIF(Visits!Y:Y,'Summer Challenge'!A158)</f>
        <v>0</v>
      </c>
      <c r="G158" t="e" cm="1">
        <f t="array" ref="G158">SUM(--(FREQUENCY(IF(Visits!E:E='Summer Challenge'!A158,Visits!Z:Z),Visits!Z:Z)&gt;0))</f>
        <v>#N/A</v>
      </c>
      <c r="H158">
        <f>SUMIF(Visits!E:E,'Summer Challenge'!A158,Visits!Z:Z)</f>
        <v>0</v>
      </c>
      <c r="J158" s="147">
        <f t="shared" si="6"/>
        <v>0</v>
      </c>
      <c r="K158" s="147"/>
      <c r="L158" s="5">
        <f>SUMIF(Visits!E:E,'Summer Challenge'!A158,Visits!J:J)</f>
        <v>0</v>
      </c>
      <c r="M158" s="5">
        <f t="shared" si="7"/>
        <v>0</v>
      </c>
      <c r="N158" s="5"/>
      <c r="O158" t="str">
        <f>IF(IFERROR(VLOOKUP(Users!E156,Credits!A:A,1,FALSE),"NO")="NO","NO","YES")</f>
        <v>NO</v>
      </c>
      <c r="P158" t="s">
        <v>314</v>
      </c>
      <c r="Q158" t="str">
        <f>IF(SUM('User Engagement'!I158:J158)&gt;=0,"YES", "NO")</f>
        <v>YES</v>
      </c>
    </row>
    <row r="159" spans="1:17" ht="16" x14ac:dyDescent="0.2">
      <c r="A159">
        <f>Users!A157</f>
        <v>0</v>
      </c>
      <c r="C159" s="29" t="e">
        <f>VLOOKUP(A159,Users!A:D,2,FALSE)</f>
        <v>#N/A</v>
      </c>
      <c r="D159" s="29" t="e">
        <f>VLOOKUP(A159,Users!A:D,3,FALSE)</f>
        <v>#N/A</v>
      </c>
      <c r="E159" s="139">
        <f>COUNTIF(Visits!Y:Y,'Summer Challenge'!A159)</f>
        <v>0</v>
      </c>
      <c r="G159" t="e" cm="1">
        <f t="array" ref="G159">SUM(--(FREQUENCY(IF(Visits!E:E='Summer Challenge'!A159,Visits!Z:Z),Visits!Z:Z)&gt;0))</f>
        <v>#N/A</v>
      </c>
      <c r="H159">
        <f>SUMIF(Visits!E:E,'Summer Challenge'!A159,Visits!Z:Z)</f>
        <v>0</v>
      </c>
      <c r="J159" s="147">
        <f t="shared" si="6"/>
        <v>0</v>
      </c>
      <c r="K159" s="147"/>
      <c r="L159" s="5">
        <f>SUMIF(Visits!E:E,'Summer Challenge'!A159,Visits!J:J)</f>
        <v>0</v>
      </c>
      <c r="M159" s="5">
        <f t="shared" si="7"/>
        <v>0</v>
      </c>
      <c r="N159" s="5"/>
      <c r="O159" t="str">
        <f>IF(IFERROR(VLOOKUP(Users!E157,Credits!A:A,1,FALSE),"NO")="NO","NO","YES")</f>
        <v>NO</v>
      </c>
      <c r="P159" t="s">
        <v>314</v>
      </c>
      <c r="Q159" t="str">
        <f>IF(SUM('User Engagement'!I159:J159)&gt;=0,"YES", "NO")</f>
        <v>YES</v>
      </c>
    </row>
    <row r="160" spans="1:17" ht="16" x14ac:dyDescent="0.2">
      <c r="A160">
        <f>Users!A158</f>
        <v>0</v>
      </c>
      <c r="C160" s="29" t="e">
        <f>VLOOKUP(A160,Users!A:D,2,FALSE)</f>
        <v>#N/A</v>
      </c>
      <c r="D160" s="29" t="e">
        <f>VLOOKUP(A160,Users!A:D,3,FALSE)</f>
        <v>#N/A</v>
      </c>
      <c r="E160" s="139">
        <f>COUNTIF(Visits!Y:Y,'Summer Challenge'!A160)</f>
        <v>0</v>
      </c>
      <c r="G160" t="e" cm="1">
        <f t="array" ref="G160">SUM(--(FREQUENCY(IF(Visits!E:E='Summer Challenge'!A160,Visits!Z:Z),Visits!Z:Z)&gt;0))</f>
        <v>#N/A</v>
      </c>
      <c r="H160">
        <f>SUMIF(Visits!E:E,'Summer Challenge'!A160,Visits!Z:Z)</f>
        <v>0</v>
      </c>
      <c r="J160" s="147">
        <f t="shared" si="6"/>
        <v>0</v>
      </c>
      <c r="K160" s="147"/>
      <c r="L160" s="5">
        <f>SUMIF(Visits!E:E,'Summer Challenge'!A160,Visits!J:J)</f>
        <v>0</v>
      </c>
      <c r="M160" s="5">
        <f t="shared" si="7"/>
        <v>0</v>
      </c>
      <c r="N160" s="5"/>
      <c r="O160" t="str">
        <f>IF(IFERROR(VLOOKUP(Users!E158,Credits!A:A,1,FALSE),"NO")="NO","NO","YES")</f>
        <v>NO</v>
      </c>
      <c r="P160" t="s">
        <v>314</v>
      </c>
      <c r="Q160" t="str">
        <f>IF(SUM('User Engagement'!I160:J160)&gt;=0,"YES", "NO")</f>
        <v>YES</v>
      </c>
    </row>
    <row r="161" spans="1:17" ht="16" x14ac:dyDescent="0.2">
      <c r="A161">
        <f>Users!A159</f>
        <v>0</v>
      </c>
      <c r="C161" s="29" t="e">
        <f>VLOOKUP(A161,Users!A:D,2,FALSE)</f>
        <v>#N/A</v>
      </c>
      <c r="D161" s="29" t="e">
        <f>VLOOKUP(A161,Users!A:D,3,FALSE)</f>
        <v>#N/A</v>
      </c>
      <c r="E161" s="139">
        <f>COUNTIF(Visits!Y:Y,'Summer Challenge'!A161)</f>
        <v>0</v>
      </c>
      <c r="G161" t="e" cm="1">
        <f t="array" ref="G161">SUM(--(FREQUENCY(IF(Visits!E:E='Summer Challenge'!A161,Visits!Z:Z),Visits!Z:Z)&gt;0))</f>
        <v>#N/A</v>
      </c>
      <c r="H161">
        <f>SUMIF(Visits!E:E,'Summer Challenge'!A161,Visits!Z:Z)</f>
        <v>0</v>
      </c>
      <c r="J161" s="147">
        <f t="shared" si="6"/>
        <v>0</v>
      </c>
      <c r="K161" s="147"/>
      <c r="L161" s="5">
        <f>SUMIF(Visits!E:E,'Summer Challenge'!A161,Visits!J:J)</f>
        <v>0</v>
      </c>
      <c r="M161" s="5">
        <f t="shared" si="7"/>
        <v>0</v>
      </c>
      <c r="N161" s="146"/>
      <c r="O161" t="str">
        <f>IF(IFERROR(VLOOKUP(Users!E159,Credits!A:A,1,FALSE),"NO")="NO","NO","YES")</f>
        <v>NO</v>
      </c>
      <c r="P161" t="s">
        <v>314</v>
      </c>
      <c r="Q161" t="str">
        <f>IF(SUM('User Engagement'!I161:J161)&gt;=0,"YES", "NO")</f>
        <v>YES</v>
      </c>
    </row>
    <row r="162" spans="1:17" ht="16" x14ac:dyDescent="0.2">
      <c r="A162">
        <f>Users!A160</f>
        <v>0</v>
      </c>
      <c r="C162" s="29" t="e">
        <f>VLOOKUP(A162,Users!A:D,2,FALSE)</f>
        <v>#N/A</v>
      </c>
      <c r="D162" s="29" t="e">
        <f>VLOOKUP(A162,Users!A:D,3,FALSE)</f>
        <v>#N/A</v>
      </c>
      <c r="E162" s="139">
        <f>COUNTIF(Visits!Y:Y,'Summer Challenge'!A162)</f>
        <v>0</v>
      </c>
      <c r="G162" t="e" cm="1">
        <f t="array" ref="G162">SUM(--(FREQUENCY(IF(Visits!E:E='Summer Challenge'!A162,Visits!Z:Z),Visits!Z:Z)&gt;0))</f>
        <v>#N/A</v>
      </c>
      <c r="H162">
        <f>SUMIF(Visits!E:E,'Summer Challenge'!A162,Visits!Z:Z)</f>
        <v>0</v>
      </c>
      <c r="J162" s="147">
        <f t="shared" si="6"/>
        <v>0</v>
      </c>
      <c r="K162" s="147"/>
      <c r="L162" s="5">
        <f>SUMIF(Visits!E:E,'Summer Challenge'!A162,Visits!J:J)</f>
        <v>0</v>
      </c>
      <c r="M162" s="5">
        <f t="shared" si="7"/>
        <v>0</v>
      </c>
      <c r="N162" s="5"/>
      <c r="O162" t="str">
        <f>IF(IFERROR(VLOOKUP(Users!E160,Credits!A:A,1,FALSE),"NO")="NO","NO","YES")</f>
        <v>NO</v>
      </c>
      <c r="P162" t="s">
        <v>314</v>
      </c>
      <c r="Q162" t="str">
        <f>IF(SUM('User Engagement'!I162:J162)&gt;=0,"YES", "NO")</f>
        <v>YES</v>
      </c>
    </row>
    <row r="163" spans="1:17" ht="16" x14ac:dyDescent="0.2">
      <c r="A163">
        <f>Users!A161</f>
        <v>0</v>
      </c>
      <c r="C163" s="29" t="e">
        <f>VLOOKUP(A163,Users!A:D,2,FALSE)</f>
        <v>#N/A</v>
      </c>
      <c r="D163" s="29" t="e">
        <f>VLOOKUP(A163,Users!A:D,3,FALSE)</f>
        <v>#N/A</v>
      </c>
      <c r="E163" s="139">
        <f>COUNTIF(Visits!Y:Y,'Summer Challenge'!A163)</f>
        <v>0</v>
      </c>
      <c r="G163" t="e" cm="1">
        <f t="array" ref="G163">SUM(--(FREQUENCY(IF(Visits!E:E='Summer Challenge'!A163,Visits!Z:Z),Visits!Z:Z)&gt;0))</f>
        <v>#N/A</v>
      </c>
      <c r="H163">
        <f>SUMIF(Visits!E:E,'Summer Challenge'!A163,Visits!Z:Z)</f>
        <v>0</v>
      </c>
      <c r="J163" s="147">
        <f t="shared" si="6"/>
        <v>0</v>
      </c>
      <c r="K163" s="147"/>
      <c r="L163" s="5">
        <f>SUMIF(Visits!E:E,'Summer Challenge'!A163,Visits!J:J)</f>
        <v>0</v>
      </c>
      <c r="M163" s="5">
        <f t="shared" si="7"/>
        <v>0</v>
      </c>
      <c r="N163" s="5"/>
      <c r="O163" t="str">
        <f>IF(IFERROR(VLOOKUP(Users!E161,Credits!A:A,1,FALSE),"NO")="NO","NO","YES")</f>
        <v>NO</v>
      </c>
      <c r="P163" t="s">
        <v>314</v>
      </c>
      <c r="Q163" t="str">
        <f>IF(SUM('User Engagement'!I163:J163)&gt;=0,"YES", "NO")</f>
        <v>YES</v>
      </c>
    </row>
    <row r="164" spans="1:17" ht="16" x14ac:dyDescent="0.2">
      <c r="A164">
        <f>Users!A162</f>
        <v>0</v>
      </c>
      <c r="C164" s="29" t="e">
        <f>VLOOKUP(A164,Users!A:D,2,FALSE)</f>
        <v>#N/A</v>
      </c>
      <c r="D164" s="29" t="e">
        <f>VLOOKUP(A164,Users!A:D,3,FALSE)</f>
        <v>#N/A</v>
      </c>
      <c r="E164" s="139">
        <f>COUNTIF(Visits!Y:Y,'Summer Challenge'!A164)</f>
        <v>0</v>
      </c>
      <c r="G164" t="e" cm="1">
        <f t="array" ref="G164">SUM(--(FREQUENCY(IF(Visits!E:E='Summer Challenge'!A164,Visits!Z:Z),Visits!Z:Z)&gt;0))</f>
        <v>#N/A</v>
      </c>
      <c r="H164">
        <f>SUMIF(Visits!E:E,'Summer Challenge'!A164,Visits!Z:Z)</f>
        <v>0</v>
      </c>
      <c r="J164" s="147">
        <f t="shared" si="6"/>
        <v>0</v>
      </c>
      <c r="K164" s="147"/>
      <c r="L164" s="5">
        <f>SUMIF(Visits!E:E,'Summer Challenge'!A164,Visits!J:J)</f>
        <v>0</v>
      </c>
      <c r="M164" s="5">
        <f t="shared" si="7"/>
        <v>0</v>
      </c>
      <c r="N164" s="148" t="s">
        <v>343</v>
      </c>
      <c r="O164" t="str">
        <f>IF(IFERROR(VLOOKUP(Users!E162,Credits!A:A,1,FALSE),"NO")="NO","NO","YES")</f>
        <v>NO</v>
      </c>
      <c r="P164" t="s">
        <v>314</v>
      </c>
      <c r="Q164" t="str">
        <f>IF(SUM('User Engagement'!I164:J164)&gt;=0,"YES", "NO")</f>
        <v>YES</v>
      </c>
    </row>
    <row r="165" spans="1:17" ht="16" x14ac:dyDescent="0.2">
      <c r="A165">
        <f>Users!A163</f>
        <v>0</v>
      </c>
      <c r="C165" s="29" t="e">
        <f>VLOOKUP(A165,Users!A:D,2,FALSE)</f>
        <v>#N/A</v>
      </c>
      <c r="D165" s="29" t="e">
        <f>VLOOKUP(A165,Users!A:D,3,FALSE)</f>
        <v>#N/A</v>
      </c>
      <c r="E165" s="139">
        <f>COUNTIF(Visits!Y:Y,'Summer Challenge'!A165)</f>
        <v>0</v>
      </c>
      <c r="G165" t="e" cm="1">
        <f t="array" ref="G165">SUM(--(FREQUENCY(IF(Visits!E:E='Summer Challenge'!A165,Visits!Z:Z),Visits!Z:Z)&gt;0))</f>
        <v>#N/A</v>
      </c>
      <c r="H165">
        <f>SUMIF(Visits!E:E,'Summer Challenge'!A165,Visits!Z:Z)</f>
        <v>0</v>
      </c>
      <c r="J165" s="147">
        <f t="shared" si="6"/>
        <v>0</v>
      </c>
      <c r="K165" s="147"/>
      <c r="L165" s="5">
        <f>SUMIF(Visits!E:E,'Summer Challenge'!A165,Visits!J:J)</f>
        <v>0</v>
      </c>
      <c r="M165" s="5">
        <f t="shared" si="7"/>
        <v>0</v>
      </c>
      <c r="N165" s="146"/>
      <c r="O165" t="str">
        <f>IF(IFERROR(VLOOKUP(Users!E163,Credits!A:A,1,FALSE),"NO")="NO","NO","YES")</f>
        <v>NO</v>
      </c>
      <c r="P165" t="s">
        <v>314</v>
      </c>
      <c r="Q165" t="str">
        <f>IF(SUM('User Engagement'!I165:J165)&gt;=0,"YES", "NO")</f>
        <v>YES</v>
      </c>
    </row>
    <row r="166" spans="1:17" ht="16" x14ac:dyDescent="0.2">
      <c r="A166">
        <f>Users!A164</f>
        <v>0</v>
      </c>
      <c r="C166" s="29" t="e">
        <f>VLOOKUP(A166,Users!A:D,2,FALSE)</f>
        <v>#N/A</v>
      </c>
      <c r="D166" s="29" t="e">
        <f>VLOOKUP(A166,Users!A:D,3,FALSE)</f>
        <v>#N/A</v>
      </c>
      <c r="E166" s="139">
        <f>COUNTIF(Visits!Y:Y,'Summer Challenge'!A166)</f>
        <v>0</v>
      </c>
      <c r="G166" t="e" cm="1">
        <f t="array" ref="G166">SUM(--(FREQUENCY(IF(Visits!E:E='Summer Challenge'!A166,Visits!Z:Z),Visits!Z:Z)&gt;0))</f>
        <v>#N/A</v>
      </c>
      <c r="H166">
        <f>SUMIF(Visits!E:E,'Summer Challenge'!A166,Visits!Z:Z)</f>
        <v>0</v>
      </c>
      <c r="J166" s="147">
        <f t="shared" si="6"/>
        <v>0</v>
      </c>
      <c r="K166" s="147"/>
      <c r="L166" s="5">
        <f>SUMIF(Visits!E:E,'Summer Challenge'!A166,Visits!J:J)</f>
        <v>0</v>
      </c>
      <c r="M166" s="5">
        <f t="shared" si="7"/>
        <v>0</v>
      </c>
      <c r="N166" s="5"/>
      <c r="O166" t="str">
        <f>IF(IFERROR(VLOOKUP(Users!E164,Credits!A:A,1,FALSE),"NO")="NO","NO","YES")</f>
        <v>NO</v>
      </c>
      <c r="P166" t="s">
        <v>314</v>
      </c>
      <c r="Q166" t="str">
        <f>IF(SUM('User Engagement'!I166:J166)&gt;=0,"YES", "NO")</f>
        <v>YES</v>
      </c>
    </row>
    <row r="167" spans="1:17" ht="16" x14ac:dyDescent="0.2">
      <c r="A167">
        <f>Users!A165</f>
        <v>0</v>
      </c>
      <c r="C167" s="29" t="e">
        <f>VLOOKUP(A167,Users!A:D,2,FALSE)</f>
        <v>#N/A</v>
      </c>
      <c r="D167" s="29" t="e">
        <f>VLOOKUP(A167,Users!A:D,3,FALSE)</f>
        <v>#N/A</v>
      </c>
      <c r="E167" s="139">
        <f>COUNTIF(Visits!Y:Y,'Summer Challenge'!A167)</f>
        <v>0</v>
      </c>
      <c r="G167" t="e" cm="1">
        <f t="array" ref="G167">SUM(--(FREQUENCY(IF(Visits!E:E='Summer Challenge'!A167,Visits!Z:Z),Visits!Z:Z)&gt;0))</f>
        <v>#N/A</v>
      </c>
      <c r="H167">
        <f>SUMIF(Visits!E:E,'Summer Challenge'!A167,Visits!Z:Z)</f>
        <v>0</v>
      </c>
      <c r="J167" s="147">
        <f t="shared" si="6"/>
        <v>0</v>
      </c>
      <c r="K167" s="147"/>
      <c r="L167" s="5">
        <f>SUMIF(Visits!E:E,'Summer Challenge'!A167,Visits!J:J)</f>
        <v>0</v>
      </c>
      <c r="M167" s="5">
        <f t="shared" si="7"/>
        <v>0</v>
      </c>
      <c r="N167" s="5"/>
      <c r="O167" t="str">
        <f>IF(IFERROR(VLOOKUP(Users!E165,Credits!A:A,1,FALSE),"NO")="NO","NO","YES")</f>
        <v>NO</v>
      </c>
      <c r="P167" t="s">
        <v>314</v>
      </c>
      <c r="Q167" t="str">
        <f>IF(SUM('User Engagement'!I167:J167)&gt;=0,"YES", "NO")</f>
        <v>YES</v>
      </c>
    </row>
    <row r="168" spans="1:17" ht="16" x14ac:dyDescent="0.2">
      <c r="A168">
        <f>Users!A166</f>
        <v>0</v>
      </c>
      <c r="C168" s="29" t="e">
        <f>VLOOKUP(A168,Users!A:D,2,FALSE)</f>
        <v>#N/A</v>
      </c>
      <c r="D168" s="29" t="e">
        <f>VLOOKUP(A168,Users!A:D,3,FALSE)</f>
        <v>#N/A</v>
      </c>
      <c r="E168" s="139">
        <f>COUNTIF(Visits!Y:Y,'Summer Challenge'!A168)</f>
        <v>0</v>
      </c>
      <c r="G168" t="e" cm="1">
        <f t="array" ref="G168">SUM(--(FREQUENCY(IF(Visits!E:E='Summer Challenge'!A168,Visits!Z:Z),Visits!Z:Z)&gt;0))</f>
        <v>#N/A</v>
      </c>
      <c r="H168">
        <f>SUMIF(Visits!E:E,'Summer Challenge'!A168,Visits!Z:Z)</f>
        <v>0</v>
      </c>
      <c r="J168" s="147">
        <f t="shared" si="6"/>
        <v>0</v>
      </c>
      <c r="K168" s="147"/>
      <c r="L168" s="5">
        <f>SUMIF(Visits!E:E,'Summer Challenge'!A168,Visits!J:J)</f>
        <v>0</v>
      </c>
      <c r="M168" s="5">
        <f t="shared" si="7"/>
        <v>0</v>
      </c>
      <c r="N168" s="148" t="s">
        <v>343</v>
      </c>
      <c r="O168" t="str">
        <f>IF(IFERROR(VLOOKUP(Users!E166,Credits!A:A,1,FALSE),"NO")="NO","NO","YES")</f>
        <v>NO</v>
      </c>
      <c r="P168" t="s">
        <v>314</v>
      </c>
      <c r="Q168" t="str">
        <f>IF(SUM('User Engagement'!I168:J168)&gt;=0,"YES", "NO")</f>
        <v>YES</v>
      </c>
    </row>
    <row r="169" spans="1:17" ht="16" x14ac:dyDescent="0.2">
      <c r="A169">
        <f>Users!A167</f>
        <v>0</v>
      </c>
      <c r="C169" s="29" t="e">
        <f>VLOOKUP(A169,Users!A:D,2,FALSE)</f>
        <v>#N/A</v>
      </c>
      <c r="D169" s="29" t="e">
        <f>VLOOKUP(A169,Users!A:D,3,FALSE)</f>
        <v>#N/A</v>
      </c>
      <c r="E169" s="139">
        <f>COUNTIF(Visits!Y:Y,'Summer Challenge'!A169)</f>
        <v>0</v>
      </c>
      <c r="G169" t="e" cm="1">
        <f t="array" ref="G169">SUM(--(FREQUENCY(IF(Visits!E:E='Summer Challenge'!A169,Visits!Z:Z),Visits!Z:Z)&gt;0))</f>
        <v>#N/A</v>
      </c>
      <c r="H169">
        <f>SUMIF(Visits!E:E,'Summer Challenge'!A169,Visits!Z:Z)</f>
        <v>0</v>
      </c>
      <c r="J169" s="147">
        <f t="shared" si="6"/>
        <v>0</v>
      </c>
      <c r="K169" s="147"/>
      <c r="L169" s="5">
        <f>SUMIF(Visits!E:E,'Summer Challenge'!A169,Visits!J:J)</f>
        <v>0</v>
      </c>
      <c r="M169" s="5">
        <f t="shared" si="7"/>
        <v>0</v>
      </c>
      <c r="N169" s="5"/>
      <c r="O169" t="str">
        <f>IF(IFERROR(VLOOKUP(Users!E167,Credits!A:A,1,FALSE),"NO")="NO","NO","YES")</f>
        <v>NO</v>
      </c>
      <c r="P169" t="s">
        <v>314</v>
      </c>
      <c r="Q169" t="str">
        <f>IF(SUM('User Engagement'!I169:J169)&gt;=0,"YES", "NO")</f>
        <v>YES</v>
      </c>
    </row>
    <row r="170" spans="1:17" ht="16" x14ac:dyDescent="0.2">
      <c r="A170">
        <f>Users!A168</f>
        <v>0</v>
      </c>
      <c r="C170" s="29" t="e">
        <f>VLOOKUP(A170,Users!A:D,2,FALSE)</f>
        <v>#N/A</v>
      </c>
      <c r="D170" s="29" t="e">
        <f>VLOOKUP(A170,Users!A:D,3,FALSE)</f>
        <v>#N/A</v>
      </c>
      <c r="E170" s="139">
        <f>COUNTIF(Visits!Y:Y,'Summer Challenge'!A170)</f>
        <v>0</v>
      </c>
      <c r="G170" t="e" cm="1">
        <f t="array" ref="G170">SUM(--(FREQUENCY(IF(Visits!E:E='Summer Challenge'!A170,Visits!Z:Z),Visits!Z:Z)&gt;0))</f>
        <v>#N/A</v>
      </c>
      <c r="H170">
        <f>SUMIF(Visits!E:E,'Summer Challenge'!A170,Visits!Z:Z)</f>
        <v>0</v>
      </c>
      <c r="J170" s="147">
        <f t="shared" si="6"/>
        <v>0</v>
      </c>
      <c r="K170" s="147"/>
      <c r="L170" s="5">
        <f>SUMIF(Visits!E:E,'Summer Challenge'!A170,Visits!J:J)</f>
        <v>0</v>
      </c>
      <c r="M170" s="5">
        <f t="shared" si="7"/>
        <v>0</v>
      </c>
      <c r="N170" s="146" t="s">
        <v>343</v>
      </c>
      <c r="O170" t="str">
        <f>IF(IFERROR(VLOOKUP(Users!E168,Credits!A:A,1,FALSE),"NO")="NO","NO","YES")</f>
        <v>NO</v>
      </c>
      <c r="P170" t="s">
        <v>314</v>
      </c>
      <c r="Q170" t="str">
        <f>IF(SUM('User Engagement'!I170:J170)&gt;=0,"YES", "NO")</f>
        <v>YES</v>
      </c>
    </row>
    <row r="171" spans="1:17" ht="16" x14ac:dyDescent="0.2">
      <c r="A171">
        <f>Users!A169</f>
        <v>0</v>
      </c>
      <c r="C171" s="29" t="e">
        <f>VLOOKUP(A171,Users!A:D,2,FALSE)</f>
        <v>#N/A</v>
      </c>
      <c r="D171" s="29" t="e">
        <f>VLOOKUP(A171,Users!A:D,3,FALSE)</f>
        <v>#N/A</v>
      </c>
      <c r="E171" s="139">
        <f>COUNTIF(Visits!Y:Y,'Summer Challenge'!A171)</f>
        <v>0</v>
      </c>
      <c r="G171" t="e" cm="1">
        <f t="array" ref="G171">SUM(--(FREQUENCY(IF(Visits!E:E='Summer Challenge'!A171,Visits!Z:Z),Visits!Z:Z)&gt;0))</f>
        <v>#N/A</v>
      </c>
      <c r="H171">
        <f>SUMIF(Visits!E:E,'Summer Challenge'!A171,Visits!Z:Z)</f>
        <v>0</v>
      </c>
      <c r="J171" s="147">
        <f t="shared" ref="J171:J205" si="8">L171*10/2</f>
        <v>0</v>
      </c>
      <c r="K171" s="147"/>
      <c r="L171" s="5">
        <f>SUMIF(Visits!E:E,'Summer Challenge'!A171,Visits!J:J)</f>
        <v>0</v>
      </c>
      <c r="M171" s="5">
        <f t="shared" ref="M171:M202" si="9">L171*4</f>
        <v>0</v>
      </c>
      <c r="N171" s="5"/>
      <c r="O171" t="str">
        <f>IF(IFERROR(VLOOKUP(Users!E169,Credits!A:A,1,FALSE),"NO")="NO","NO","YES")</f>
        <v>NO</v>
      </c>
      <c r="P171" t="s">
        <v>314</v>
      </c>
      <c r="Q171" t="str">
        <f>IF(SUM('User Engagement'!I171:J171)&gt;=0,"YES", "NO")</f>
        <v>YES</v>
      </c>
    </row>
    <row r="172" spans="1:17" ht="16" x14ac:dyDescent="0.2">
      <c r="A172">
        <f>Users!A170</f>
        <v>0</v>
      </c>
      <c r="C172" s="29" t="e">
        <f>VLOOKUP(A172,Users!A:D,2,FALSE)</f>
        <v>#N/A</v>
      </c>
      <c r="D172" s="29" t="e">
        <f>VLOOKUP(A172,Users!A:D,3,FALSE)</f>
        <v>#N/A</v>
      </c>
      <c r="E172" s="139">
        <f>COUNTIF(Visits!Y:Y,'Summer Challenge'!A172)</f>
        <v>0</v>
      </c>
      <c r="G172" t="e" cm="1">
        <f t="array" ref="G172">SUM(--(FREQUENCY(IF(Visits!E:E='Summer Challenge'!A172,Visits!Z:Z),Visits!Z:Z)&gt;0))</f>
        <v>#N/A</v>
      </c>
      <c r="H172">
        <f>SUMIF(Visits!E:E,'Summer Challenge'!A172,Visits!Z:Z)</f>
        <v>0</v>
      </c>
      <c r="J172" s="147">
        <f t="shared" si="8"/>
        <v>0</v>
      </c>
      <c r="K172" s="147"/>
      <c r="L172" s="5">
        <f>SUMIF(Visits!E:E,'Summer Challenge'!A172,Visits!J:J)</f>
        <v>0</v>
      </c>
      <c r="M172" s="5">
        <f t="shared" si="9"/>
        <v>0</v>
      </c>
      <c r="N172" s="5"/>
      <c r="O172" t="str">
        <f>IF(IFERROR(VLOOKUP(Users!E170,Credits!A:A,1,FALSE),"NO")="NO","NO","YES")</f>
        <v>NO</v>
      </c>
      <c r="P172" t="s">
        <v>314</v>
      </c>
      <c r="Q172" t="str">
        <f>IF(SUM('User Engagement'!I172:J172)&gt;=0,"YES", "NO")</f>
        <v>YES</v>
      </c>
    </row>
    <row r="173" spans="1:17" ht="16" x14ac:dyDescent="0.2">
      <c r="A173">
        <f>Users!A171</f>
        <v>0</v>
      </c>
      <c r="C173" s="29" t="e">
        <f>VLOOKUP(A173,Users!A:D,2,FALSE)</f>
        <v>#N/A</v>
      </c>
      <c r="D173" s="29" t="e">
        <f>VLOOKUP(A173,Users!A:D,3,FALSE)</f>
        <v>#N/A</v>
      </c>
      <c r="E173" s="139">
        <f>COUNTIF(Visits!Y:Y,'Summer Challenge'!A173)</f>
        <v>0</v>
      </c>
      <c r="G173" t="e" cm="1">
        <f t="array" ref="G173">SUM(--(FREQUENCY(IF(Visits!E:E='Summer Challenge'!A173,Visits!Z:Z),Visits!Z:Z)&gt;0))</f>
        <v>#N/A</v>
      </c>
      <c r="H173">
        <f>SUMIF(Visits!E:E,'Summer Challenge'!A173,Visits!Z:Z)</f>
        <v>0</v>
      </c>
      <c r="J173" s="147">
        <f t="shared" si="8"/>
        <v>0</v>
      </c>
      <c r="K173" s="147"/>
      <c r="L173" s="5">
        <f>SUMIF(Visits!E:E,'Summer Challenge'!A173,Visits!J:J)</f>
        <v>0</v>
      </c>
      <c r="M173" s="5">
        <f t="shared" si="9"/>
        <v>0</v>
      </c>
      <c r="N173" s="5"/>
      <c r="O173" t="str">
        <f>IF(IFERROR(VLOOKUP(Users!E171,Credits!A:A,1,FALSE),"NO")="NO","NO","YES")</f>
        <v>NO</v>
      </c>
      <c r="P173" t="s">
        <v>314</v>
      </c>
      <c r="Q173" t="str">
        <f>IF(SUM('User Engagement'!I173:J173)&gt;=0,"YES", "NO")</f>
        <v>YES</v>
      </c>
    </row>
    <row r="174" spans="1:17" ht="16" x14ac:dyDescent="0.2">
      <c r="A174">
        <f>Users!A172</f>
        <v>0</v>
      </c>
      <c r="C174" s="29" t="e">
        <f>VLOOKUP(A174,Users!A:D,2,FALSE)</f>
        <v>#N/A</v>
      </c>
      <c r="D174" s="29" t="e">
        <f>VLOOKUP(A174,Users!A:D,3,FALSE)</f>
        <v>#N/A</v>
      </c>
      <c r="E174" s="139">
        <f>COUNTIF(Visits!Y:Y,'Summer Challenge'!A174)</f>
        <v>0</v>
      </c>
      <c r="G174" t="e" cm="1">
        <f t="array" ref="G174">SUM(--(FREQUENCY(IF(Visits!E:E='Summer Challenge'!A174,Visits!Z:Z),Visits!Z:Z)&gt;0))</f>
        <v>#N/A</v>
      </c>
      <c r="H174">
        <f>SUMIF(Visits!E:E,'Summer Challenge'!A174,Visits!Z:Z)</f>
        <v>0</v>
      </c>
      <c r="J174" s="147">
        <f t="shared" si="8"/>
        <v>0</v>
      </c>
      <c r="K174" s="147"/>
      <c r="L174" s="5">
        <f>SUMIF(Visits!E:E,'Summer Challenge'!A174,Visits!J:J)</f>
        <v>0</v>
      </c>
      <c r="M174" s="5">
        <f t="shared" si="9"/>
        <v>0</v>
      </c>
      <c r="N174" s="5"/>
      <c r="O174" t="str">
        <f>IF(IFERROR(VLOOKUP(Users!E172,Credits!A:A,1,FALSE),"NO")="NO","NO","YES")</f>
        <v>NO</v>
      </c>
      <c r="P174" t="s">
        <v>314</v>
      </c>
      <c r="Q174" t="str">
        <f>IF(SUM('User Engagement'!I174:J174)&gt;=0,"YES", "NO")</f>
        <v>YES</v>
      </c>
    </row>
    <row r="175" spans="1:17" ht="16" x14ac:dyDescent="0.2">
      <c r="A175">
        <f>Users!A173</f>
        <v>0</v>
      </c>
      <c r="C175" s="29" t="e">
        <f>VLOOKUP(A175,Users!A:D,2,FALSE)</f>
        <v>#N/A</v>
      </c>
      <c r="D175" s="29" t="e">
        <f>VLOOKUP(A175,Users!A:D,3,FALSE)</f>
        <v>#N/A</v>
      </c>
      <c r="E175" s="139">
        <f>COUNTIF(Visits!Y:Y,'Summer Challenge'!A175)</f>
        <v>0</v>
      </c>
      <c r="G175" t="e" cm="1">
        <f t="array" ref="G175">SUM(--(FREQUENCY(IF(Visits!E:E='Summer Challenge'!A175,Visits!Z:Z),Visits!Z:Z)&gt;0))</f>
        <v>#N/A</v>
      </c>
      <c r="H175">
        <f>SUMIF(Visits!E:E,'Summer Challenge'!A175,Visits!Z:Z)</f>
        <v>0</v>
      </c>
      <c r="J175" s="147">
        <f t="shared" si="8"/>
        <v>0</v>
      </c>
      <c r="K175" s="147"/>
      <c r="L175" s="5">
        <f>SUMIF(Visits!E:E,'Summer Challenge'!A175,Visits!J:J)</f>
        <v>0</v>
      </c>
      <c r="M175" s="5">
        <f t="shared" si="9"/>
        <v>0</v>
      </c>
      <c r="N175" s="5"/>
      <c r="O175" t="str">
        <f>IF(IFERROR(VLOOKUP(Users!E173,Credits!A:A,1,FALSE),"NO")="NO","NO","YES")</f>
        <v>NO</v>
      </c>
      <c r="P175" t="s">
        <v>314</v>
      </c>
      <c r="Q175" t="str">
        <f>IF(SUM('User Engagement'!I175:J175)&gt;=0,"YES", "NO")</f>
        <v>YES</v>
      </c>
    </row>
    <row r="176" spans="1:17" ht="16" x14ac:dyDescent="0.2">
      <c r="A176">
        <f>Users!A174</f>
        <v>0</v>
      </c>
      <c r="C176" s="29" t="e">
        <f>VLOOKUP(A176,Users!A:D,2,FALSE)</f>
        <v>#N/A</v>
      </c>
      <c r="D176" s="29" t="e">
        <f>VLOOKUP(A176,Users!A:D,3,FALSE)</f>
        <v>#N/A</v>
      </c>
      <c r="E176" s="139">
        <f>COUNTIF(Visits!Y:Y,'Summer Challenge'!A176)</f>
        <v>0</v>
      </c>
      <c r="G176" t="e" cm="1">
        <f t="array" ref="G176">SUM(--(FREQUENCY(IF(Visits!E:E='Summer Challenge'!A176,Visits!Z:Z),Visits!Z:Z)&gt;0))</f>
        <v>#N/A</v>
      </c>
      <c r="H176">
        <f>SUMIF(Visits!E:E,'Summer Challenge'!A176,Visits!Z:Z)</f>
        <v>0</v>
      </c>
      <c r="J176" s="147">
        <f t="shared" si="8"/>
        <v>0</v>
      </c>
      <c r="K176" s="147"/>
      <c r="L176" s="5">
        <f>SUMIF(Visits!E:E,'Summer Challenge'!A176,Visits!J:J)</f>
        <v>0</v>
      </c>
      <c r="M176" s="5">
        <f t="shared" si="9"/>
        <v>0</v>
      </c>
      <c r="N176" s="5"/>
      <c r="O176" t="str">
        <f>IF(IFERROR(VLOOKUP(Users!E174,Credits!A:A,1,FALSE),"NO")="NO","NO","YES")</f>
        <v>NO</v>
      </c>
      <c r="P176" t="s">
        <v>314</v>
      </c>
      <c r="Q176" t="str">
        <f>IF(SUM('User Engagement'!I176:J176)&gt;=0,"YES", "NO")</f>
        <v>YES</v>
      </c>
    </row>
    <row r="177" spans="1:17" ht="16" x14ac:dyDescent="0.2">
      <c r="A177">
        <f>Users!A175</f>
        <v>0</v>
      </c>
      <c r="C177" s="29" t="e">
        <f>VLOOKUP(A177,Users!A:D,2,FALSE)</f>
        <v>#N/A</v>
      </c>
      <c r="D177" s="29" t="e">
        <f>VLOOKUP(A177,Users!A:D,3,FALSE)</f>
        <v>#N/A</v>
      </c>
      <c r="E177" s="139">
        <f>COUNTIF(Visits!Y:Y,'Summer Challenge'!A177)</f>
        <v>0</v>
      </c>
      <c r="G177" t="e" cm="1">
        <f t="array" ref="G177">SUM(--(FREQUENCY(IF(Visits!E:E='Summer Challenge'!A177,Visits!Z:Z),Visits!Z:Z)&gt;0))</f>
        <v>#N/A</v>
      </c>
      <c r="H177">
        <f>SUMIF(Visits!E:E,'Summer Challenge'!A177,Visits!Z:Z)</f>
        <v>0</v>
      </c>
      <c r="J177" s="147">
        <f t="shared" si="8"/>
        <v>0</v>
      </c>
      <c r="K177" s="147"/>
      <c r="L177" s="5">
        <f>SUMIF(Visits!E:E,'Summer Challenge'!A177,Visits!J:J)</f>
        <v>0</v>
      </c>
      <c r="M177" s="5">
        <f t="shared" si="9"/>
        <v>0</v>
      </c>
      <c r="N177" s="5"/>
      <c r="O177" t="str">
        <f>IF(IFERROR(VLOOKUP(Users!E175,Credits!A:A,1,FALSE),"NO")="NO","NO","YES")</f>
        <v>NO</v>
      </c>
      <c r="P177" t="s">
        <v>314</v>
      </c>
      <c r="Q177" t="str">
        <f>IF(SUM('User Engagement'!I177:J177)&gt;=0,"YES", "NO")</f>
        <v>YES</v>
      </c>
    </row>
    <row r="178" spans="1:17" ht="16" x14ac:dyDescent="0.2">
      <c r="A178">
        <f>Users!A176</f>
        <v>0</v>
      </c>
      <c r="C178" s="29" t="e">
        <f>VLOOKUP(A178,Users!A:D,2,FALSE)</f>
        <v>#N/A</v>
      </c>
      <c r="D178" s="29" t="e">
        <f>VLOOKUP(A178,Users!A:D,3,FALSE)</f>
        <v>#N/A</v>
      </c>
      <c r="E178" s="139">
        <f>COUNTIF(Visits!Y:Y,'Summer Challenge'!A178)</f>
        <v>0</v>
      </c>
      <c r="G178" t="e" cm="1">
        <f t="array" ref="G178">SUM(--(FREQUENCY(IF(Visits!E:E='Summer Challenge'!A178,Visits!Z:Z),Visits!Z:Z)&gt;0))</f>
        <v>#N/A</v>
      </c>
      <c r="H178">
        <f>SUMIF(Visits!E:E,'Summer Challenge'!A178,Visits!Z:Z)</f>
        <v>0</v>
      </c>
      <c r="J178" s="147">
        <f t="shared" si="8"/>
        <v>0</v>
      </c>
      <c r="K178" s="147"/>
      <c r="L178" s="5">
        <f>SUMIF(Visits!E:E,'Summer Challenge'!A178,Visits!J:J)</f>
        <v>0</v>
      </c>
      <c r="M178" s="5">
        <f t="shared" si="9"/>
        <v>0</v>
      </c>
      <c r="N178" s="5"/>
      <c r="O178" t="str">
        <f>IF(IFERROR(VLOOKUP(Users!E176,Credits!A:A,1,FALSE),"NO")="NO","NO","YES")</f>
        <v>NO</v>
      </c>
      <c r="P178" t="s">
        <v>314</v>
      </c>
      <c r="Q178" t="str">
        <f>IF(SUM('User Engagement'!I178:J178)&gt;=0,"YES", "NO")</f>
        <v>YES</v>
      </c>
    </row>
    <row r="179" spans="1:17" ht="16" x14ac:dyDescent="0.2">
      <c r="A179">
        <f>Users!A177</f>
        <v>0</v>
      </c>
      <c r="C179" s="29" t="e">
        <f>VLOOKUP(A179,Users!A:D,2,FALSE)</f>
        <v>#N/A</v>
      </c>
      <c r="D179" s="29" t="e">
        <f>VLOOKUP(A179,Users!A:D,3,FALSE)</f>
        <v>#N/A</v>
      </c>
      <c r="E179" s="139">
        <f>COUNTIF(Visits!Y:Y,'Summer Challenge'!A179)</f>
        <v>0</v>
      </c>
      <c r="G179" t="e" cm="1">
        <f t="array" ref="G179">SUM(--(FREQUENCY(IF(Visits!E:E='Summer Challenge'!A179,Visits!Z:Z),Visits!Z:Z)&gt;0))</f>
        <v>#N/A</v>
      </c>
      <c r="H179">
        <f>SUMIF(Visits!E:E,'Summer Challenge'!A179,Visits!Z:Z)</f>
        <v>0</v>
      </c>
      <c r="J179" s="147">
        <f t="shared" si="8"/>
        <v>0</v>
      </c>
      <c r="K179" s="147"/>
      <c r="L179" s="5">
        <f>SUMIF(Visits!E:E,'Summer Challenge'!A179,Visits!J:J)</f>
        <v>0</v>
      </c>
      <c r="M179" s="5">
        <f t="shared" si="9"/>
        <v>0</v>
      </c>
      <c r="N179" s="146" t="s">
        <v>343</v>
      </c>
      <c r="O179" t="str">
        <f>IF(IFERROR(VLOOKUP(Users!E177,Credits!A:A,1,FALSE),"NO")="NO","NO","YES")</f>
        <v>NO</v>
      </c>
      <c r="P179" t="s">
        <v>314</v>
      </c>
      <c r="Q179" t="str">
        <f>IF(SUM('User Engagement'!I179:J179)&gt;=0,"YES", "NO")</f>
        <v>YES</v>
      </c>
    </row>
    <row r="180" spans="1:17" ht="16" x14ac:dyDescent="0.2">
      <c r="A180">
        <f>Users!A178</f>
        <v>0</v>
      </c>
      <c r="C180" s="29" t="e">
        <f>VLOOKUP(A180,Users!A:D,2,FALSE)</f>
        <v>#N/A</v>
      </c>
      <c r="D180" s="29" t="e">
        <f>VLOOKUP(A180,Users!A:D,3,FALSE)</f>
        <v>#N/A</v>
      </c>
      <c r="E180" s="139">
        <f>COUNTIF(Visits!Y:Y,'Summer Challenge'!A180)</f>
        <v>0</v>
      </c>
      <c r="G180" t="e" cm="1">
        <f t="array" ref="G180">SUM(--(FREQUENCY(IF(Visits!E:E='Summer Challenge'!A180,Visits!Z:Z),Visits!Z:Z)&gt;0))</f>
        <v>#N/A</v>
      </c>
      <c r="H180">
        <f>SUMIF(Visits!E:E,'Summer Challenge'!A180,Visits!Z:Z)</f>
        <v>0</v>
      </c>
      <c r="J180" s="147">
        <f t="shared" si="8"/>
        <v>0</v>
      </c>
      <c r="K180" s="147"/>
      <c r="L180" s="5">
        <f>SUMIF(Visits!E:E,'Summer Challenge'!A180,Visits!J:J)</f>
        <v>0</v>
      </c>
      <c r="M180" s="5">
        <f t="shared" si="9"/>
        <v>0</v>
      </c>
      <c r="N180" s="146" t="s">
        <v>343</v>
      </c>
      <c r="O180" t="str">
        <f>IF(IFERROR(VLOOKUP(Users!E178,Credits!A:A,1,FALSE),"NO")="NO","NO","YES")</f>
        <v>NO</v>
      </c>
      <c r="P180" t="s">
        <v>314</v>
      </c>
      <c r="Q180" t="str">
        <f>IF(SUM('User Engagement'!I180:J180)&gt;=0,"YES", "NO")</f>
        <v>YES</v>
      </c>
    </row>
    <row r="181" spans="1:17" ht="16" x14ac:dyDescent="0.2">
      <c r="A181">
        <f>Users!A179</f>
        <v>0</v>
      </c>
      <c r="C181" s="29" t="e">
        <f>VLOOKUP(A181,Users!A:D,2,FALSE)</f>
        <v>#N/A</v>
      </c>
      <c r="D181" s="29" t="e">
        <f>VLOOKUP(A181,Users!A:D,3,FALSE)</f>
        <v>#N/A</v>
      </c>
      <c r="E181" s="139">
        <f>COUNTIF(Visits!Y:Y,'Summer Challenge'!A181)</f>
        <v>0</v>
      </c>
      <c r="G181" t="e" cm="1">
        <f t="array" ref="G181">SUM(--(FREQUENCY(IF(Visits!E:E='Summer Challenge'!A181,Visits!Z:Z),Visits!Z:Z)&gt;0))</f>
        <v>#N/A</v>
      </c>
      <c r="H181">
        <f>SUMIF(Visits!E:E,'Summer Challenge'!A181,Visits!Z:Z)</f>
        <v>0</v>
      </c>
      <c r="J181" s="147">
        <f t="shared" si="8"/>
        <v>0</v>
      </c>
      <c r="K181" s="147"/>
      <c r="L181" s="5">
        <f>SUMIF(Visits!E:E,'Summer Challenge'!A181,Visits!J:J)</f>
        <v>0</v>
      </c>
      <c r="M181" s="5">
        <f t="shared" si="9"/>
        <v>0</v>
      </c>
      <c r="N181" s="5"/>
      <c r="O181" t="str">
        <f>IF(IFERROR(VLOOKUP(Users!E179,Credits!A:A,1,FALSE),"NO")="NO","NO","YES")</f>
        <v>NO</v>
      </c>
      <c r="P181" t="s">
        <v>314</v>
      </c>
      <c r="Q181" t="str">
        <f>IF(SUM('User Engagement'!I181:J181)&gt;=0,"YES", "NO")</f>
        <v>YES</v>
      </c>
    </row>
    <row r="182" spans="1:17" ht="16" x14ac:dyDescent="0.2">
      <c r="A182">
        <f>Users!A180</f>
        <v>0</v>
      </c>
      <c r="C182" s="29" t="e">
        <f>VLOOKUP(A182,Users!A:D,2,FALSE)</f>
        <v>#N/A</v>
      </c>
      <c r="D182" s="29" t="e">
        <f>VLOOKUP(A182,Users!A:D,3,FALSE)</f>
        <v>#N/A</v>
      </c>
      <c r="E182" s="139">
        <f>COUNTIF(Visits!Y:Y,'Summer Challenge'!A182)</f>
        <v>0</v>
      </c>
      <c r="G182" t="e" cm="1">
        <f t="array" ref="G182">SUM(--(FREQUENCY(IF(Visits!E:E='Summer Challenge'!A182,Visits!Z:Z),Visits!Z:Z)&gt;0))</f>
        <v>#N/A</v>
      </c>
      <c r="H182">
        <f>SUMIF(Visits!E:E,'Summer Challenge'!A182,Visits!Z:Z)</f>
        <v>0</v>
      </c>
      <c r="J182" s="147">
        <f t="shared" si="8"/>
        <v>0</v>
      </c>
      <c r="K182" s="147"/>
      <c r="L182" s="5">
        <f>SUMIF(Visits!E:E,'Summer Challenge'!A182,Visits!J:J)</f>
        <v>0</v>
      </c>
      <c r="M182" s="5">
        <f t="shared" si="9"/>
        <v>0</v>
      </c>
      <c r="N182" s="5"/>
      <c r="O182" t="str">
        <f>IF(IFERROR(VLOOKUP(Users!E180,Credits!A:A,1,FALSE),"NO")="NO","NO","YES")</f>
        <v>NO</v>
      </c>
      <c r="P182" t="s">
        <v>314</v>
      </c>
      <c r="Q182" t="str">
        <f>IF(SUM('User Engagement'!I182:J182)&gt;=0,"YES", "NO")</f>
        <v>YES</v>
      </c>
    </row>
    <row r="183" spans="1:17" ht="16" x14ac:dyDescent="0.2">
      <c r="A183">
        <f>Users!A181</f>
        <v>0</v>
      </c>
      <c r="C183" s="29" t="e">
        <f>VLOOKUP(A183,Users!A:D,2,FALSE)</f>
        <v>#N/A</v>
      </c>
      <c r="D183" s="29" t="e">
        <f>VLOOKUP(A183,Users!A:D,3,FALSE)</f>
        <v>#N/A</v>
      </c>
      <c r="E183" s="139">
        <f>COUNTIF(Visits!Y:Y,'Summer Challenge'!A183)</f>
        <v>0</v>
      </c>
      <c r="G183" t="e" cm="1">
        <f t="array" ref="G183">SUM(--(FREQUENCY(IF(Visits!E:E='Summer Challenge'!A183,Visits!Z:Z),Visits!Z:Z)&gt;0))</f>
        <v>#N/A</v>
      </c>
      <c r="H183">
        <f>SUMIF(Visits!E:E,'Summer Challenge'!A183,Visits!Z:Z)</f>
        <v>0</v>
      </c>
      <c r="J183" s="147">
        <f t="shared" si="8"/>
        <v>0</v>
      </c>
      <c r="K183" s="147"/>
      <c r="L183" s="5">
        <f>SUMIF(Visits!E:E,'Summer Challenge'!A183,Visits!J:J)</f>
        <v>0</v>
      </c>
      <c r="M183" s="5">
        <f t="shared" si="9"/>
        <v>0</v>
      </c>
      <c r="N183" s="5" t="s">
        <v>343</v>
      </c>
      <c r="O183" t="str">
        <f>IF(IFERROR(VLOOKUP(Users!E181,Credits!A:A,1,FALSE),"NO")="NO","NO","YES")</f>
        <v>NO</v>
      </c>
      <c r="P183" t="s">
        <v>314</v>
      </c>
      <c r="Q183" t="str">
        <f>IF(SUM('User Engagement'!I183:J183)&gt;=0,"YES", "NO")</f>
        <v>YES</v>
      </c>
    </row>
    <row r="184" spans="1:17" ht="16" x14ac:dyDescent="0.2">
      <c r="A184">
        <f>Users!A182</f>
        <v>0</v>
      </c>
      <c r="C184" s="29" t="e">
        <f>VLOOKUP(A184,Users!A:D,2,FALSE)</f>
        <v>#N/A</v>
      </c>
      <c r="D184" s="29" t="e">
        <f>VLOOKUP(A184,Users!A:D,3,FALSE)</f>
        <v>#N/A</v>
      </c>
      <c r="E184" s="139">
        <f>COUNTIF(Visits!Y:Y,'Summer Challenge'!A184)</f>
        <v>0</v>
      </c>
      <c r="G184" t="e" cm="1">
        <f t="array" ref="G184">SUM(--(FREQUENCY(IF(Visits!E:E='Summer Challenge'!A184,Visits!Z:Z),Visits!Z:Z)&gt;0))</f>
        <v>#N/A</v>
      </c>
      <c r="H184">
        <f>SUMIF(Visits!E:E,'Summer Challenge'!A184,Visits!Z:Z)</f>
        <v>0</v>
      </c>
      <c r="J184" s="147">
        <f t="shared" si="8"/>
        <v>0</v>
      </c>
      <c r="K184" s="147"/>
      <c r="L184" s="5">
        <f>SUMIF(Visits!E:E,'Summer Challenge'!A184,Visits!J:J)</f>
        <v>0</v>
      </c>
      <c r="M184" s="5">
        <f t="shared" si="9"/>
        <v>0</v>
      </c>
      <c r="N184" s="146" t="s">
        <v>343</v>
      </c>
      <c r="O184" t="str">
        <f>IF(IFERROR(VLOOKUP(Users!E182,Credits!A:A,1,FALSE),"NO")="NO","NO","YES")</f>
        <v>NO</v>
      </c>
      <c r="P184" t="s">
        <v>314</v>
      </c>
      <c r="Q184" t="str">
        <f>IF(SUM('User Engagement'!I184:J184)&gt;=0,"YES", "NO")</f>
        <v>YES</v>
      </c>
    </row>
    <row r="185" spans="1:17" ht="16" x14ac:dyDescent="0.2">
      <c r="A185">
        <f>Users!A183</f>
        <v>0</v>
      </c>
      <c r="C185" s="29" t="e">
        <f>VLOOKUP(A185,Users!A:D,2,FALSE)</f>
        <v>#N/A</v>
      </c>
      <c r="D185" s="29" t="e">
        <f>VLOOKUP(A185,Users!A:D,3,FALSE)</f>
        <v>#N/A</v>
      </c>
      <c r="E185" s="139">
        <f>COUNTIF(Visits!Y:Y,'Summer Challenge'!A185)</f>
        <v>0</v>
      </c>
      <c r="G185" t="e" cm="1">
        <f t="array" ref="G185">SUM(--(FREQUENCY(IF(Visits!E:E='Summer Challenge'!A185,Visits!Z:Z),Visits!Z:Z)&gt;0))</f>
        <v>#N/A</v>
      </c>
      <c r="H185">
        <f>SUMIF(Visits!E:E,'Summer Challenge'!A185,Visits!Z:Z)</f>
        <v>0</v>
      </c>
      <c r="J185" s="147">
        <f t="shared" si="8"/>
        <v>0</v>
      </c>
      <c r="K185" s="147"/>
      <c r="L185" s="5">
        <f>SUMIF(Visits!E:E,'Summer Challenge'!A185,Visits!J:J)</f>
        <v>0</v>
      </c>
      <c r="M185" s="5">
        <f t="shared" si="9"/>
        <v>0</v>
      </c>
      <c r="N185" s="5"/>
      <c r="O185" t="str">
        <f>IF(IFERROR(VLOOKUP(Users!E183,Credits!A:A,1,FALSE),"NO")="NO","NO","YES")</f>
        <v>NO</v>
      </c>
      <c r="P185" t="s">
        <v>314</v>
      </c>
      <c r="Q185" t="str">
        <f>IF(SUM('User Engagement'!I185:J185)&gt;=0,"YES", "NO")</f>
        <v>YES</v>
      </c>
    </row>
    <row r="186" spans="1:17" ht="16" x14ac:dyDescent="0.2">
      <c r="A186">
        <f>Users!A184</f>
        <v>0</v>
      </c>
      <c r="C186" s="29" t="e">
        <f>VLOOKUP(A186,Users!A:D,2,FALSE)</f>
        <v>#N/A</v>
      </c>
      <c r="D186" s="29" t="e">
        <f>VLOOKUP(A186,Users!A:D,3,FALSE)</f>
        <v>#N/A</v>
      </c>
      <c r="E186" s="139">
        <f>COUNTIF(Visits!Y:Y,'Summer Challenge'!A186)</f>
        <v>0</v>
      </c>
      <c r="G186" t="e" cm="1">
        <f t="array" ref="G186">SUM(--(FREQUENCY(IF(Visits!E:E='Summer Challenge'!A186,Visits!Z:Z),Visits!Z:Z)&gt;0))</f>
        <v>#N/A</v>
      </c>
      <c r="H186">
        <f>SUMIF(Visits!E:E,'Summer Challenge'!A186,Visits!Z:Z)</f>
        <v>0</v>
      </c>
      <c r="J186" s="147">
        <f t="shared" si="8"/>
        <v>0</v>
      </c>
      <c r="K186" s="147"/>
      <c r="L186" s="5">
        <f>SUMIF(Visits!E:E,'Summer Challenge'!A186,Visits!J:J)</f>
        <v>0</v>
      </c>
      <c r="M186" s="5">
        <f t="shared" si="9"/>
        <v>0</v>
      </c>
      <c r="N186" s="5"/>
      <c r="O186" t="str">
        <f>IF(IFERROR(VLOOKUP(Users!E184,Credits!A:A,1,FALSE),"NO")="NO","NO","YES")</f>
        <v>NO</v>
      </c>
      <c r="P186" t="s">
        <v>314</v>
      </c>
      <c r="Q186" t="str">
        <f>IF(SUM('User Engagement'!I186:J186)&gt;=0,"YES", "NO")</f>
        <v>YES</v>
      </c>
    </row>
    <row r="187" spans="1:17" ht="16" x14ac:dyDescent="0.2">
      <c r="A187">
        <f>Users!A185</f>
        <v>0</v>
      </c>
      <c r="C187" s="29" t="e">
        <f>VLOOKUP(A187,Users!A:D,2,FALSE)</f>
        <v>#N/A</v>
      </c>
      <c r="D187" s="29" t="e">
        <f>VLOOKUP(A187,Users!A:D,3,FALSE)</f>
        <v>#N/A</v>
      </c>
      <c r="E187" s="139">
        <f>COUNTIF(Visits!Y:Y,'Summer Challenge'!A187)</f>
        <v>0</v>
      </c>
      <c r="G187" t="e" cm="1">
        <f t="array" ref="G187">SUM(--(FREQUENCY(IF(Visits!E:E='Summer Challenge'!A187,Visits!Z:Z),Visits!Z:Z)&gt;0))</f>
        <v>#N/A</v>
      </c>
      <c r="H187">
        <f>SUMIF(Visits!E:E,'Summer Challenge'!A187,Visits!Z:Z)</f>
        <v>0</v>
      </c>
      <c r="J187" s="147">
        <f t="shared" si="8"/>
        <v>0</v>
      </c>
      <c r="K187" s="147"/>
      <c r="L187" s="5">
        <f>SUMIF(Visits!E:E,'Summer Challenge'!A187,Visits!J:J)</f>
        <v>0</v>
      </c>
      <c r="M187" s="5">
        <f t="shared" si="9"/>
        <v>0</v>
      </c>
      <c r="N187" s="146" t="s">
        <v>343</v>
      </c>
      <c r="O187" t="str">
        <f>IF(IFERROR(VLOOKUP(Users!E185,Credits!A:A,1,FALSE),"NO")="NO","NO","YES")</f>
        <v>NO</v>
      </c>
      <c r="P187" t="s">
        <v>314</v>
      </c>
      <c r="Q187" t="str">
        <f>IF(SUM('User Engagement'!I187:J187)&gt;=0,"YES", "NO")</f>
        <v>YES</v>
      </c>
    </row>
    <row r="188" spans="1:17" ht="16" x14ac:dyDescent="0.2">
      <c r="A188">
        <f>Users!A186</f>
        <v>0</v>
      </c>
      <c r="C188" s="29" t="e">
        <f>VLOOKUP(A188,Users!A:D,2,FALSE)</f>
        <v>#N/A</v>
      </c>
      <c r="D188" s="29" t="e">
        <f>VLOOKUP(A188,Users!A:D,3,FALSE)</f>
        <v>#N/A</v>
      </c>
      <c r="E188" s="139">
        <f>COUNTIF(Visits!Y:Y,'Summer Challenge'!A188)</f>
        <v>0</v>
      </c>
      <c r="G188" t="e" cm="1">
        <f t="array" ref="G188">SUM(--(FREQUENCY(IF(Visits!E:E='Summer Challenge'!A188,Visits!Z:Z),Visits!Z:Z)&gt;0))</f>
        <v>#N/A</v>
      </c>
      <c r="H188">
        <f>SUMIF(Visits!E:E,'Summer Challenge'!A188,Visits!Z:Z)</f>
        <v>0</v>
      </c>
      <c r="J188" s="147">
        <f t="shared" si="8"/>
        <v>0</v>
      </c>
      <c r="K188" s="147"/>
      <c r="L188" s="5">
        <f>SUMIF(Visits!E:E,'Summer Challenge'!A188,Visits!J:J)</f>
        <v>0</v>
      </c>
      <c r="M188" s="5">
        <f t="shared" si="9"/>
        <v>0</v>
      </c>
      <c r="N188" s="146" t="s">
        <v>343</v>
      </c>
      <c r="O188" t="str">
        <f>IF(IFERROR(VLOOKUP(Users!E186,Credits!A:A,1,FALSE),"NO")="NO","NO","YES")</f>
        <v>NO</v>
      </c>
      <c r="P188" t="s">
        <v>314</v>
      </c>
      <c r="Q188" t="str">
        <f>IF(SUM('User Engagement'!I188:J188)&gt;=0,"YES", "NO")</f>
        <v>YES</v>
      </c>
    </row>
    <row r="189" spans="1:17" ht="16" x14ac:dyDescent="0.2">
      <c r="A189">
        <f>Users!A187</f>
        <v>0</v>
      </c>
      <c r="C189" s="29" t="e">
        <f>VLOOKUP(A189,Users!A:D,2,FALSE)</f>
        <v>#N/A</v>
      </c>
      <c r="D189" s="29" t="e">
        <f>VLOOKUP(A189,Users!A:D,3,FALSE)</f>
        <v>#N/A</v>
      </c>
      <c r="E189" s="139">
        <f>COUNTIF(Visits!Y:Y,'Summer Challenge'!A189)</f>
        <v>0</v>
      </c>
      <c r="G189" t="e" cm="1">
        <f t="array" ref="G189">SUM(--(FREQUENCY(IF(Visits!E:E='Summer Challenge'!A189,Visits!Z:Z),Visits!Z:Z)&gt;0))</f>
        <v>#N/A</v>
      </c>
      <c r="H189">
        <f>SUMIF(Visits!E:E,'Summer Challenge'!A189,Visits!Z:Z)</f>
        <v>0</v>
      </c>
      <c r="J189" s="147">
        <f t="shared" si="8"/>
        <v>0</v>
      </c>
      <c r="K189" s="147"/>
      <c r="L189" s="5">
        <f>SUMIF(Visits!E:E,'Summer Challenge'!A189,Visits!J:J)</f>
        <v>0</v>
      </c>
      <c r="M189" s="5">
        <f t="shared" si="9"/>
        <v>0</v>
      </c>
      <c r="N189" s="5"/>
      <c r="O189" t="str">
        <f>IF(IFERROR(VLOOKUP(Users!E187,Credits!A:A,1,FALSE),"NO")="NO","NO","YES")</f>
        <v>NO</v>
      </c>
      <c r="P189" t="s">
        <v>314</v>
      </c>
      <c r="Q189" t="str">
        <f>IF(SUM('User Engagement'!I189:J189)&gt;=0,"YES", "NO")</f>
        <v>YES</v>
      </c>
    </row>
    <row r="190" spans="1:17" ht="16" x14ac:dyDescent="0.2">
      <c r="A190">
        <f>Users!A188</f>
        <v>0</v>
      </c>
      <c r="C190" s="29" t="e">
        <f>VLOOKUP(A190,Users!A:D,2,FALSE)</f>
        <v>#N/A</v>
      </c>
      <c r="D190" s="29" t="e">
        <f>VLOOKUP(A190,Users!A:D,3,FALSE)</f>
        <v>#N/A</v>
      </c>
      <c r="E190" s="139">
        <f>COUNTIF(Visits!Y:Y,'Summer Challenge'!A190)</f>
        <v>0</v>
      </c>
      <c r="G190" t="e" cm="1">
        <f t="array" ref="G190">SUM(--(FREQUENCY(IF(Visits!E:E='Summer Challenge'!A190,Visits!Z:Z),Visits!Z:Z)&gt;0))</f>
        <v>#N/A</v>
      </c>
      <c r="H190">
        <f>SUMIF(Visits!E:E,'Summer Challenge'!A190,Visits!Z:Z)</f>
        <v>0</v>
      </c>
      <c r="J190" s="147">
        <f t="shared" si="8"/>
        <v>0</v>
      </c>
      <c r="K190" s="147"/>
      <c r="L190" s="5">
        <f>SUMIF(Visits!E:E,'Summer Challenge'!A190,Visits!J:J)</f>
        <v>0</v>
      </c>
      <c r="M190" s="5">
        <f t="shared" si="9"/>
        <v>0</v>
      </c>
      <c r="N190" s="5"/>
      <c r="O190" t="str">
        <f>IF(IFERROR(VLOOKUP(Users!E188,Credits!A:A,1,FALSE),"NO")="NO","NO","YES")</f>
        <v>NO</v>
      </c>
      <c r="P190" t="s">
        <v>314</v>
      </c>
      <c r="Q190" t="str">
        <f>IF(SUM('User Engagement'!I190:J190)&gt;=0,"YES", "NO")</f>
        <v>YES</v>
      </c>
    </row>
    <row r="191" spans="1:17" ht="16" x14ac:dyDescent="0.2">
      <c r="A191">
        <f>Users!A189</f>
        <v>0</v>
      </c>
      <c r="C191" s="29" t="e">
        <f>VLOOKUP(A191,Users!A:D,2,FALSE)</f>
        <v>#N/A</v>
      </c>
      <c r="D191" s="29" t="e">
        <f>VLOOKUP(A191,Users!A:D,3,FALSE)</f>
        <v>#N/A</v>
      </c>
      <c r="E191" s="139">
        <f>COUNTIF(Visits!Y:Y,'Summer Challenge'!A191)</f>
        <v>0</v>
      </c>
      <c r="G191" t="e" cm="1">
        <f t="array" ref="G191">SUM(--(FREQUENCY(IF(Visits!E:E='Summer Challenge'!A191,Visits!Z:Z),Visits!Z:Z)&gt;0))</f>
        <v>#N/A</v>
      </c>
      <c r="H191">
        <f>SUMIF(Visits!E:E,'Summer Challenge'!A191,Visits!Z:Z)</f>
        <v>0</v>
      </c>
      <c r="J191" s="147">
        <f t="shared" si="8"/>
        <v>0</v>
      </c>
      <c r="K191" s="147"/>
      <c r="L191" s="5">
        <f>SUMIF(Visits!E:E,'Summer Challenge'!A191,Visits!J:J)</f>
        <v>0</v>
      </c>
      <c r="M191" s="5">
        <f t="shared" si="9"/>
        <v>0</v>
      </c>
      <c r="N191" s="5"/>
      <c r="O191" t="str">
        <f>IF(IFERROR(VLOOKUP(Users!E189,Credits!A:A,1,FALSE),"NO")="NO","NO","YES")</f>
        <v>NO</v>
      </c>
      <c r="P191" t="s">
        <v>314</v>
      </c>
      <c r="Q191" t="str">
        <f>IF(SUM('User Engagement'!I191:J191)&gt;=0,"YES", "NO")</f>
        <v>YES</v>
      </c>
    </row>
    <row r="192" spans="1:17" ht="16" x14ac:dyDescent="0.2">
      <c r="A192">
        <f>Users!A190</f>
        <v>0</v>
      </c>
      <c r="C192" s="29" t="e">
        <f>VLOOKUP(A192,Users!A:D,2,FALSE)</f>
        <v>#N/A</v>
      </c>
      <c r="D192" s="29" t="e">
        <f>VLOOKUP(A192,Users!A:D,3,FALSE)</f>
        <v>#N/A</v>
      </c>
      <c r="E192" s="139">
        <f>COUNTIF(Visits!Y:Y,'Summer Challenge'!A192)</f>
        <v>0</v>
      </c>
      <c r="G192" t="e" cm="1">
        <f t="array" ref="G192">SUM(--(FREQUENCY(IF(Visits!E:E='Summer Challenge'!A192,Visits!Z:Z),Visits!Z:Z)&gt;0))</f>
        <v>#N/A</v>
      </c>
      <c r="H192">
        <f>SUMIF(Visits!E:E,'Summer Challenge'!A192,Visits!Z:Z)</f>
        <v>0</v>
      </c>
      <c r="J192" s="147">
        <f t="shared" si="8"/>
        <v>0</v>
      </c>
      <c r="K192" s="147"/>
      <c r="L192" s="5">
        <f>SUMIF(Visits!E:E,'Summer Challenge'!A192,Visits!J:J)</f>
        <v>0</v>
      </c>
      <c r="M192" s="5">
        <f t="shared" si="9"/>
        <v>0</v>
      </c>
      <c r="N192" s="5"/>
      <c r="O192" t="str">
        <f>IF(IFERROR(VLOOKUP(Users!E190,Credits!A:A,1,FALSE),"NO")="NO","NO","YES")</f>
        <v>NO</v>
      </c>
      <c r="P192" t="s">
        <v>314</v>
      </c>
      <c r="Q192" t="str">
        <f>IF(SUM('User Engagement'!I192:J192)&gt;=0,"YES", "NO")</f>
        <v>YES</v>
      </c>
    </row>
    <row r="193" spans="1:17" ht="16" x14ac:dyDescent="0.2">
      <c r="A193">
        <f>Users!A191</f>
        <v>0</v>
      </c>
      <c r="C193" s="29" t="e">
        <f>VLOOKUP(A193,Users!A:D,2,FALSE)</f>
        <v>#N/A</v>
      </c>
      <c r="D193" s="29" t="e">
        <f>VLOOKUP(A193,Users!A:D,3,FALSE)</f>
        <v>#N/A</v>
      </c>
      <c r="E193" s="139">
        <f>COUNTIF(Visits!Y:Y,'Summer Challenge'!A193)</f>
        <v>0</v>
      </c>
      <c r="G193" t="e" cm="1">
        <f t="array" ref="G193">SUM(--(FREQUENCY(IF(Visits!E:E='Summer Challenge'!A193,Visits!Z:Z),Visits!Z:Z)&gt;0))</f>
        <v>#N/A</v>
      </c>
      <c r="H193">
        <f>SUMIF(Visits!E:E,'Summer Challenge'!A193,Visits!Z:Z)</f>
        <v>0</v>
      </c>
      <c r="J193" s="147">
        <f t="shared" si="8"/>
        <v>0</v>
      </c>
      <c r="K193" s="147"/>
      <c r="L193" s="5">
        <f>SUMIF(Visits!E:E,'Summer Challenge'!A193,Visits!J:J)</f>
        <v>0</v>
      </c>
      <c r="M193" s="5">
        <f t="shared" si="9"/>
        <v>0</v>
      </c>
      <c r="N193" s="5"/>
      <c r="O193" t="str">
        <f>IF(IFERROR(VLOOKUP(Users!E191,Credits!A:A,1,FALSE),"NO")="NO","NO","YES")</f>
        <v>NO</v>
      </c>
      <c r="P193" t="s">
        <v>314</v>
      </c>
      <c r="Q193" t="str">
        <f>IF(SUM('User Engagement'!I193:J193)&gt;=0,"YES", "NO")</f>
        <v>YES</v>
      </c>
    </row>
    <row r="194" spans="1:17" ht="16" x14ac:dyDescent="0.2">
      <c r="A194">
        <f>Users!A192</f>
        <v>0</v>
      </c>
      <c r="C194" s="29" t="e">
        <f>VLOOKUP(A194,Users!A:D,2,FALSE)</f>
        <v>#N/A</v>
      </c>
      <c r="D194" s="29" t="e">
        <f>VLOOKUP(A194,Users!A:D,3,FALSE)</f>
        <v>#N/A</v>
      </c>
      <c r="E194" s="139">
        <f>COUNTIF(Visits!Y:Y,'Summer Challenge'!A194)</f>
        <v>0</v>
      </c>
      <c r="G194" t="e" cm="1">
        <f t="array" ref="G194">SUM(--(FREQUENCY(IF(Visits!E:E='Summer Challenge'!A194,Visits!Z:Z),Visits!Z:Z)&gt;0))</f>
        <v>#N/A</v>
      </c>
      <c r="H194">
        <f>SUMIF(Visits!E:E,'Summer Challenge'!A194,Visits!Z:Z)</f>
        <v>0</v>
      </c>
      <c r="J194" s="147">
        <f t="shared" si="8"/>
        <v>0</v>
      </c>
      <c r="K194" s="147"/>
      <c r="L194" s="5">
        <f>SUMIF(Visits!E:E,'Summer Challenge'!A194,Visits!J:J)</f>
        <v>0</v>
      </c>
      <c r="M194" s="5">
        <f t="shared" si="9"/>
        <v>0</v>
      </c>
      <c r="N194" s="5"/>
      <c r="O194" t="str">
        <f>IF(IFERROR(VLOOKUP(Users!E192,Credits!A:A,1,FALSE),"NO")="NO","NO","YES")</f>
        <v>NO</v>
      </c>
      <c r="P194" t="s">
        <v>314</v>
      </c>
      <c r="Q194" t="str">
        <f>IF(SUM('User Engagement'!I194:J194)&gt;=0,"YES", "NO")</f>
        <v>YES</v>
      </c>
    </row>
    <row r="195" spans="1:17" ht="16" x14ac:dyDescent="0.2">
      <c r="A195">
        <f>Users!A193</f>
        <v>0</v>
      </c>
      <c r="C195" s="29" t="e">
        <f>VLOOKUP(A195,Users!A:D,2,FALSE)</f>
        <v>#N/A</v>
      </c>
      <c r="D195" s="29" t="e">
        <f>VLOOKUP(A195,Users!A:D,3,FALSE)</f>
        <v>#N/A</v>
      </c>
      <c r="E195" s="139">
        <f>COUNTIF(Visits!Y:Y,'Summer Challenge'!A195)</f>
        <v>0</v>
      </c>
      <c r="G195" t="e" cm="1">
        <f t="array" ref="G195">SUM(--(FREQUENCY(IF(Visits!E:E='Summer Challenge'!A195,Visits!Z:Z),Visits!Z:Z)&gt;0))</f>
        <v>#N/A</v>
      </c>
      <c r="H195">
        <f>SUMIF(Visits!E:E,'Summer Challenge'!A195,Visits!Z:Z)</f>
        <v>0</v>
      </c>
      <c r="J195" s="147">
        <f t="shared" si="8"/>
        <v>0</v>
      </c>
      <c r="K195" s="147"/>
      <c r="L195" s="5">
        <f>SUMIF(Visits!E:E,'Summer Challenge'!A195,Visits!J:J)</f>
        <v>0</v>
      </c>
      <c r="M195" s="5">
        <f t="shared" si="9"/>
        <v>0</v>
      </c>
      <c r="N195" s="5"/>
      <c r="O195" t="str">
        <f>IF(IFERROR(VLOOKUP(Users!E193,Credits!A:A,1,FALSE),"NO")="NO","NO","YES")</f>
        <v>NO</v>
      </c>
      <c r="P195" t="s">
        <v>314</v>
      </c>
      <c r="Q195" t="str">
        <f>IF(SUM('User Engagement'!I195:J195)&gt;=0,"YES", "NO")</f>
        <v>YES</v>
      </c>
    </row>
    <row r="196" spans="1:17" ht="16" x14ac:dyDescent="0.2">
      <c r="A196">
        <f>Users!A194</f>
        <v>0</v>
      </c>
      <c r="C196" s="29" t="e">
        <f>VLOOKUP(A196,Users!A:D,2,FALSE)</f>
        <v>#N/A</v>
      </c>
      <c r="D196" s="29" t="e">
        <f>VLOOKUP(A196,Users!A:D,3,FALSE)</f>
        <v>#N/A</v>
      </c>
      <c r="E196" s="139">
        <f>COUNTIF(Visits!Y:Y,'Summer Challenge'!A196)</f>
        <v>0</v>
      </c>
      <c r="G196" t="e" cm="1">
        <f t="array" ref="G196">SUM(--(FREQUENCY(IF(Visits!E:E='Summer Challenge'!A196,Visits!Z:Z),Visits!Z:Z)&gt;0))</f>
        <v>#N/A</v>
      </c>
      <c r="H196">
        <f>SUMIF(Visits!E:E,'Summer Challenge'!A196,Visits!Z:Z)</f>
        <v>0</v>
      </c>
      <c r="J196" s="147">
        <f t="shared" si="8"/>
        <v>0</v>
      </c>
      <c r="K196" s="147"/>
      <c r="L196" s="5">
        <f>SUMIF(Visits!E:E,'Summer Challenge'!A196,Visits!J:J)</f>
        <v>0</v>
      </c>
      <c r="M196" s="5">
        <f t="shared" si="9"/>
        <v>0</v>
      </c>
      <c r="N196" s="5"/>
      <c r="O196" t="str">
        <f>IF(IFERROR(VLOOKUP(Users!E194,Credits!A:A,1,FALSE),"NO")="NO","NO","YES")</f>
        <v>NO</v>
      </c>
      <c r="P196" t="s">
        <v>314</v>
      </c>
      <c r="Q196" t="str">
        <f>IF(SUM('User Engagement'!I196:J196)&gt;=0,"YES", "NO")</f>
        <v>YES</v>
      </c>
    </row>
    <row r="197" spans="1:17" ht="16" x14ac:dyDescent="0.2">
      <c r="A197">
        <f>Users!A195</f>
        <v>0</v>
      </c>
      <c r="C197" s="29" t="e">
        <f>VLOOKUP(A197,Users!A:D,2,FALSE)</f>
        <v>#N/A</v>
      </c>
      <c r="D197" s="29" t="e">
        <f>VLOOKUP(A197,Users!A:D,3,FALSE)</f>
        <v>#N/A</v>
      </c>
      <c r="E197" s="139">
        <f>COUNTIF(Visits!Y:Y,'Summer Challenge'!A197)</f>
        <v>0</v>
      </c>
      <c r="G197" t="e" cm="1">
        <f t="array" ref="G197">SUM(--(FREQUENCY(IF(Visits!E:E='Summer Challenge'!A197,Visits!Z:Z),Visits!Z:Z)&gt;0))</f>
        <v>#N/A</v>
      </c>
      <c r="H197">
        <f>SUMIF(Visits!E:E,'Summer Challenge'!A197,Visits!Z:Z)</f>
        <v>0</v>
      </c>
      <c r="J197" s="147">
        <f t="shared" si="8"/>
        <v>0</v>
      </c>
      <c r="K197" s="147"/>
      <c r="L197" s="5">
        <f>SUMIF(Visits!E:E,'Summer Challenge'!A197,Visits!J:J)</f>
        <v>0</v>
      </c>
      <c r="M197" s="5">
        <f t="shared" si="9"/>
        <v>0</v>
      </c>
      <c r="N197" s="146" t="s">
        <v>343</v>
      </c>
      <c r="O197" t="str">
        <f>IF(IFERROR(VLOOKUP(Users!E195,Credits!A:A,1,FALSE),"NO")="NO","NO","YES")</f>
        <v>NO</v>
      </c>
      <c r="P197" t="s">
        <v>314</v>
      </c>
      <c r="Q197" t="str">
        <f>IF(SUM('User Engagement'!I197:J197)&gt;=0,"YES", "NO")</f>
        <v>YES</v>
      </c>
    </row>
    <row r="198" spans="1:17" ht="16" x14ac:dyDescent="0.2">
      <c r="A198">
        <f>Users!A196</f>
        <v>0</v>
      </c>
      <c r="C198" s="29" t="e">
        <f>VLOOKUP(A198,Users!A:D,2,FALSE)</f>
        <v>#N/A</v>
      </c>
      <c r="D198" s="29" t="e">
        <f>VLOOKUP(A198,Users!A:D,3,FALSE)</f>
        <v>#N/A</v>
      </c>
      <c r="E198" s="139">
        <f>COUNTIF(Visits!Y:Y,'Summer Challenge'!A198)</f>
        <v>0</v>
      </c>
      <c r="G198" t="e" cm="1">
        <f t="array" ref="G198">SUM(--(FREQUENCY(IF(Visits!E:E='Summer Challenge'!A198,Visits!Z:Z),Visits!Z:Z)&gt;0))</f>
        <v>#N/A</v>
      </c>
      <c r="H198">
        <f>SUMIF(Visits!E:E,'Summer Challenge'!A198,Visits!Z:Z)</f>
        <v>0</v>
      </c>
      <c r="J198" s="147">
        <f t="shared" si="8"/>
        <v>0</v>
      </c>
      <c r="K198" s="147"/>
      <c r="L198" s="5">
        <f>SUMIF(Visits!E:E,'Summer Challenge'!A198,Visits!J:J)</f>
        <v>0</v>
      </c>
      <c r="M198" s="5">
        <f t="shared" si="9"/>
        <v>0</v>
      </c>
      <c r="N198" s="5"/>
      <c r="O198" t="str">
        <f>IF(IFERROR(VLOOKUP(Users!E196,Credits!A:A,1,FALSE),"NO")="NO","NO","YES")</f>
        <v>NO</v>
      </c>
      <c r="P198" t="s">
        <v>314</v>
      </c>
      <c r="Q198" t="str">
        <f>IF(SUM('User Engagement'!I198:J198)&gt;=0,"YES", "NO")</f>
        <v>YES</v>
      </c>
    </row>
    <row r="199" spans="1:17" ht="16" x14ac:dyDescent="0.2">
      <c r="A199">
        <f>Users!A197</f>
        <v>0</v>
      </c>
      <c r="C199" s="29" t="e">
        <f>VLOOKUP(A199,Users!A:D,2,FALSE)</f>
        <v>#N/A</v>
      </c>
      <c r="D199" s="29" t="e">
        <f>VLOOKUP(A199,Users!A:D,3,FALSE)</f>
        <v>#N/A</v>
      </c>
      <c r="E199" s="139">
        <f>COUNTIF(Visits!Y:Y,'Summer Challenge'!A199)</f>
        <v>0</v>
      </c>
      <c r="G199" t="e" cm="1">
        <f t="array" ref="G199">SUM(--(FREQUENCY(IF(Visits!E:E='Summer Challenge'!A199,Visits!Z:Z),Visits!Z:Z)&gt;0))</f>
        <v>#N/A</v>
      </c>
      <c r="H199">
        <f>SUMIF(Visits!E:E,'Summer Challenge'!A199,Visits!Z:Z)</f>
        <v>0</v>
      </c>
      <c r="J199" s="147">
        <f t="shared" si="8"/>
        <v>0</v>
      </c>
      <c r="K199" s="147"/>
      <c r="L199" s="5">
        <f>SUMIF(Visits!E:E,'Summer Challenge'!A199,Visits!J:J)</f>
        <v>0</v>
      </c>
      <c r="M199" s="5">
        <f t="shared" si="9"/>
        <v>0</v>
      </c>
      <c r="N199" s="5"/>
      <c r="O199" t="str">
        <f>IF(IFERROR(VLOOKUP(Users!E197,Credits!A:A,1,FALSE),"NO")="NO","NO","YES")</f>
        <v>NO</v>
      </c>
      <c r="P199" t="s">
        <v>314</v>
      </c>
      <c r="Q199" t="str">
        <f>IF(SUM('User Engagement'!I199:J199)&gt;=0,"YES", "NO")</f>
        <v>YES</v>
      </c>
    </row>
    <row r="200" spans="1:17" ht="16" x14ac:dyDescent="0.2">
      <c r="A200">
        <f>Users!A198</f>
        <v>0</v>
      </c>
      <c r="C200" s="29" t="e">
        <f>VLOOKUP(A200,Users!A:D,2,FALSE)</f>
        <v>#N/A</v>
      </c>
      <c r="D200" s="29" t="e">
        <f>VLOOKUP(A200,Users!A:D,3,FALSE)</f>
        <v>#N/A</v>
      </c>
      <c r="E200" s="139">
        <f>COUNTIF(Visits!Y:Y,'Summer Challenge'!A200)</f>
        <v>0</v>
      </c>
      <c r="G200" t="e" cm="1">
        <f t="array" ref="G200">SUM(--(FREQUENCY(IF(Visits!E:E='Summer Challenge'!A200,Visits!Z:Z),Visits!Z:Z)&gt;0))</f>
        <v>#N/A</v>
      </c>
      <c r="H200">
        <f>SUMIF(Visits!E:E,'Summer Challenge'!A200,Visits!Z:Z)</f>
        <v>0</v>
      </c>
      <c r="J200" s="147">
        <f t="shared" si="8"/>
        <v>0</v>
      </c>
      <c r="K200" s="147"/>
      <c r="L200" s="5">
        <f>SUMIF(Visits!E:E,'Summer Challenge'!A200,Visits!J:J)</f>
        <v>0</v>
      </c>
      <c r="M200" s="5">
        <f t="shared" si="9"/>
        <v>0</v>
      </c>
      <c r="N200" s="5"/>
      <c r="O200" t="str">
        <f>IF(IFERROR(VLOOKUP(Users!E198,Credits!A:A,1,FALSE),"NO")="NO","NO","YES")</f>
        <v>NO</v>
      </c>
      <c r="P200" t="s">
        <v>314</v>
      </c>
      <c r="Q200" t="str">
        <f>IF(SUM('User Engagement'!I200:J200)&gt;=0,"YES", "NO")</f>
        <v>YES</v>
      </c>
    </row>
    <row r="201" spans="1:17" ht="16" x14ac:dyDescent="0.2">
      <c r="A201">
        <f>Users!A199</f>
        <v>0</v>
      </c>
      <c r="C201" s="29" t="e">
        <f>VLOOKUP(A201,Users!A:D,2,FALSE)</f>
        <v>#N/A</v>
      </c>
      <c r="D201" s="29" t="e">
        <f>VLOOKUP(A201,Users!A:D,3,FALSE)</f>
        <v>#N/A</v>
      </c>
      <c r="E201" s="139">
        <f>COUNTIF(Visits!Y:Y,'Summer Challenge'!A201)</f>
        <v>0</v>
      </c>
      <c r="G201" t="e" cm="1">
        <f t="array" ref="G201">SUM(--(FREQUENCY(IF(Visits!E:E='Summer Challenge'!A201,Visits!Z:Z),Visits!Z:Z)&gt;0))</f>
        <v>#N/A</v>
      </c>
      <c r="H201">
        <f>SUMIF(Visits!E:E,'Summer Challenge'!A201,Visits!Z:Z)</f>
        <v>0</v>
      </c>
      <c r="J201" s="147">
        <f t="shared" si="8"/>
        <v>0</v>
      </c>
      <c r="K201" s="147"/>
      <c r="L201" s="5">
        <f>SUMIF(Visits!E:E,'Summer Challenge'!A201,Visits!J:J)</f>
        <v>0</v>
      </c>
      <c r="M201" s="5">
        <f t="shared" si="9"/>
        <v>0</v>
      </c>
      <c r="N201" s="5"/>
      <c r="O201" t="str">
        <f>IF(IFERROR(VLOOKUP(Users!E199,Credits!A:A,1,FALSE),"NO")="NO","NO","YES")</f>
        <v>NO</v>
      </c>
      <c r="P201" t="s">
        <v>314</v>
      </c>
      <c r="Q201" t="str">
        <f>IF(SUM('User Engagement'!I201:J201)&gt;=0,"YES", "NO")</f>
        <v>YES</v>
      </c>
    </row>
    <row r="202" spans="1:17" ht="16" x14ac:dyDescent="0.2">
      <c r="A202">
        <f>Users!A200</f>
        <v>0</v>
      </c>
      <c r="C202" s="29" t="e">
        <f>VLOOKUP(A202,Users!A:D,2,FALSE)</f>
        <v>#N/A</v>
      </c>
      <c r="D202" s="29" t="e">
        <f>VLOOKUP(A202,Users!A:D,3,FALSE)</f>
        <v>#N/A</v>
      </c>
      <c r="E202" s="139">
        <f>COUNTIF(Visits!Y:Y,'Summer Challenge'!A202)</f>
        <v>0</v>
      </c>
      <c r="G202" t="e" cm="1">
        <f t="array" ref="G202">SUM(--(FREQUENCY(IF(Visits!E:E='Summer Challenge'!A202,Visits!Z:Z),Visits!Z:Z)&gt;0))</f>
        <v>#N/A</v>
      </c>
      <c r="H202">
        <f>SUMIF(Visits!E:E,'Summer Challenge'!A202,Visits!Z:Z)</f>
        <v>0</v>
      </c>
      <c r="J202" s="147">
        <f t="shared" si="8"/>
        <v>0</v>
      </c>
      <c r="K202" s="147"/>
      <c r="L202" s="5">
        <f>SUMIF(Visits!E:E,'Summer Challenge'!A202,Visits!J:J)</f>
        <v>0</v>
      </c>
      <c r="M202" s="5">
        <f t="shared" si="9"/>
        <v>0</v>
      </c>
      <c r="N202" s="5"/>
      <c r="O202" t="str">
        <f>IF(IFERROR(VLOOKUP(Users!E200,Credits!A:A,1,FALSE),"NO")="NO","NO","YES")</f>
        <v>NO</v>
      </c>
      <c r="P202" t="s">
        <v>314</v>
      </c>
      <c r="Q202" t="str">
        <f>IF(SUM('User Engagement'!I202:J202)&gt;=0,"YES", "NO")</f>
        <v>YES</v>
      </c>
    </row>
    <row r="203" spans="1:17" ht="16" x14ac:dyDescent="0.2">
      <c r="A203">
        <f>Users!A201</f>
        <v>0</v>
      </c>
      <c r="C203" s="29" t="e">
        <f>VLOOKUP(A203,Users!A:D,2,FALSE)</f>
        <v>#N/A</v>
      </c>
      <c r="D203" s="29" t="e">
        <f>VLOOKUP(A203,Users!A:D,3,FALSE)</f>
        <v>#N/A</v>
      </c>
      <c r="E203" s="139">
        <f>COUNTIF(Visits!Y:Y,'Summer Challenge'!A203)</f>
        <v>0</v>
      </c>
      <c r="G203" t="e" cm="1">
        <f t="array" ref="G203">SUM(--(FREQUENCY(IF(Visits!E:E='Summer Challenge'!A203,Visits!Z:Z),Visits!Z:Z)&gt;0))</f>
        <v>#N/A</v>
      </c>
      <c r="H203">
        <f>SUMIF(Visits!E:E,'Summer Challenge'!A203,Visits!Z:Z)</f>
        <v>0</v>
      </c>
      <c r="J203" s="147">
        <f t="shared" si="8"/>
        <v>0</v>
      </c>
      <c r="K203" s="147"/>
      <c r="L203" s="5">
        <f>SUMIF(Visits!E:E,'Summer Challenge'!A203,Visits!J:J)</f>
        <v>0</v>
      </c>
      <c r="M203" s="5">
        <f t="shared" ref="M203:M205" si="10">L203*4</f>
        <v>0</v>
      </c>
      <c r="N203" s="5"/>
      <c r="O203" t="str">
        <f>IF(IFERROR(VLOOKUP(Users!E201,Credits!A:A,1,FALSE),"NO")="NO","NO","YES")</f>
        <v>NO</v>
      </c>
      <c r="P203" t="s">
        <v>314</v>
      </c>
      <c r="Q203" t="str">
        <f>IF(SUM('User Engagement'!I203:J203)&gt;=0,"YES", "NO")</f>
        <v>YES</v>
      </c>
    </row>
    <row r="204" spans="1:17" ht="16" x14ac:dyDescent="0.2">
      <c r="A204">
        <f>Users!A202</f>
        <v>0</v>
      </c>
      <c r="C204" s="29" t="e">
        <f>VLOOKUP(A204,Users!A:D,2,FALSE)</f>
        <v>#N/A</v>
      </c>
      <c r="D204" s="29" t="e">
        <f>VLOOKUP(A204,Users!A:D,3,FALSE)</f>
        <v>#N/A</v>
      </c>
      <c r="E204" s="139">
        <f>COUNTIF(Visits!Y:Y,'Summer Challenge'!A204)</f>
        <v>0</v>
      </c>
      <c r="G204" t="e" cm="1">
        <f t="array" ref="G204">SUM(--(FREQUENCY(IF(Visits!E:E='Summer Challenge'!A204,Visits!Z:Z),Visits!Z:Z)&gt;0))</f>
        <v>#N/A</v>
      </c>
      <c r="H204">
        <f>SUMIF(Visits!E:E,'Summer Challenge'!A204,Visits!Z:Z)</f>
        <v>0</v>
      </c>
      <c r="J204" s="147">
        <f t="shared" si="8"/>
        <v>0</v>
      </c>
      <c r="K204" s="147"/>
      <c r="L204" s="5">
        <f>SUMIF(Visits!E:E,'Summer Challenge'!A204,Visits!J:J)</f>
        <v>0</v>
      </c>
      <c r="M204" s="5">
        <f t="shared" si="10"/>
        <v>0</v>
      </c>
      <c r="N204" s="5"/>
      <c r="O204" t="str">
        <f>IF(IFERROR(VLOOKUP(Users!E202,Credits!A:A,1,FALSE),"NO")="NO","NO","YES")</f>
        <v>NO</v>
      </c>
      <c r="P204" t="s">
        <v>314</v>
      </c>
      <c r="Q204" t="str">
        <f>IF(SUM('User Engagement'!I204:J204)&gt;=0,"YES", "NO")</f>
        <v>YES</v>
      </c>
    </row>
    <row r="205" spans="1:17" ht="16" x14ac:dyDescent="0.2">
      <c r="A205">
        <f>Users!A203</f>
        <v>0</v>
      </c>
      <c r="C205" s="29" t="e">
        <f>VLOOKUP(A205,Users!A:D,2,FALSE)</f>
        <v>#N/A</v>
      </c>
      <c r="D205" s="29" t="e">
        <f>VLOOKUP(A205,Users!A:D,3,FALSE)</f>
        <v>#N/A</v>
      </c>
      <c r="E205" s="139">
        <f>COUNTIF(Visits!Y:Y,'Summer Challenge'!A205)</f>
        <v>0</v>
      </c>
      <c r="G205" t="e" cm="1">
        <f t="array" ref="G205">SUM(--(FREQUENCY(IF(Visits!E:E='Summer Challenge'!A205,Visits!Z:Z),Visits!Z:Z)&gt;0))</f>
        <v>#N/A</v>
      </c>
      <c r="H205">
        <f>SUMIF(Visits!E:E,'Summer Challenge'!A205,Visits!Z:Z)</f>
        <v>0</v>
      </c>
      <c r="J205" s="147">
        <f t="shared" si="8"/>
        <v>0</v>
      </c>
      <c r="K205" s="147"/>
      <c r="L205" s="5">
        <f>SUMIF(Visits!E:E,'Summer Challenge'!A205,Visits!J:J)</f>
        <v>0</v>
      </c>
      <c r="M205" s="5">
        <f t="shared" si="10"/>
        <v>0</v>
      </c>
      <c r="N205" s="5"/>
      <c r="O205" t="str">
        <f>IF(IFERROR(VLOOKUP(Users!E203,Credits!A:A,1,FALSE),"NO")="NO","NO","YES")</f>
        <v>NO</v>
      </c>
      <c r="P205" t="s">
        <v>314</v>
      </c>
      <c r="Q205" t="str">
        <f>IF(SUM('User Engagement'!I205:J205)&gt;=0,"YES", "NO")</f>
        <v>YES</v>
      </c>
    </row>
    <row r="206" spans="1:17" ht="16" x14ac:dyDescent="0.2">
      <c r="A206">
        <f>Users!A204</f>
        <v>0</v>
      </c>
      <c r="C206" s="29" t="e">
        <f>VLOOKUP(A206,Users!A:D,2,FALSE)</f>
        <v>#N/A</v>
      </c>
      <c r="D206" s="29" t="e">
        <f>VLOOKUP(A206,Users!A:D,3,FALSE)</f>
        <v>#N/A</v>
      </c>
      <c r="E206" s="139">
        <f>COUNTIF(Visits!Y:Y,'Summer Challenge'!A206)</f>
        <v>0</v>
      </c>
      <c r="G206" t="e" cm="1">
        <f t="array" ref="G206">SUM(--(FREQUENCY(IF(Visits!E:E='Summer Challenge'!A206,Visits!Z:Z),Visits!Z:Z)&gt;0))</f>
        <v>#N/A</v>
      </c>
      <c r="H206">
        <f>SUMIF(Visits!E:E,'Summer Challenge'!A206,Visits!Z:Z)</f>
        <v>0</v>
      </c>
      <c r="P206" t="s">
        <v>314</v>
      </c>
      <c r="Q206" t="str">
        <f>IF(SUM('User Engagement'!I206:J206)&gt;=0,"YES", "NO")</f>
        <v>YES</v>
      </c>
    </row>
    <row r="207" spans="1:17" ht="16" x14ac:dyDescent="0.2">
      <c r="A207">
        <f>Users!A205</f>
        <v>0</v>
      </c>
      <c r="C207" s="29" t="e">
        <f>VLOOKUP(A207,Users!A:D,2,FALSE)</f>
        <v>#N/A</v>
      </c>
      <c r="D207" s="29" t="e">
        <f>VLOOKUP(A207,Users!A:D,3,FALSE)</f>
        <v>#N/A</v>
      </c>
      <c r="E207" s="139">
        <f>COUNTIF(Visits!Y:Y,'Summer Challenge'!A207)</f>
        <v>0</v>
      </c>
      <c r="G207" t="e" cm="1">
        <f t="array" ref="G207">SUM(--(FREQUENCY(IF(Visits!E:E='Summer Challenge'!A207,Visits!Z:Z),Visits!Z:Z)&gt;0))</f>
        <v>#N/A</v>
      </c>
      <c r="H207">
        <f>SUMIF(Visits!E:E,'Summer Challenge'!A207,Visits!Z:Z)</f>
        <v>0</v>
      </c>
      <c r="P207" t="s">
        <v>314</v>
      </c>
      <c r="Q207" t="str">
        <f>IF(SUM('User Engagement'!I207:J207)&gt;=0,"YES", "NO")</f>
        <v>YES</v>
      </c>
    </row>
    <row r="208" spans="1:17" ht="16" x14ac:dyDescent="0.2">
      <c r="A208">
        <f>Users!A206</f>
        <v>0</v>
      </c>
      <c r="C208" s="29" t="e">
        <f>VLOOKUP(A208,Users!A:D,2,FALSE)</f>
        <v>#N/A</v>
      </c>
      <c r="D208" s="29" t="e">
        <f>VLOOKUP(A208,Users!A:D,3,FALSE)</f>
        <v>#N/A</v>
      </c>
      <c r="E208" s="139">
        <f>COUNTIF(Visits!Y:Y,'Summer Challenge'!A208)</f>
        <v>0</v>
      </c>
      <c r="G208" t="e" cm="1">
        <f t="array" ref="G208">SUM(--(FREQUENCY(IF(Visits!E:E='Summer Challenge'!A208,Visits!Z:Z),Visits!Z:Z)&gt;0))</f>
        <v>#N/A</v>
      </c>
      <c r="H208">
        <f>SUMIF(Visits!E:E,'Summer Challenge'!A208,Visits!Z:Z)</f>
        <v>0</v>
      </c>
      <c r="P208" t="s">
        <v>314</v>
      </c>
      <c r="Q208" t="str">
        <f>IF(SUM('User Engagement'!I208:J208)&gt;=0,"YES", "NO")</f>
        <v>YES</v>
      </c>
    </row>
    <row r="209" spans="1:19" ht="34" x14ac:dyDescent="0.2">
      <c r="A209" s="138" t="s">
        <v>94</v>
      </c>
      <c r="B209" s="138"/>
      <c r="C209" s="138" t="s">
        <v>95</v>
      </c>
      <c r="D209" s="138" t="s">
        <v>96</v>
      </c>
      <c r="E209" s="140" t="s">
        <v>331</v>
      </c>
      <c r="F209" s="142" t="s">
        <v>332</v>
      </c>
      <c r="G209" s="137" t="s">
        <v>333</v>
      </c>
      <c r="H209" s="137" t="s">
        <v>334</v>
      </c>
      <c r="I209" s="144" t="s">
        <v>335</v>
      </c>
      <c r="J209" s="138" t="s">
        <v>336</v>
      </c>
      <c r="K209" s="138"/>
      <c r="L209" s="138" t="s">
        <v>338</v>
      </c>
      <c r="M209" s="138" t="s">
        <v>339</v>
      </c>
      <c r="N209" s="138" t="s">
        <v>340</v>
      </c>
      <c r="O209" s="138" t="s">
        <v>341</v>
      </c>
      <c r="P209" t="s">
        <v>314</v>
      </c>
      <c r="Q209" t="str">
        <f>IF(SUM('User Engagement'!I209:J209)&gt;=0,"YES", "NO")</f>
        <v>YES</v>
      </c>
      <c r="R209" s="138"/>
      <c r="S209" s="138" t="s">
        <v>345</v>
      </c>
    </row>
    <row r="210" spans="1:19" ht="16" x14ac:dyDescent="0.2">
      <c r="A210">
        <f>Users!A208</f>
        <v>0</v>
      </c>
      <c r="C210" s="29" t="e">
        <f>VLOOKUP(A210,Users!A:D,2,FALSE)</f>
        <v>#N/A</v>
      </c>
      <c r="D210" s="29" t="e">
        <f>VLOOKUP(A210,Users!A:D,3,FALSE)</f>
        <v>#N/A</v>
      </c>
      <c r="E210" s="139">
        <f>COUNTIF(Visits!Y:Y,'Summer Challenge'!A210)</f>
        <v>0</v>
      </c>
      <c r="F210" s="141">
        <v>-8</v>
      </c>
      <c r="G210" t="e" cm="1">
        <f t="array" ref="G210">SUM(--(FREQUENCY(IF(Visits!E:E='Summer Challenge'!A210,Visits!Z:Z),Visits!Z:Z)&gt;0))</f>
        <v>#N/A</v>
      </c>
      <c r="H210">
        <f>SUMIF(Visits!E:E,'Summer Challenge'!A210,Visits!Z:Z)</f>
        <v>0</v>
      </c>
      <c r="J210" s="147">
        <f>L210*10/2</f>
        <v>0</v>
      </c>
      <c r="K210" s="147"/>
      <c r="L210" s="5">
        <f>SUMIF(Visits!E:E,'Summer Challenge'!A210,Visits!J:J)</f>
        <v>0</v>
      </c>
      <c r="M210" s="5">
        <f>L210*4</f>
        <v>0</v>
      </c>
      <c r="N210" s="146" t="s">
        <v>343</v>
      </c>
      <c r="O210" t="str">
        <f>IF(IFERROR(VLOOKUP(Users!E208,Credits!A:A,1,FALSE),"NO")="NO","NO","YES")</f>
        <v>NO</v>
      </c>
      <c r="P210" t="s">
        <v>314</v>
      </c>
      <c r="Q210" t="str">
        <f>IF(SUM('User Engagement'!I210:J210)&gt;=0,"YES", "NO")</f>
        <v>YES</v>
      </c>
    </row>
    <row r="211" spans="1:19" ht="16" x14ac:dyDescent="0.2">
      <c r="A211">
        <f>Users!A209</f>
        <v>0</v>
      </c>
      <c r="C211" s="29" t="e">
        <f>VLOOKUP(A211,Users!A:D,2,FALSE)</f>
        <v>#N/A</v>
      </c>
      <c r="D211" s="29" t="e">
        <f>VLOOKUP(A211,Users!A:D,3,FALSE)</f>
        <v>#N/A</v>
      </c>
      <c r="E211" s="139">
        <f>COUNTIF(Visits!Y:Y,'Summer Challenge'!A211)</f>
        <v>0</v>
      </c>
      <c r="G211" t="e" cm="1">
        <f t="array" ref="G211">SUM(--(FREQUENCY(IF(Visits!E:E='Summer Challenge'!A211,Visits!Z:Z),Visits!Z:Z)&gt;0))</f>
        <v>#N/A</v>
      </c>
      <c r="H211">
        <f>SUMIF(Visits!E:E,'Summer Challenge'!A211,Visits!Z:Z)</f>
        <v>0</v>
      </c>
      <c r="J211" s="147">
        <f>L211*10/2</f>
        <v>0</v>
      </c>
      <c r="K211" s="147"/>
      <c r="L211" s="5">
        <f>SUMIF(Visits!E:E,'Summer Challenge'!A211,Visits!J:J)</f>
        <v>0</v>
      </c>
      <c r="M211" s="5">
        <f>L211*4</f>
        <v>0</v>
      </c>
      <c r="N211" s="5"/>
      <c r="O211" t="str">
        <f>IF(IFERROR(VLOOKUP(Users!E209,Credits!A:A,1,FALSE),"NO")="NO","NO","YES")</f>
        <v>NO</v>
      </c>
      <c r="P211" t="s">
        <v>314</v>
      </c>
      <c r="Q211" t="str">
        <f>IF(SUM('User Engagement'!I211:J211)&gt;=0,"YES", "NO")</f>
        <v>YES</v>
      </c>
    </row>
    <row r="212" spans="1:19" ht="16" x14ac:dyDescent="0.2">
      <c r="A212">
        <f>Users!A210</f>
        <v>0</v>
      </c>
      <c r="C212" s="29" t="e">
        <f>VLOOKUP(A212,Users!A:D,2,FALSE)</f>
        <v>#N/A</v>
      </c>
      <c r="D212" s="29" t="e">
        <f>VLOOKUP(A212,Users!A:D,3,FALSE)</f>
        <v>#N/A</v>
      </c>
      <c r="E212" s="139">
        <f>COUNTIF(Visits!Y:Y,'Summer Challenge'!A212)</f>
        <v>0</v>
      </c>
      <c r="G212" t="e" cm="1">
        <f t="array" ref="G212">SUM(--(FREQUENCY(IF(Visits!E:E='Summer Challenge'!A212,Visits!Z:Z),Visits!Z:Z)&gt;0))</f>
        <v>#N/A</v>
      </c>
      <c r="H212">
        <f>SUMIF(Visits!E:E,'Summer Challenge'!A212,Visits!Z:Z)</f>
        <v>0</v>
      </c>
      <c r="J212" s="147">
        <f>L212*10/2</f>
        <v>0</v>
      </c>
      <c r="K212" s="147"/>
      <c r="L212" s="5">
        <f>SUMIF(Visits!E:E,'Summer Challenge'!A212,Visits!J:J)</f>
        <v>0</v>
      </c>
      <c r="M212" s="5">
        <f>L212*4</f>
        <v>0</v>
      </c>
      <c r="N212" s="5"/>
      <c r="O212" t="str">
        <f>IF(IFERROR(VLOOKUP(Users!E210,Credits!A:A,1,FALSE),"NO")="NO","NO","YES")</f>
        <v>NO</v>
      </c>
      <c r="P212" t="s">
        <v>314</v>
      </c>
      <c r="Q212" t="str">
        <f>IF(SUM('User Engagement'!I212:J212)&gt;=0,"YES", "NO")</f>
        <v>YES</v>
      </c>
    </row>
    <row r="213" spans="1:19" ht="16" x14ac:dyDescent="0.2">
      <c r="A213">
        <f>Users!A211</f>
        <v>0</v>
      </c>
      <c r="C213" s="29" t="e">
        <f>VLOOKUP(A213,Users!A:D,2,FALSE)</f>
        <v>#N/A</v>
      </c>
      <c r="D213" s="29" t="e">
        <f>VLOOKUP(A213,Users!A:D,3,FALSE)</f>
        <v>#N/A</v>
      </c>
      <c r="E213" s="139">
        <f>COUNTIF(Visits!Y:Y,'Summer Challenge'!A213)</f>
        <v>0</v>
      </c>
      <c r="G213" t="e" cm="1">
        <f t="array" ref="G213">SUM(--(FREQUENCY(IF(Visits!E:E='Summer Challenge'!A213,Visits!Z:Z),Visits!Z:Z)&gt;0))</f>
        <v>#N/A</v>
      </c>
      <c r="H213">
        <f>SUMIF(Visits!E:E,'Summer Challenge'!A213,Visits!Z:Z)</f>
        <v>0</v>
      </c>
      <c r="J213" s="147">
        <f>L213*10/2</f>
        <v>0</v>
      </c>
      <c r="K213" s="147"/>
      <c r="L213" s="5">
        <f>SUMIF(Visits!E:E,'Summer Challenge'!A213,Visits!J:J)</f>
        <v>0</v>
      </c>
      <c r="M213" s="5">
        <f>L213*4</f>
        <v>0</v>
      </c>
      <c r="N213" s="5"/>
      <c r="O213" t="str">
        <f>IF(IFERROR(VLOOKUP(Users!E211,Credits!A:A,1,FALSE),"NO")="NO","NO","YES")</f>
        <v>NO</v>
      </c>
      <c r="P213" t="s">
        <v>314</v>
      </c>
      <c r="Q213" t="str">
        <f>IF(SUM('User Engagement'!I213:J213)&gt;=0,"YES", "NO")</f>
        <v>YES</v>
      </c>
    </row>
    <row r="214" spans="1:19" ht="16" x14ac:dyDescent="0.2">
      <c r="A214">
        <f>Users!A212</f>
        <v>0</v>
      </c>
      <c r="C214" s="29" t="e">
        <f>VLOOKUP(A214,Users!A:D,2,FALSE)</f>
        <v>#N/A</v>
      </c>
      <c r="D214" s="29" t="e">
        <f>VLOOKUP(A214,Users!A:D,3,FALSE)</f>
        <v>#N/A</v>
      </c>
      <c r="E214" s="139">
        <f>COUNTIF(Visits!Y:Y,'Summer Challenge'!A214)</f>
        <v>0</v>
      </c>
      <c r="G214" t="e" cm="1">
        <f t="array" ref="G214">SUM(--(FREQUENCY(IF(Visits!E:E='Summer Challenge'!A214,Visits!Z:Z),Visits!Z:Z)&gt;0))</f>
        <v>#N/A</v>
      </c>
      <c r="H214">
        <f>SUMIF(Visits!E:E,'Summer Challenge'!A214,Visits!Z:Z)</f>
        <v>0</v>
      </c>
      <c r="J214" s="147">
        <f>L214*10/2</f>
        <v>0</v>
      </c>
      <c r="K214" s="147"/>
      <c r="L214" s="5">
        <f>SUMIF(Visits!E:E,'Summer Challenge'!A214,Visits!J:J)</f>
        <v>0</v>
      </c>
      <c r="M214" s="5">
        <f>L214*4</f>
        <v>0</v>
      </c>
      <c r="N214" s="5"/>
      <c r="O214" t="str">
        <f>IF(IFERROR(VLOOKUP(Users!E212,Credits!A:A,1,FALSE),"NO")="NO","NO","YES")</f>
        <v>NO</v>
      </c>
      <c r="P214" t="s">
        <v>314</v>
      </c>
      <c r="Q214" t="str">
        <f>IF(SUM('User Engagement'!I214:J214)&gt;=0,"YES", "NO")</f>
        <v>YES</v>
      </c>
    </row>
    <row r="215" spans="1:19" ht="16" x14ac:dyDescent="0.2">
      <c r="C215" s="29"/>
      <c r="D215" s="29"/>
    </row>
    <row r="216" spans="1:19" ht="16" x14ac:dyDescent="0.2">
      <c r="C216" s="29"/>
      <c r="D216" s="29"/>
    </row>
    <row r="217" spans="1:19" ht="16" x14ac:dyDescent="0.2">
      <c r="C217" s="29"/>
      <c r="D217" s="29"/>
    </row>
    <row r="218" spans="1:19" ht="16" x14ac:dyDescent="0.2">
      <c r="C218" s="29"/>
      <c r="D218" s="29"/>
    </row>
    <row r="219" spans="1:19" ht="16" x14ac:dyDescent="0.2">
      <c r="C219" s="29"/>
      <c r="D219" s="29"/>
    </row>
    <row r="220" spans="1:19" ht="16" x14ac:dyDescent="0.2">
      <c r="C220" s="29"/>
      <c r="D220" s="29"/>
    </row>
    <row r="221" spans="1:19" ht="16" x14ac:dyDescent="0.2">
      <c r="C221" s="29"/>
      <c r="D221" s="29"/>
    </row>
    <row r="222" spans="1:19" ht="16" x14ac:dyDescent="0.2">
      <c r="C222" s="29"/>
      <c r="D222" s="29"/>
    </row>
    <row r="223" spans="1:19" ht="16" x14ac:dyDescent="0.2">
      <c r="C223" s="29"/>
      <c r="D223" s="29"/>
    </row>
    <row r="224" spans="1:19" ht="16" x14ac:dyDescent="0.2">
      <c r="C224" s="29"/>
      <c r="D224" s="29"/>
    </row>
    <row r="225" spans="3:4" ht="16" x14ac:dyDescent="0.2">
      <c r="C225" s="29"/>
      <c r="D225" s="29"/>
    </row>
    <row r="226" spans="3:4" ht="16" x14ac:dyDescent="0.2">
      <c r="C226" s="29"/>
      <c r="D226" s="29"/>
    </row>
    <row r="227" spans="3:4" ht="16" x14ac:dyDescent="0.2">
      <c r="C227" s="29"/>
      <c r="D227" s="29"/>
    </row>
    <row r="228" spans="3:4" ht="16" x14ac:dyDescent="0.2">
      <c r="C228" s="29"/>
      <c r="D228" s="29"/>
    </row>
    <row r="229" spans="3:4" ht="16" x14ac:dyDescent="0.2">
      <c r="C229" s="29"/>
      <c r="D229" s="29"/>
    </row>
    <row r="230" spans="3:4" ht="16" x14ac:dyDescent="0.2">
      <c r="C230" s="29"/>
      <c r="D230" s="29"/>
    </row>
    <row r="231" spans="3:4" ht="16" x14ac:dyDescent="0.2">
      <c r="C231" s="29"/>
      <c r="D231" s="29"/>
    </row>
    <row r="232" spans="3:4" ht="16" x14ac:dyDescent="0.2">
      <c r="C232" s="29"/>
      <c r="D232" s="29"/>
    </row>
    <row r="233" spans="3:4" ht="16" x14ac:dyDescent="0.2">
      <c r="C233" s="29"/>
      <c r="D233" s="29"/>
    </row>
    <row r="234" spans="3:4" ht="16" x14ac:dyDescent="0.2">
      <c r="C234" s="29"/>
      <c r="D234" s="29"/>
    </row>
    <row r="235" spans="3:4" ht="16" x14ac:dyDescent="0.2">
      <c r="C235" s="29"/>
      <c r="D235" s="29"/>
    </row>
    <row r="236" spans="3:4" ht="16" x14ac:dyDescent="0.2">
      <c r="C236" s="29"/>
      <c r="D236" s="29"/>
    </row>
    <row r="237" spans="3:4" ht="16" x14ac:dyDescent="0.2">
      <c r="C237" s="29"/>
      <c r="D237" s="29"/>
    </row>
    <row r="238" spans="3:4" ht="16" x14ac:dyDescent="0.2">
      <c r="C238" s="29"/>
      <c r="D238" s="29"/>
    </row>
    <row r="239" spans="3:4" ht="16" x14ac:dyDescent="0.2">
      <c r="C239" s="29"/>
      <c r="D239" s="29"/>
    </row>
    <row r="240" spans="3:4" ht="16" x14ac:dyDescent="0.2">
      <c r="C240" s="29"/>
      <c r="D240" s="29"/>
    </row>
    <row r="241" spans="3:4" ht="16" x14ac:dyDescent="0.2">
      <c r="C241" s="29"/>
      <c r="D241" s="29"/>
    </row>
    <row r="242" spans="3:4" ht="16" x14ac:dyDescent="0.2">
      <c r="C242" s="29"/>
      <c r="D242" s="29"/>
    </row>
    <row r="243" spans="3:4" ht="16" x14ac:dyDescent="0.2">
      <c r="C243" s="29"/>
      <c r="D243" s="29"/>
    </row>
    <row r="244" spans="3:4" ht="16" x14ac:dyDescent="0.2">
      <c r="C244" s="29"/>
      <c r="D244" s="29"/>
    </row>
    <row r="245" spans="3:4" ht="16" x14ac:dyDescent="0.2">
      <c r="C245" s="29"/>
      <c r="D245" s="29"/>
    </row>
    <row r="246" spans="3:4" ht="16" x14ac:dyDescent="0.2">
      <c r="C246" s="29"/>
      <c r="D246" s="29"/>
    </row>
    <row r="247" spans="3:4" ht="16" x14ac:dyDescent="0.2">
      <c r="C247" s="29"/>
      <c r="D247" s="29"/>
    </row>
    <row r="248" spans="3:4" ht="16" x14ac:dyDescent="0.2">
      <c r="C248" s="29"/>
      <c r="D248" s="29"/>
    </row>
    <row r="249" spans="3:4" ht="16" x14ac:dyDescent="0.2">
      <c r="C249" s="29"/>
      <c r="D249" s="29"/>
    </row>
    <row r="250" spans="3:4" ht="16" x14ac:dyDescent="0.2">
      <c r="C250" s="29"/>
      <c r="D250" s="29"/>
    </row>
    <row r="251" spans="3:4" ht="16" x14ac:dyDescent="0.2">
      <c r="C251" s="29"/>
      <c r="D251" s="29"/>
    </row>
    <row r="252" spans="3:4" ht="16" x14ac:dyDescent="0.2">
      <c r="C252" s="29"/>
      <c r="D252" s="29"/>
    </row>
    <row r="253" spans="3:4" ht="16" x14ac:dyDescent="0.2">
      <c r="C253" s="29"/>
      <c r="D253" s="29"/>
    </row>
    <row r="254" spans="3:4" ht="16" x14ac:dyDescent="0.2">
      <c r="C254" s="29"/>
      <c r="D254" s="29"/>
    </row>
    <row r="255" spans="3:4" ht="16" x14ac:dyDescent="0.2">
      <c r="C255" s="29"/>
      <c r="D255" s="29"/>
    </row>
    <row r="256" spans="3:4" ht="16" x14ac:dyDescent="0.2">
      <c r="C256" s="29"/>
      <c r="D256" s="29"/>
    </row>
    <row r="257" spans="3:4" ht="16" x14ac:dyDescent="0.2">
      <c r="C257" s="29"/>
      <c r="D257" s="29"/>
    </row>
    <row r="258" spans="3:4" ht="16" x14ac:dyDescent="0.2">
      <c r="C258" s="29"/>
      <c r="D258" s="29"/>
    </row>
    <row r="259" spans="3:4" ht="16" x14ac:dyDescent="0.2">
      <c r="C259" s="29"/>
      <c r="D259" s="29"/>
    </row>
    <row r="260" spans="3:4" ht="16" x14ac:dyDescent="0.2">
      <c r="C260" s="29"/>
      <c r="D260" s="29"/>
    </row>
    <row r="261" spans="3:4" ht="16" x14ac:dyDescent="0.2">
      <c r="C261" s="29"/>
      <c r="D261" s="29"/>
    </row>
    <row r="262" spans="3:4" ht="16" x14ac:dyDescent="0.2">
      <c r="C262" s="29"/>
      <c r="D262" s="29"/>
    </row>
    <row r="263" spans="3:4" ht="16" x14ac:dyDescent="0.2">
      <c r="C263" s="29"/>
      <c r="D263" s="29"/>
    </row>
    <row r="264" spans="3:4" ht="16" x14ac:dyDescent="0.2">
      <c r="C264" s="29"/>
      <c r="D264" s="29"/>
    </row>
    <row r="265" spans="3:4" ht="16" x14ac:dyDescent="0.2">
      <c r="C265" s="29"/>
      <c r="D265" s="29"/>
    </row>
    <row r="266" spans="3:4" ht="16" x14ac:dyDescent="0.2">
      <c r="C266" s="29"/>
      <c r="D266" s="29"/>
    </row>
    <row r="267" spans="3:4" ht="16" x14ac:dyDescent="0.2">
      <c r="C267" s="29"/>
      <c r="D267" s="29"/>
    </row>
    <row r="268" spans="3:4" ht="16" x14ac:dyDescent="0.2">
      <c r="C268" s="29"/>
      <c r="D268" s="29"/>
    </row>
    <row r="269" spans="3:4" ht="16" x14ac:dyDescent="0.2">
      <c r="C269" s="29"/>
      <c r="D269" s="29"/>
    </row>
    <row r="270" spans="3:4" ht="16" x14ac:dyDescent="0.2">
      <c r="C270" s="29"/>
      <c r="D270" s="29"/>
    </row>
    <row r="271" spans="3:4" ht="16" x14ac:dyDescent="0.2">
      <c r="C271" s="29"/>
      <c r="D271" s="29"/>
    </row>
    <row r="272" spans="3:4" ht="16" x14ac:dyDescent="0.2">
      <c r="C272" s="29"/>
      <c r="D272" s="29"/>
    </row>
    <row r="273" spans="3:4" ht="16" x14ac:dyDescent="0.2">
      <c r="C273" s="29"/>
      <c r="D273" s="29"/>
    </row>
    <row r="274" spans="3:4" ht="16" x14ac:dyDescent="0.2">
      <c r="C274" s="29"/>
      <c r="D274" s="29"/>
    </row>
    <row r="275" spans="3:4" ht="16" x14ac:dyDescent="0.2">
      <c r="C275" s="29"/>
      <c r="D275" s="29"/>
    </row>
    <row r="276" spans="3:4" ht="16" x14ac:dyDescent="0.2">
      <c r="C276" s="29"/>
      <c r="D276" s="29"/>
    </row>
    <row r="277" spans="3:4" ht="16" x14ac:dyDescent="0.2">
      <c r="C277" s="29"/>
      <c r="D277" s="29"/>
    </row>
    <row r="278" spans="3:4" ht="16" x14ac:dyDescent="0.2">
      <c r="C278" s="29"/>
      <c r="D278" s="29"/>
    </row>
    <row r="279" spans="3:4" ht="16" x14ac:dyDescent="0.2">
      <c r="C279" s="29"/>
      <c r="D279" s="29"/>
    </row>
    <row r="280" spans="3:4" ht="16" x14ac:dyDescent="0.2">
      <c r="C280" s="29"/>
      <c r="D280" s="29"/>
    </row>
    <row r="281" spans="3:4" ht="16" x14ac:dyDescent="0.2">
      <c r="C281" s="29"/>
      <c r="D281" s="29"/>
    </row>
    <row r="282" spans="3:4" ht="16" x14ac:dyDescent="0.2">
      <c r="C282" s="29"/>
      <c r="D282" s="29"/>
    </row>
    <row r="283" spans="3:4" ht="16" x14ac:dyDescent="0.2">
      <c r="C283" s="29"/>
      <c r="D283" s="29"/>
    </row>
    <row r="284" spans="3:4" ht="16" x14ac:dyDescent="0.2">
      <c r="C284" s="29"/>
      <c r="D284" s="29"/>
    </row>
    <row r="285" spans="3:4" ht="16" x14ac:dyDescent="0.2">
      <c r="C285" s="29"/>
      <c r="D285" s="29"/>
    </row>
    <row r="286" spans="3:4" ht="16" x14ac:dyDescent="0.2">
      <c r="C286" s="29"/>
      <c r="D286" s="29"/>
    </row>
    <row r="287" spans="3:4" ht="16" x14ac:dyDescent="0.2">
      <c r="C287" s="29"/>
      <c r="D287" s="29"/>
    </row>
    <row r="288" spans="3:4" ht="16" x14ac:dyDescent="0.2">
      <c r="C288" s="29"/>
      <c r="D288" s="29"/>
    </row>
    <row r="289" spans="3:4" ht="16" x14ac:dyDescent="0.2">
      <c r="C289" s="29"/>
      <c r="D289" s="29"/>
    </row>
    <row r="290" spans="3:4" ht="16" x14ac:dyDescent="0.2">
      <c r="C290" s="29"/>
      <c r="D290" s="29"/>
    </row>
    <row r="291" spans="3:4" ht="16" x14ac:dyDescent="0.2">
      <c r="C291" s="29"/>
      <c r="D291" s="29"/>
    </row>
    <row r="292" spans="3:4" ht="16" x14ac:dyDescent="0.2">
      <c r="C292" s="29"/>
      <c r="D292" s="29"/>
    </row>
    <row r="293" spans="3:4" ht="16" x14ac:dyDescent="0.2">
      <c r="C293" s="29"/>
      <c r="D293" s="29"/>
    </row>
    <row r="294" spans="3:4" ht="16" x14ac:dyDescent="0.2">
      <c r="C294" s="29"/>
      <c r="D294" s="29"/>
    </row>
    <row r="295" spans="3:4" ht="16" x14ac:dyDescent="0.2">
      <c r="C295" s="29"/>
      <c r="D295" s="29"/>
    </row>
    <row r="296" spans="3:4" ht="16" x14ac:dyDescent="0.2">
      <c r="C296" s="29"/>
      <c r="D296" s="29"/>
    </row>
    <row r="297" spans="3:4" ht="16" x14ac:dyDescent="0.2">
      <c r="C297" s="29"/>
      <c r="D297" s="29"/>
    </row>
    <row r="298" spans="3:4" ht="16" x14ac:dyDescent="0.2">
      <c r="C298" s="29"/>
      <c r="D298" s="29"/>
    </row>
    <row r="299" spans="3:4" ht="16" x14ac:dyDescent="0.2">
      <c r="C299" s="29"/>
      <c r="D299" s="29"/>
    </row>
    <row r="300" spans="3:4" ht="16" x14ac:dyDescent="0.2">
      <c r="C300" s="29"/>
      <c r="D300" s="29"/>
    </row>
    <row r="301" spans="3:4" ht="16" x14ac:dyDescent="0.2">
      <c r="C301" s="29"/>
      <c r="D301" s="29"/>
    </row>
    <row r="302" spans="3:4" ht="16" x14ac:dyDescent="0.2">
      <c r="C302" s="29"/>
      <c r="D302" s="29"/>
    </row>
    <row r="303" spans="3:4" ht="16" x14ac:dyDescent="0.2">
      <c r="C303" s="29"/>
      <c r="D303" s="29"/>
    </row>
    <row r="304" spans="3:4" ht="16" x14ac:dyDescent="0.2">
      <c r="C304" s="29"/>
      <c r="D304" s="29"/>
    </row>
    <row r="305" spans="3:4" ht="16" x14ac:dyDescent="0.2">
      <c r="C305" s="29"/>
      <c r="D305" s="29"/>
    </row>
    <row r="306" spans="3:4" ht="16" x14ac:dyDescent="0.2">
      <c r="C306" s="29"/>
      <c r="D306" s="29"/>
    </row>
    <row r="307" spans="3:4" ht="16" x14ac:dyDescent="0.2">
      <c r="C307" s="29"/>
      <c r="D307" s="29"/>
    </row>
    <row r="308" spans="3:4" ht="16" x14ac:dyDescent="0.2">
      <c r="C308" s="29"/>
      <c r="D308" s="29"/>
    </row>
    <row r="309" spans="3:4" ht="16" x14ac:dyDescent="0.2">
      <c r="C309" s="29"/>
      <c r="D309" s="29"/>
    </row>
    <row r="310" spans="3:4" ht="16" x14ac:dyDescent="0.2">
      <c r="C310" s="29"/>
      <c r="D310" s="29"/>
    </row>
    <row r="311" spans="3:4" ht="16" x14ac:dyDescent="0.2">
      <c r="C311" s="29"/>
      <c r="D311" s="29"/>
    </row>
    <row r="312" spans="3:4" ht="16" x14ac:dyDescent="0.2">
      <c r="C312" s="29"/>
      <c r="D312" s="29"/>
    </row>
    <row r="313" spans="3:4" ht="16" x14ac:dyDescent="0.2">
      <c r="C313" s="29"/>
      <c r="D313" s="29"/>
    </row>
    <row r="314" spans="3:4" ht="16" x14ac:dyDescent="0.2">
      <c r="C314" s="29"/>
      <c r="D314" s="29"/>
    </row>
    <row r="315" spans="3:4" ht="16" x14ac:dyDescent="0.2">
      <c r="C315" s="29"/>
      <c r="D315" s="29"/>
    </row>
    <row r="316" spans="3:4" ht="16" x14ac:dyDescent="0.2">
      <c r="C316" s="29"/>
      <c r="D316" s="29"/>
    </row>
  </sheetData>
  <autoFilter ref="A3:S214" xr:uid="{F9B83825-5EE1-44A0-97CF-4C7336F8D91D}"/>
  <mergeCells count="4">
    <mergeCell ref="E2:F2"/>
    <mergeCell ref="G2:H2"/>
    <mergeCell ref="E1:I1"/>
    <mergeCell ref="P2:S2"/>
  </mergeCells>
  <conditionalFormatting sqref="E1:E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{FAE29D97-89E4-41EA-8A69-36533F839D59}</x14:id>
        </ext>
      </extLst>
    </cfRule>
  </conditionalFormatting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{9FB90E02-056B-4DC5-B07D-C11BCF789A09}</x14:id>
        </ext>
      </extLst>
    </cfRule>
  </conditionalFormatting>
  <conditionalFormatting sqref="G1:G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{96C0EF49-2A2E-47A1-AD08-9743899FFCCA}</x14:id>
        </ext>
      </extLst>
    </cfRule>
  </conditionalFormatting>
  <conditionalFormatting sqref="H1:H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{4FF588F2-643E-48BD-BE95-A9821F766434}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E29D97-89E4-41EA-8A69-36533F839D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9FB90E02-056B-4DC5-B07D-C11BCF789A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96C0EF49-2A2E-47A1-AD08-9743899FFC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4FF588F2-643E-48BD-BE95-A9821F7664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ACFC-4ABF-744F-B768-F3DAD832B8CE}">
  <sheetPr>
    <tabColor rgb="FFFF0000"/>
  </sheetPr>
  <dimension ref="A1:V316"/>
  <sheetViews>
    <sheetView zoomScale="130" zoomScaleNormal="130" workbookViewId="0">
      <selection activeCell="F4" sqref="F4"/>
    </sheetView>
  </sheetViews>
  <sheetFormatPr baseColWidth="10" defaultColWidth="11" defaultRowHeight="15.75" customHeight="1" x14ac:dyDescent="0.2"/>
  <cols>
    <col min="1" max="1" width="33.33203125" bestFit="1" customWidth="1"/>
    <col min="2" max="2" width="12.5" bestFit="1" customWidth="1"/>
    <col min="3" max="3" width="20.33203125" bestFit="1" customWidth="1"/>
    <col min="4" max="4" width="15.6640625" customWidth="1"/>
    <col min="5" max="5" width="11.1640625" customWidth="1"/>
    <col min="6" max="6" width="12.83203125" customWidth="1"/>
    <col min="7" max="7" width="11" style="5"/>
    <col min="8" max="8" width="11" style="5" customWidth="1"/>
    <col min="9" max="9" width="11" style="5"/>
    <col min="10" max="18" width="11" style="5" customWidth="1"/>
    <col min="19" max="19" width="11.1640625" style="5" customWidth="1"/>
    <col min="20" max="20" width="11" style="5"/>
    <col min="21" max="21" width="15.5" style="5" bestFit="1" customWidth="1"/>
  </cols>
  <sheetData>
    <row r="1" spans="1:22" ht="16" x14ac:dyDescent="0.2">
      <c r="A1" t="s">
        <v>325</v>
      </c>
      <c r="B1" s="1">
        <f>'New Dashboard'!B3</f>
        <v>45474</v>
      </c>
    </row>
    <row r="2" spans="1:22" ht="16" customHeight="1" x14ac:dyDescent="0.2">
      <c r="S2" s="197" t="s">
        <v>346</v>
      </c>
      <c r="T2" s="197"/>
      <c r="U2" s="197"/>
      <c r="V2" s="197"/>
    </row>
    <row r="3" spans="1:22" s="2" customFormat="1" ht="65.25" customHeight="1" x14ac:dyDescent="0.2">
      <c r="A3" s="2" t="s">
        <v>94</v>
      </c>
      <c r="B3" s="2" t="s">
        <v>95</v>
      </c>
      <c r="C3" s="2" t="s">
        <v>96</v>
      </c>
      <c r="D3" s="2" t="s">
        <v>98</v>
      </c>
      <c r="E3" s="2" t="s">
        <v>99</v>
      </c>
      <c r="F3" s="2" t="s">
        <v>100</v>
      </c>
      <c r="G3" s="3" t="s">
        <v>347</v>
      </c>
      <c r="H3" s="3" t="s">
        <v>102</v>
      </c>
      <c r="I3" s="3" t="s">
        <v>103</v>
      </c>
      <c r="J3" s="3" t="s">
        <v>104</v>
      </c>
      <c r="K3" s="3" t="s">
        <v>348</v>
      </c>
      <c r="L3" s="3" t="s">
        <v>349</v>
      </c>
      <c r="M3" s="3" t="s">
        <v>350</v>
      </c>
      <c r="N3" s="3" t="s">
        <v>351</v>
      </c>
      <c r="O3" s="3" t="s">
        <v>105</v>
      </c>
      <c r="P3" s="3" t="s">
        <v>106</v>
      </c>
      <c r="Q3" s="3" t="s">
        <v>352</v>
      </c>
      <c r="R3" s="3" t="s">
        <v>107</v>
      </c>
      <c r="S3" s="3" t="s">
        <v>108</v>
      </c>
      <c r="T3" s="3" t="s">
        <v>109</v>
      </c>
      <c r="U3" s="3" t="s">
        <v>110</v>
      </c>
      <c r="V3" s="3" t="s">
        <v>111</v>
      </c>
    </row>
    <row r="4" spans="1:22" ht="16" x14ac:dyDescent="0.2">
      <c r="A4" t="str">
        <f>Users!A2</f>
        <v>aidanakassymova@gmail.com</v>
      </c>
      <c r="B4" s="29" t="str">
        <f>VLOOKUP(A4,Users!A:D,2,FALSE)</f>
        <v>Aidana</v>
      </c>
      <c r="C4" s="29" t="str">
        <f>VLOOKUP(A4,Users!A:D,3,FALSE)</f>
        <v>Kassymova</v>
      </c>
      <c r="D4" t="s">
        <v>117</v>
      </c>
      <c r="E4" t="s">
        <v>118</v>
      </c>
      <c r="F4" s="1" t="e" cm="1">
        <f t="array" ref="F4">MAX(_xlfn._xlws.FILTER(Visits!U:U,Visits!E:E='User Engagement'!A4))</f>
        <v>#N/A</v>
      </c>
      <c r="G4">
        <f>COUNTIF(Visits!$E$2:$E$995,'User Engagement'!$A4)</f>
        <v>4</v>
      </c>
      <c r="H4">
        <f>COUNTIFS(Visits!$E$2:$E$995,'User Engagement'!$A5,Visits!$U$2:$U$995,"&gt;"&amp;($B$1-7))</f>
        <v>0</v>
      </c>
      <c r="I4">
        <f>COUNTIFS(Visits!$E$2:$E$995,'User Engagement'!$A4,Visits!$U$2:$U$995,"&gt;"&amp;($B$1-30))</f>
        <v>0</v>
      </c>
      <c r="J4">
        <f>COUNTIFS(Visits!$E$2:$E$995,$A4,Visits!$U$2:$U$995,"&gt;"&amp;($B$1-60))-I4</f>
        <v>0</v>
      </c>
      <c r="K4">
        <f>COUNTIFS(Visits!$V:$V,'New Dashboard'!$A$22,Visits!$E:$E,'User Engagement'!$A4)</f>
        <v>0</v>
      </c>
      <c r="L4">
        <f>COUNTIFS(Visits!$V:$V,'New Dashboard'!$A$23,Visits!$E:$E,'User Engagement'!$A4)</f>
        <v>0</v>
      </c>
      <c r="M4">
        <f>COUNTIFS(Visits!$V:$V,'New Dashboard'!$A$24,Visits!$E:$E,'User Engagement'!$A4)</f>
        <v>0</v>
      </c>
      <c r="N4">
        <f>COUNTIFS(Visits!$V:$V,'New Dashboard'!$A$25,Visits!$E:$E,'User Engagement'!$A4)</f>
        <v>1</v>
      </c>
      <c r="O4">
        <f t="shared" ref="O4:O35" si="0">IF(G4-H4=0,1,0)</f>
        <v>0</v>
      </c>
      <c r="P4"/>
      <c r="Q4"/>
      <c r="R4">
        <f t="shared" ref="R4:R67" si="1">IF(I4&gt;2,P4,0)</f>
        <v>0</v>
      </c>
      <c r="S4" s="5">
        <f>SUMIF(Visits!$E$2:$E$89,'User Engagement'!$A4,Visits!$L$2:$L$89)</f>
        <v>47.5</v>
      </c>
      <c r="T4" s="5">
        <f>SUMIFS(Visits!$L$2:$L$89,Visits!$E$2:$E$89,'User Engagement'!$A4,Visits!$U$2:$U$89,"&gt;3/28/24")</f>
        <v>0</v>
      </c>
      <c r="U4" s="19">
        <f t="shared" ref="U4:U67" si="2">S4/G4</f>
        <v>11.875</v>
      </c>
      <c r="V4" s="19" t="str">
        <f t="shared" ref="V4:V67" si="3">IFERROR(T4/I4,"n/a")</f>
        <v>n/a</v>
      </c>
    </row>
    <row r="5" spans="1:22" ht="16" x14ac:dyDescent="0.2">
      <c r="A5" t="str">
        <f>Users!A3</f>
        <v>alekseypleshkov17@gmail.com</v>
      </c>
      <c r="B5" s="29" t="str">
        <f>VLOOKUP(A5,Users!A:D,2,FALSE)</f>
        <v>Aleksejs</v>
      </c>
      <c r="C5" s="29" t="str">
        <f>VLOOKUP(A5,Users!A:D,3,FALSE)</f>
        <v>Pleskovs</v>
      </c>
      <c r="D5" t="s">
        <v>117</v>
      </c>
      <c r="E5" t="s">
        <v>118</v>
      </c>
      <c r="F5" s="1" cm="1">
        <f t="array" ref="F5">MAX(_xlfn._xlws.FILTER(Visits!U:U,Visits!E:E='User Engagement'!A5))</f>
        <v>45374</v>
      </c>
      <c r="G5">
        <f>COUNTIF(Visits!$E$2:$E$995,'User Engagement'!$A5)</f>
        <v>1</v>
      </c>
      <c r="H5">
        <f>COUNTIFS(Visits!$E$2:$E$995,'User Engagement'!$A6,Visits!$U$2:$U$995,"&gt;"&amp;($B$1-7))</f>
        <v>0</v>
      </c>
      <c r="I5">
        <f>COUNTIFS(Visits!$E$2:$E$995,'User Engagement'!$A5,Visits!$U$2:$U$995,"&gt;"&amp;($B$1-30))</f>
        <v>0</v>
      </c>
      <c r="J5">
        <f>COUNTIFS(Visits!$E$2:$E$995,$A5,Visits!$U$2:$U$995,"&gt;"&amp;($B$1-60))-I5</f>
        <v>0</v>
      </c>
      <c r="K5">
        <f>COUNTIFS(Visits!$V:$V,'New Dashboard'!$A$22,Visits!$E:$E,'User Engagement'!$A5)</f>
        <v>0</v>
      </c>
      <c r="L5">
        <f>COUNTIFS(Visits!$V:$V,'New Dashboard'!$A$23,Visits!$E:$E,'User Engagement'!$A5)</f>
        <v>0</v>
      </c>
      <c r="M5">
        <f>COUNTIFS(Visits!$V:$V,'New Dashboard'!$A$24,Visits!$E:$E,'User Engagement'!$A5)</f>
        <v>0</v>
      </c>
      <c r="N5">
        <f>COUNTIFS(Visits!$V:$V,'New Dashboard'!$A$25,Visits!$E:$E,'User Engagement'!$A5)</f>
        <v>1</v>
      </c>
      <c r="O5">
        <f t="shared" si="0"/>
        <v>0</v>
      </c>
      <c r="P5">
        <f>IF(I5&gt;0,1,0)</f>
        <v>0</v>
      </c>
      <c r="Q5">
        <f>IF(J5&gt;0,1,0)</f>
        <v>0</v>
      </c>
      <c r="R5">
        <f t="shared" si="1"/>
        <v>0</v>
      </c>
      <c r="S5" s="5">
        <f>SUMIF(Visits!$E$2:$E$89,'User Engagement'!$A5,Visits!$L$2:$L$89)</f>
        <v>40</v>
      </c>
      <c r="T5" s="5">
        <f>SUMIFS(Visits!$L$2:$L$89,Visits!$E$2:$E$89,'User Engagement'!$A5,Visits!$U$2:$U$89,"&gt;3/28/24")</f>
        <v>0</v>
      </c>
      <c r="U5" s="19">
        <f t="shared" si="2"/>
        <v>40</v>
      </c>
      <c r="V5" s="19" t="str">
        <f t="shared" si="3"/>
        <v>n/a</v>
      </c>
    </row>
    <row r="6" spans="1:22" ht="16" x14ac:dyDescent="0.2">
      <c r="A6">
        <f>Users!A4</f>
        <v>0</v>
      </c>
      <c r="B6" s="29" t="e">
        <f>VLOOKUP(A6,Users!A:D,2,FALSE)</f>
        <v>#N/A</v>
      </c>
      <c r="C6" s="29" t="e">
        <f>VLOOKUP(A6,Users!A:D,3,FALSE)</f>
        <v>#N/A</v>
      </c>
      <c r="D6" t="s">
        <v>117</v>
      </c>
      <c r="E6" t="s">
        <v>118</v>
      </c>
      <c r="F6" s="1" cm="1">
        <f t="array" ref="F6">MAX(_xlfn._xlws.FILTER(Visits!U:U,Visits!E:E='User Engagement'!A6))</f>
        <v>0</v>
      </c>
      <c r="G6">
        <f>COUNTIF(Visits!$E$2:$E$995,'User Engagement'!$A6)</f>
        <v>0</v>
      </c>
      <c r="H6">
        <f>COUNTIFS(Visits!$E$2:$E$995,'User Engagement'!$A7,Visits!$U$2:$U$995,"&gt;"&amp;($B$1-7))</f>
        <v>0</v>
      </c>
      <c r="I6">
        <f>COUNTIFS(Visits!$E$2:$E$995,'User Engagement'!$A6,Visits!$U$2:$U$995,"&gt;"&amp;($B$1-30))</f>
        <v>0</v>
      </c>
      <c r="J6">
        <f>COUNTIFS(Visits!$E$2:$E$995,$A6,Visits!$U$2:$U$995,"&gt;"&amp;($B$1-60))-I6</f>
        <v>0</v>
      </c>
      <c r="K6">
        <f>COUNTIFS(Visits!$V:$V,'New Dashboard'!$A$22,Visits!$E:$E,'User Engagement'!$A6)</f>
        <v>0</v>
      </c>
      <c r="L6">
        <f>COUNTIFS(Visits!$V:$V,'New Dashboard'!$A$23,Visits!$E:$E,'User Engagement'!$A6)</f>
        <v>0</v>
      </c>
      <c r="M6">
        <f>COUNTIFS(Visits!$V:$V,'New Dashboard'!$A$24,Visits!$E:$E,'User Engagement'!$A6)</f>
        <v>0</v>
      </c>
      <c r="N6">
        <f>COUNTIFS(Visits!$V:$V,'New Dashboard'!$A$25,Visits!$E:$E,'User Engagement'!$A6)</f>
        <v>0</v>
      </c>
      <c r="O6">
        <f t="shared" si="0"/>
        <v>1</v>
      </c>
      <c r="P6">
        <f t="shared" ref="P6:P35" si="4">IF(I6&gt;0,1,0)</f>
        <v>0</v>
      </c>
      <c r="Q6">
        <f t="shared" ref="Q6:Q69" si="5">IF(J6&gt;0,1,0)</f>
        <v>0</v>
      </c>
      <c r="R6">
        <f t="shared" si="1"/>
        <v>0</v>
      </c>
      <c r="S6" s="5">
        <f>SUMIF(Visits!$E$2:$E$89,'User Engagement'!$A6,Visits!$L$2:$L$89)</f>
        <v>0</v>
      </c>
      <c r="T6" s="5">
        <f>SUMIFS(Visits!$L$2:$L$89,Visits!$E$2:$E$89,'User Engagement'!$A6,Visits!$U$2:$U$89,"&gt;3/28/24")</f>
        <v>0</v>
      </c>
      <c r="U6" s="19" t="e">
        <f t="shared" si="2"/>
        <v>#DIV/0!</v>
      </c>
      <c r="V6" s="19" t="str">
        <f t="shared" si="3"/>
        <v>n/a</v>
      </c>
    </row>
    <row r="7" spans="1:22" ht="16" x14ac:dyDescent="0.2">
      <c r="A7" t="str">
        <f>Users!A5</f>
        <v>galimova.al.al@gmail.com</v>
      </c>
      <c r="B7" s="29" t="str">
        <f>VLOOKUP(A7,Users!A:D,2,FALSE)</f>
        <v>Alina</v>
      </c>
      <c r="C7" s="29" t="str">
        <f>VLOOKUP(A7,Users!A:D,3,FALSE)</f>
        <v>Galimova</v>
      </c>
      <c r="D7" t="s">
        <v>117</v>
      </c>
      <c r="E7" t="s">
        <v>118</v>
      </c>
      <c r="F7" s="1" t="e" cm="1">
        <f t="array" ref="F7">MAX(_xlfn._xlws.FILTER(Visits!U:U,Visits!E:E='User Engagement'!A7))</f>
        <v>#N/A</v>
      </c>
      <c r="G7">
        <f>COUNTIF(Visits!$E$2:$E$995,'User Engagement'!$A7)</f>
        <v>1</v>
      </c>
      <c r="H7">
        <f>COUNTIFS(Visits!$E$2:$E$995,'User Engagement'!$A8,Visits!$U$2:$U$995,"&gt;"&amp;($B$1-7))</f>
        <v>0</v>
      </c>
      <c r="I7">
        <f>COUNTIFS(Visits!$E$2:$E$995,'User Engagement'!$A7,Visits!$U$2:$U$995,"&gt;"&amp;($B$1-30))</f>
        <v>0</v>
      </c>
      <c r="J7">
        <f>COUNTIFS(Visits!$E$2:$E$995,$A7,Visits!$U$2:$U$995,"&gt;"&amp;($B$1-60))-I7</f>
        <v>0</v>
      </c>
      <c r="K7">
        <f>COUNTIFS(Visits!$V:$V,'New Dashboard'!$A$22,Visits!$E:$E,'User Engagement'!$A7)</f>
        <v>0</v>
      </c>
      <c r="L7">
        <f>COUNTIFS(Visits!$V:$V,'New Dashboard'!$A$23,Visits!$E:$E,'User Engagement'!$A7)</f>
        <v>0</v>
      </c>
      <c r="M7">
        <f>COUNTIFS(Visits!$V:$V,'New Dashboard'!$A$24,Visits!$E:$E,'User Engagement'!$A7)</f>
        <v>0</v>
      </c>
      <c r="N7">
        <f>COUNTIFS(Visits!$V:$V,'New Dashboard'!$A$25,Visits!$E:$E,'User Engagement'!$A7)</f>
        <v>0</v>
      </c>
      <c r="O7">
        <f t="shared" si="0"/>
        <v>0</v>
      </c>
      <c r="P7">
        <f t="shared" si="4"/>
        <v>0</v>
      </c>
      <c r="Q7">
        <f t="shared" si="5"/>
        <v>0</v>
      </c>
      <c r="R7">
        <f t="shared" si="1"/>
        <v>0</v>
      </c>
      <c r="S7" s="5">
        <f>SUMIF(Visits!$E$2:$E$89,'User Engagement'!$A7,Visits!$L$2:$L$89)</f>
        <v>10</v>
      </c>
      <c r="T7" s="5">
        <f>SUMIFS(Visits!$L$2:$L$89,Visits!$E$2:$E$89,'User Engagement'!$A7,Visits!$U$2:$U$89,"&gt;3/28/24")</f>
        <v>0</v>
      </c>
      <c r="U7" s="19">
        <f t="shared" si="2"/>
        <v>10</v>
      </c>
      <c r="V7" s="19" t="str">
        <f t="shared" si="3"/>
        <v>n/a</v>
      </c>
    </row>
    <row r="8" spans="1:22" ht="16" x14ac:dyDescent="0.2">
      <c r="A8" t="str">
        <f>Users!A6</f>
        <v>alina.flatscher@gmail.com</v>
      </c>
      <c r="B8" s="29" t="str">
        <f>VLOOKUP(A8,Users!A:D,2,FALSE)</f>
        <v>Alina</v>
      </c>
      <c r="C8" s="29" t="str">
        <f>VLOOKUP(A8,Users!A:D,3,FALSE)</f>
        <v>Flatscher</v>
      </c>
      <c r="D8" t="s">
        <v>353</v>
      </c>
      <c r="E8" t="s">
        <v>118</v>
      </c>
      <c r="F8" s="1" cm="1">
        <f t="array" ref="F8">MAX(_xlfn._xlws.FILTER(Visits!U:U,Visits!E:E='User Engagement'!A8))</f>
        <v>45442</v>
      </c>
      <c r="G8">
        <f>COUNTIF(Visits!$E$2:$E$995,'User Engagement'!$A8)</f>
        <v>1</v>
      </c>
      <c r="H8">
        <f>COUNTIFS(Visits!$E$2:$E$995,'User Engagement'!$A9,Visits!$U$2:$U$995,"&gt;"&amp;($B$1-7))</f>
        <v>0</v>
      </c>
      <c r="I8">
        <f>COUNTIFS(Visits!$E$2:$E$995,'User Engagement'!$A8,Visits!$U$2:$U$995,"&gt;"&amp;($B$1-30))</f>
        <v>0</v>
      </c>
      <c r="J8">
        <f>COUNTIFS(Visits!$E$2:$E$995,$A8,Visits!$U$2:$U$995,"&gt;"&amp;($B$1-60))-I8</f>
        <v>1</v>
      </c>
      <c r="K8">
        <f>COUNTIFS(Visits!$V:$V,'New Dashboard'!$A$22,Visits!$E:$E,'User Engagement'!$A8)</f>
        <v>0</v>
      </c>
      <c r="L8">
        <f>COUNTIFS(Visits!$V:$V,'New Dashboard'!$A$23,Visits!$E:$E,'User Engagement'!$A8)</f>
        <v>1</v>
      </c>
      <c r="M8">
        <f>COUNTIFS(Visits!$V:$V,'New Dashboard'!$A$24,Visits!$E:$E,'User Engagement'!$A8)</f>
        <v>0</v>
      </c>
      <c r="N8">
        <f>COUNTIFS(Visits!$V:$V,'New Dashboard'!$A$25,Visits!$E:$E,'User Engagement'!$A8)</f>
        <v>0</v>
      </c>
      <c r="O8">
        <f t="shared" si="0"/>
        <v>0</v>
      </c>
      <c r="P8">
        <f t="shared" si="4"/>
        <v>0</v>
      </c>
      <c r="Q8">
        <f t="shared" si="5"/>
        <v>1</v>
      </c>
      <c r="R8">
        <f t="shared" si="1"/>
        <v>0</v>
      </c>
      <c r="S8" s="5">
        <f>SUMIF(Visits!$E$2:$E$89,'User Engagement'!$A8,Visits!$L$2:$L$89)</f>
        <v>0</v>
      </c>
      <c r="T8" s="5">
        <f>SUMIFS(Visits!$L$2:$L$89,Visits!$E$2:$E$89,'User Engagement'!$A8,Visits!$U$2:$U$89,"&gt;3/28/24")</f>
        <v>0</v>
      </c>
      <c r="U8" s="19">
        <f t="shared" si="2"/>
        <v>0</v>
      </c>
      <c r="V8" s="19" t="str">
        <f t="shared" si="3"/>
        <v>n/a</v>
      </c>
    </row>
    <row r="9" spans="1:22" ht="16" x14ac:dyDescent="0.2">
      <c r="A9" t="str">
        <f>Users!A7</f>
        <v>vasques.anacarolina@gmail.com</v>
      </c>
      <c r="B9" s="29" t="str">
        <f>VLOOKUP(A9,Users!A:D,2,FALSE)</f>
        <v>Ana</v>
      </c>
      <c r="C9" s="29" t="str">
        <f>VLOOKUP(A9,Users!A:D,3,FALSE)</f>
        <v>Vasques</v>
      </c>
      <c r="D9" t="s">
        <v>117</v>
      </c>
      <c r="E9" t="s">
        <v>123</v>
      </c>
      <c r="F9" s="1" t="e" cm="1" vm="1">
        <f t="array" ref="F9">MAX(_xlfn._xlws.FILTER(Visits!U:U,Visits!E:E='User Engagement'!A9))</f>
        <v>#VALUE!</v>
      </c>
      <c r="G9">
        <f>COUNTIF(Visits!$E$2:$E$995,'User Engagement'!$A9)</f>
        <v>0</v>
      </c>
      <c r="H9">
        <f>COUNTIFS(Visits!$E$2:$E$995,'User Engagement'!$A10,Visits!$U$2:$U$995,"&gt;"&amp;($B$1-7))</f>
        <v>0</v>
      </c>
      <c r="I9">
        <f>COUNTIFS(Visits!$E$2:$E$995,'User Engagement'!$A9,Visits!$U$2:$U$995,"&gt;"&amp;($B$1-30))</f>
        <v>0</v>
      </c>
      <c r="J9">
        <f>COUNTIFS(Visits!$E$2:$E$995,$A9,Visits!$U$2:$U$995,"&gt;"&amp;($B$1-60))-I9</f>
        <v>0</v>
      </c>
      <c r="K9">
        <f>COUNTIFS(Visits!$V:$V,'New Dashboard'!$A$22,Visits!$E:$E,'User Engagement'!$A9)</f>
        <v>0</v>
      </c>
      <c r="L9">
        <f>COUNTIFS(Visits!$V:$V,'New Dashboard'!$A$23,Visits!$E:$E,'User Engagement'!$A9)</f>
        <v>0</v>
      </c>
      <c r="M9">
        <f>COUNTIFS(Visits!$V:$V,'New Dashboard'!$A$24,Visits!$E:$E,'User Engagement'!$A9)</f>
        <v>0</v>
      </c>
      <c r="N9">
        <f>COUNTIFS(Visits!$V:$V,'New Dashboard'!$A$25,Visits!$E:$E,'User Engagement'!$A9)</f>
        <v>0</v>
      </c>
      <c r="O9">
        <f t="shared" si="0"/>
        <v>1</v>
      </c>
      <c r="P9">
        <f t="shared" si="4"/>
        <v>0</v>
      </c>
      <c r="Q9">
        <f t="shared" si="5"/>
        <v>0</v>
      </c>
      <c r="R9">
        <f t="shared" si="1"/>
        <v>0</v>
      </c>
      <c r="S9" s="5">
        <f>SUMIF(Visits!$E$2:$E$89,'User Engagement'!$A9,Visits!$L$2:$L$89)</f>
        <v>0</v>
      </c>
      <c r="T9" s="5">
        <f>SUMIFS(Visits!$L$2:$L$89,Visits!$E$2:$E$89,'User Engagement'!$A9,Visits!$U$2:$U$89,"&gt;3/28/24")</f>
        <v>0</v>
      </c>
      <c r="U9" s="19" t="e">
        <f t="shared" si="2"/>
        <v>#DIV/0!</v>
      </c>
      <c r="V9" s="19" t="str">
        <f t="shared" si="3"/>
        <v>n/a</v>
      </c>
    </row>
    <row r="10" spans="1:22" ht="16" x14ac:dyDescent="0.2">
      <c r="A10" t="str">
        <f>Users!A8</f>
        <v>anayosefi@gmail.com</v>
      </c>
      <c r="B10" s="29" t="str">
        <f>VLOOKUP(A10,Users!A:D,2,FALSE)</f>
        <v>Anahita</v>
      </c>
      <c r="C10" s="29" t="str">
        <f>VLOOKUP(A10,Users!A:D,3,FALSE)</f>
        <v>Yousefi</v>
      </c>
      <c r="E10" t="s">
        <v>123</v>
      </c>
      <c r="F10" s="1" cm="1">
        <f t="array" ref="F10">MAX(_xlfn._xlws.FILTER(Visits!U:U,Visits!E:E='User Engagement'!A10))</f>
        <v>45388</v>
      </c>
      <c r="G10">
        <f>COUNTIF(Visits!$E$2:$E$995,'User Engagement'!$A10)</f>
        <v>1</v>
      </c>
      <c r="H10">
        <f>COUNTIFS(Visits!$E$2:$E$995,'User Engagement'!$A11,Visits!$U$2:$U$995,"&gt;"&amp;($B$1-7))</f>
        <v>0</v>
      </c>
      <c r="I10">
        <f>COUNTIFS(Visits!$E$2:$E$995,'User Engagement'!$A10,Visits!$U$2:$U$995,"&gt;"&amp;($B$1-30))</f>
        <v>0</v>
      </c>
      <c r="J10">
        <f>COUNTIFS(Visits!$E$2:$E$995,$A10,Visits!$U$2:$U$995,"&gt;"&amp;($B$1-60))-I10</f>
        <v>0</v>
      </c>
      <c r="K10">
        <f>COUNTIFS(Visits!$V:$V,'New Dashboard'!$A$22,Visits!$E:$E,'User Engagement'!$A10)</f>
        <v>0</v>
      </c>
      <c r="L10">
        <f>COUNTIFS(Visits!$V:$V,'New Dashboard'!$A$23,Visits!$E:$E,'User Engagement'!$A10)</f>
        <v>0</v>
      </c>
      <c r="M10">
        <f>COUNTIFS(Visits!$V:$V,'New Dashboard'!$A$24,Visits!$E:$E,'User Engagement'!$A10)</f>
        <v>1</v>
      </c>
      <c r="N10">
        <f>COUNTIFS(Visits!$V:$V,'New Dashboard'!$A$25,Visits!$E:$E,'User Engagement'!$A10)</f>
        <v>0</v>
      </c>
      <c r="O10">
        <f t="shared" si="0"/>
        <v>0</v>
      </c>
      <c r="P10">
        <f t="shared" si="4"/>
        <v>0</v>
      </c>
      <c r="Q10">
        <f t="shared" si="5"/>
        <v>0</v>
      </c>
      <c r="R10">
        <f t="shared" si="1"/>
        <v>0</v>
      </c>
      <c r="S10" s="5">
        <f>SUMIF(Visits!$E$2:$E$89,'User Engagement'!$A10,Visits!$L$2:$L$89)</f>
        <v>15</v>
      </c>
      <c r="T10" s="5">
        <f>SUMIFS(Visits!$L$2:$L$89,Visits!$E$2:$E$89,'User Engagement'!$A10,Visits!$U$2:$U$89,"&gt;3/28/24")</f>
        <v>15</v>
      </c>
      <c r="U10" s="19">
        <f t="shared" si="2"/>
        <v>15</v>
      </c>
      <c r="V10" s="19" t="str">
        <f t="shared" si="3"/>
        <v>n/a</v>
      </c>
    </row>
    <row r="11" spans="1:22" ht="16" x14ac:dyDescent="0.2">
      <c r="A11" t="str">
        <f>Users!A9</f>
        <v>rtranaita@gmail.com</v>
      </c>
      <c r="B11" s="29" t="str">
        <f>VLOOKUP(A11,Users!A:D,2,FALSE)</f>
        <v>Anaita</v>
      </c>
      <c r="C11" s="29" t="str">
        <f>VLOOKUP(A11,Users!A:D,3,FALSE)</f>
        <v>Agatic</v>
      </c>
      <c r="D11" t="s">
        <v>126</v>
      </c>
      <c r="E11" t="s">
        <v>123</v>
      </c>
      <c r="F11" s="1" cm="1">
        <f t="array" ref="F11">MAX(_xlfn._xlws.FILTER(Visits!U:U,Visits!E:E='User Engagement'!A11))</f>
        <v>45376</v>
      </c>
      <c r="G11">
        <f>COUNTIF(Visits!$E$2:$E$995,'User Engagement'!$A11)</f>
        <v>1</v>
      </c>
      <c r="H11">
        <f>COUNTIFS(Visits!$E$2:$E$995,'User Engagement'!$A12,Visits!$U$2:$U$995,"&gt;"&amp;($B$1-7))</f>
        <v>0</v>
      </c>
      <c r="I11">
        <f>COUNTIFS(Visits!$E$2:$E$995,'User Engagement'!$A11,Visits!$U$2:$U$995,"&gt;"&amp;($B$1-30))</f>
        <v>0</v>
      </c>
      <c r="J11">
        <f>COUNTIFS(Visits!$E$2:$E$995,$A11,Visits!$U$2:$U$995,"&gt;"&amp;($B$1-60))-I11</f>
        <v>0</v>
      </c>
      <c r="K11">
        <f>COUNTIFS(Visits!$V:$V,'New Dashboard'!$A$22,Visits!$E:$E,'User Engagement'!$A11)</f>
        <v>0</v>
      </c>
      <c r="L11">
        <f>COUNTIFS(Visits!$V:$V,'New Dashboard'!$A$23,Visits!$E:$E,'User Engagement'!$A11)</f>
        <v>0</v>
      </c>
      <c r="M11">
        <f>COUNTIFS(Visits!$V:$V,'New Dashboard'!$A$24,Visits!$E:$E,'User Engagement'!$A11)</f>
        <v>0</v>
      </c>
      <c r="N11">
        <f>COUNTIFS(Visits!$V:$V,'New Dashboard'!$A$25,Visits!$E:$E,'User Engagement'!$A11)</f>
        <v>1</v>
      </c>
      <c r="O11">
        <f t="shared" si="0"/>
        <v>0</v>
      </c>
      <c r="P11">
        <f t="shared" si="4"/>
        <v>0</v>
      </c>
      <c r="Q11">
        <f t="shared" si="5"/>
        <v>0</v>
      </c>
      <c r="R11">
        <f t="shared" si="1"/>
        <v>0</v>
      </c>
      <c r="S11" s="5">
        <f>SUMIF(Visits!$E$2:$E$89,'User Engagement'!$A11,Visits!$L$2:$L$89)</f>
        <v>14</v>
      </c>
      <c r="T11" s="5">
        <f>SUMIFS(Visits!$L$2:$L$89,Visits!$E$2:$E$89,'User Engagement'!$A11,Visits!$U$2:$U$89,"&gt;3/28/24")</f>
        <v>0</v>
      </c>
      <c r="U11" s="19">
        <f t="shared" si="2"/>
        <v>14</v>
      </c>
      <c r="V11" s="19" t="str">
        <f t="shared" si="3"/>
        <v>n/a</v>
      </c>
    </row>
    <row r="12" spans="1:22" ht="16" x14ac:dyDescent="0.2">
      <c r="A12" t="str">
        <f>Users!A10</f>
        <v>anamariaperu@hotmail.co.uk</v>
      </c>
      <c r="B12" s="29" t="str">
        <f>VLOOKUP(A12,Users!A:D,2,FALSE)</f>
        <v>Anamaria</v>
      </c>
      <c r="C12" s="29" t="str">
        <f>VLOOKUP(A12,Users!A:D,3,FALSE)</f>
        <v>Parsons</v>
      </c>
      <c r="D12" t="s">
        <v>117</v>
      </c>
      <c r="E12" t="s">
        <v>123</v>
      </c>
      <c r="F12" s="1" cm="1">
        <f t="array" ref="F12">MAX(_xlfn._xlws.FILTER(Visits!U:U,Visits!E:E='User Engagement'!A12))</f>
        <v>45388</v>
      </c>
      <c r="G12">
        <f>COUNTIF(Visits!$E$2:$E$995,'User Engagement'!$A12)</f>
        <v>1</v>
      </c>
      <c r="H12">
        <f>COUNTIFS(Visits!$E$2:$E$995,'User Engagement'!$A13,Visits!$U$2:$U$995,"&gt;"&amp;($B$1-7))</f>
        <v>0</v>
      </c>
      <c r="I12">
        <f>COUNTIFS(Visits!$E$2:$E$995,'User Engagement'!$A12,Visits!$U$2:$U$995,"&gt;"&amp;($B$1-30))</f>
        <v>0</v>
      </c>
      <c r="J12">
        <f>COUNTIFS(Visits!$E$2:$E$995,$A12,Visits!$U$2:$U$995,"&gt;"&amp;($B$1-60))-I12</f>
        <v>0</v>
      </c>
      <c r="K12">
        <f>COUNTIFS(Visits!$V:$V,'New Dashboard'!$A$22,Visits!$E:$E,'User Engagement'!$A12)</f>
        <v>0</v>
      </c>
      <c r="L12">
        <f>COUNTIFS(Visits!$V:$V,'New Dashboard'!$A$23,Visits!$E:$E,'User Engagement'!$A12)</f>
        <v>0</v>
      </c>
      <c r="M12">
        <f>COUNTIFS(Visits!$V:$V,'New Dashboard'!$A$24,Visits!$E:$E,'User Engagement'!$A12)</f>
        <v>1</v>
      </c>
      <c r="N12">
        <f>COUNTIFS(Visits!$V:$V,'New Dashboard'!$A$25,Visits!$E:$E,'User Engagement'!$A12)</f>
        <v>0</v>
      </c>
      <c r="O12">
        <f t="shared" si="0"/>
        <v>0</v>
      </c>
      <c r="P12">
        <f t="shared" si="4"/>
        <v>0</v>
      </c>
      <c r="Q12">
        <f t="shared" si="5"/>
        <v>0</v>
      </c>
      <c r="R12">
        <f t="shared" si="1"/>
        <v>0</v>
      </c>
      <c r="S12" s="5">
        <f>SUMIF(Visits!$E$2:$E$89,'User Engagement'!$A12,Visits!$L$2:$L$89)</f>
        <v>15</v>
      </c>
      <c r="T12" s="5">
        <f>SUMIFS(Visits!$L$2:$L$89,Visits!$E$2:$E$89,'User Engagement'!$A12,Visits!$U$2:$U$89,"&gt;3/28/24")</f>
        <v>15</v>
      </c>
      <c r="U12" s="19">
        <f t="shared" si="2"/>
        <v>15</v>
      </c>
      <c r="V12" s="19" t="str">
        <f t="shared" si="3"/>
        <v>n/a</v>
      </c>
    </row>
    <row r="13" spans="1:22" ht="16" x14ac:dyDescent="0.2">
      <c r="A13" t="str">
        <f>Users!A11</f>
        <v>apbhetherington@gmail.com</v>
      </c>
      <c r="B13" s="29" t="str">
        <f>VLOOKUP(A13,Users!A:D,2,FALSE)</f>
        <v>Andrew</v>
      </c>
      <c r="C13" s="29" t="str">
        <f>VLOOKUP(A13,Users!A:D,3,FALSE)</f>
        <v>Hetherington</v>
      </c>
      <c r="D13" t="s">
        <v>117</v>
      </c>
      <c r="E13" t="s">
        <v>123</v>
      </c>
      <c r="F13" s="1" t="e" cm="1">
        <f t="array" ref="F13">MAX(_xlfn._xlws.FILTER(Visits!U:U,Visits!E:E='User Engagement'!A13))</f>
        <v>#N/A</v>
      </c>
      <c r="G13">
        <f>COUNTIF(Visits!$E$2:$E$995,'User Engagement'!$A13)</f>
        <v>1</v>
      </c>
      <c r="H13">
        <f>COUNTIFS(Visits!$E$2:$E$995,'User Engagement'!$A14,Visits!$U$2:$U$995,"&gt;"&amp;($B$1-7))</f>
        <v>0</v>
      </c>
      <c r="I13">
        <f>COUNTIFS(Visits!$E$2:$E$995,'User Engagement'!$A13,Visits!$U$2:$U$995,"&gt;"&amp;($B$1-30))</f>
        <v>0</v>
      </c>
      <c r="J13">
        <f>COUNTIFS(Visits!$E$2:$E$995,$A13,Visits!$U$2:$U$995,"&gt;"&amp;($B$1-60))-I13</f>
        <v>0</v>
      </c>
      <c r="K13">
        <f>COUNTIFS(Visits!$V:$V,'New Dashboard'!$A$22,Visits!$E:$E,'User Engagement'!$A13)</f>
        <v>0</v>
      </c>
      <c r="L13">
        <f>COUNTIFS(Visits!$V:$V,'New Dashboard'!$A$23,Visits!$E:$E,'User Engagement'!$A13)</f>
        <v>0</v>
      </c>
      <c r="M13">
        <f>COUNTIFS(Visits!$V:$V,'New Dashboard'!$A$24,Visits!$E:$E,'User Engagement'!$A13)</f>
        <v>0</v>
      </c>
      <c r="N13">
        <f>COUNTIFS(Visits!$V:$V,'New Dashboard'!$A$25,Visits!$E:$E,'User Engagement'!$A13)</f>
        <v>0</v>
      </c>
      <c r="O13">
        <f t="shared" si="0"/>
        <v>0</v>
      </c>
      <c r="P13">
        <f t="shared" si="4"/>
        <v>0</v>
      </c>
      <c r="Q13">
        <f t="shared" si="5"/>
        <v>0</v>
      </c>
      <c r="R13">
        <f t="shared" si="1"/>
        <v>0</v>
      </c>
      <c r="S13" s="5">
        <f>SUMIF(Visits!$E$2:$E$89,'User Engagement'!$A13,Visits!$L$2:$L$89)</f>
        <v>27</v>
      </c>
      <c r="T13" s="5">
        <f>SUMIFS(Visits!$L$2:$L$89,Visits!$E$2:$E$89,'User Engagement'!$A13,Visits!$U$2:$U$89,"&gt;3/28/24")</f>
        <v>0</v>
      </c>
      <c r="U13" s="19">
        <f t="shared" si="2"/>
        <v>27</v>
      </c>
      <c r="V13" s="19" t="str">
        <f t="shared" si="3"/>
        <v>n/a</v>
      </c>
    </row>
    <row r="14" spans="1:22" ht="16" x14ac:dyDescent="0.2">
      <c r="A14" t="str">
        <f>Users!A12</f>
        <v>andrew.restlesspanda@gmail.com</v>
      </c>
      <c r="B14" s="29" t="str">
        <f>VLOOKUP(A14,Users!A:D,2,FALSE)</f>
        <v>Andrew</v>
      </c>
      <c r="C14" s="29" t="str">
        <f>VLOOKUP(A14,Users!A:D,3,FALSE)</f>
        <v>Ikonnikov</v>
      </c>
      <c r="D14" t="s">
        <v>130</v>
      </c>
      <c r="E14" t="s">
        <v>123</v>
      </c>
      <c r="F14" s="1" cm="1">
        <f t="array" ref="F14">MAX(_xlfn._xlws.FILTER(Visits!U:U,Visits!E:E='User Engagement'!A14))</f>
        <v>45445</v>
      </c>
      <c r="G14">
        <f>COUNTIF(Visits!$E$2:$E$995,'User Engagement'!$A14)</f>
        <v>1</v>
      </c>
      <c r="H14">
        <f>COUNTIFS(Visits!$E$2:$E$995,'User Engagement'!$A15,Visits!$U$2:$U$995,"&gt;"&amp;($B$1-7))</f>
        <v>0</v>
      </c>
      <c r="I14">
        <f>COUNTIFS(Visits!$E$2:$E$995,'User Engagement'!$A14,Visits!$U$2:$U$995,"&gt;"&amp;($B$1-30))</f>
        <v>1</v>
      </c>
      <c r="J14">
        <f>COUNTIFS(Visits!$E$2:$E$995,$A14,Visits!$U$2:$U$995,"&gt;"&amp;($B$1-60))-I14</f>
        <v>0</v>
      </c>
      <c r="K14">
        <f>COUNTIFS(Visits!$V:$V,'New Dashboard'!$A$22,Visits!$E:$E,'User Engagement'!$A14)</f>
        <v>1</v>
      </c>
      <c r="L14">
        <f>COUNTIFS(Visits!$V:$V,'New Dashboard'!$A$23,Visits!$E:$E,'User Engagement'!$A14)</f>
        <v>0</v>
      </c>
      <c r="M14">
        <f>COUNTIFS(Visits!$V:$V,'New Dashboard'!$A$24,Visits!$E:$E,'User Engagement'!$A14)</f>
        <v>0</v>
      </c>
      <c r="N14">
        <f>COUNTIFS(Visits!$V:$V,'New Dashboard'!$A$25,Visits!$E:$E,'User Engagement'!$A14)</f>
        <v>0</v>
      </c>
      <c r="O14">
        <f t="shared" si="0"/>
        <v>0</v>
      </c>
      <c r="P14">
        <f t="shared" si="4"/>
        <v>1</v>
      </c>
      <c r="Q14">
        <f t="shared" si="5"/>
        <v>0</v>
      </c>
      <c r="R14">
        <f t="shared" si="1"/>
        <v>0</v>
      </c>
      <c r="S14" s="5">
        <f>SUMIF(Visits!$E$2:$E$89,'User Engagement'!$A14,Visits!$L$2:$L$89)</f>
        <v>0</v>
      </c>
      <c r="T14" s="5">
        <f>SUMIFS(Visits!$L$2:$L$89,Visits!$E$2:$E$89,'User Engagement'!$A14,Visits!$U$2:$U$89,"&gt;3/28/24")</f>
        <v>0</v>
      </c>
      <c r="U14" s="19">
        <f t="shared" si="2"/>
        <v>0</v>
      </c>
      <c r="V14" s="19">
        <f t="shared" si="3"/>
        <v>0</v>
      </c>
    </row>
    <row r="15" spans="1:22" ht="16" x14ac:dyDescent="0.2">
      <c r="A15" t="str">
        <f>Users!A13</f>
        <v>angelakiva10@gmail.com</v>
      </c>
      <c r="B15" s="29" t="str">
        <f>VLOOKUP(A15,Users!A:D,2,FALSE)</f>
        <v>Angela</v>
      </c>
      <c r="C15" s="29" t="str">
        <f>VLOOKUP(A15,Users!A:D,3,FALSE)</f>
        <v>Kiva</v>
      </c>
      <c r="D15" t="s">
        <v>117</v>
      </c>
      <c r="E15" t="s">
        <v>123</v>
      </c>
      <c r="F15" s="1" cm="1">
        <f t="array" ref="F15">MAX(_xlfn._xlws.FILTER(Visits!U:U,Visits!E:E='User Engagement'!A15))</f>
        <v>45437</v>
      </c>
      <c r="G15">
        <f>COUNTIF(Visits!$E$2:$E$995,'User Engagement'!$A15)</f>
        <v>1</v>
      </c>
      <c r="H15">
        <f>COUNTIFS(Visits!$E$2:$E$995,'User Engagement'!$A16,Visits!$U$2:$U$995,"&gt;"&amp;($B$1-7))</f>
        <v>0</v>
      </c>
      <c r="I15">
        <f>COUNTIFS(Visits!$E$2:$E$995,'User Engagement'!$A15,Visits!$U$2:$U$995,"&gt;"&amp;($B$1-30))</f>
        <v>0</v>
      </c>
      <c r="J15">
        <f>COUNTIFS(Visits!$E$2:$E$995,$A15,Visits!$U$2:$U$995,"&gt;"&amp;($B$1-60))-I15</f>
        <v>1</v>
      </c>
      <c r="K15">
        <f>COUNTIFS(Visits!$V:$V,'New Dashboard'!$A$22,Visits!$E:$E,'User Engagement'!$A15)</f>
        <v>0</v>
      </c>
      <c r="L15">
        <f>COUNTIFS(Visits!$V:$V,'New Dashboard'!$A$23,Visits!$E:$E,'User Engagement'!$A15)</f>
        <v>1</v>
      </c>
      <c r="M15">
        <f>COUNTIFS(Visits!$V:$V,'New Dashboard'!$A$24,Visits!$E:$E,'User Engagement'!$A15)</f>
        <v>0</v>
      </c>
      <c r="N15">
        <f>COUNTIFS(Visits!$V:$V,'New Dashboard'!$A$25,Visits!$E:$E,'User Engagement'!$A15)</f>
        <v>0</v>
      </c>
      <c r="O15">
        <f t="shared" si="0"/>
        <v>0</v>
      </c>
      <c r="P15">
        <f t="shared" si="4"/>
        <v>0</v>
      </c>
      <c r="Q15">
        <f t="shared" si="5"/>
        <v>1</v>
      </c>
      <c r="R15">
        <f t="shared" si="1"/>
        <v>0</v>
      </c>
      <c r="S15" s="5">
        <f>SUMIF(Visits!$E$2:$E$89,'User Engagement'!$A15,Visits!$L$2:$L$89)</f>
        <v>0</v>
      </c>
      <c r="T15" s="5">
        <f>SUMIFS(Visits!$L$2:$L$89,Visits!$E$2:$E$89,'User Engagement'!$A15,Visits!$U$2:$U$89,"&gt;3/28/24")</f>
        <v>0</v>
      </c>
      <c r="U15" s="19">
        <f t="shared" si="2"/>
        <v>0</v>
      </c>
      <c r="V15" s="19" t="str">
        <f t="shared" si="3"/>
        <v>n/a</v>
      </c>
    </row>
    <row r="16" spans="1:22" ht="16" x14ac:dyDescent="0.2">
      <c r="A16" t="str">
        <f>Users!A14</f>
        <v>Anishasood26@gmail.com</v>
      </c>
      <c r="B16" s="29" t="str">
        <f>VLOOKUP(A16,Users!A:D,2,FALSE)</f>
        <v>Anisha</v>
      </c>
      <c r="C16" s="29" t="str">
        <f>VLOOKUP(A16,Users!A:D,3,FALSE)</f>
        <v>Sood</v>
      </c>
      <c r="D16" t="s">
        <v>117</v>
      </c>
      <c r="E16" t="s">
        <v>123</v>
      </c>
      <c r="F16" s="1" cm="1">
        <f t="array" ref="F16">MAX(_xlfn._xlws.FILTER(Visits!U:U,Visits!E:E='User Engagement'!A16))</f>
        <v>45445</v>
      </c>
      <c r="G16">
        <f>COUNTIF(Visits!$E$2:$E$995,'User Engagement'!$A16)</f>
        <v>1</v>
      </c>
      <c r="H16">
        <f>COUNTIFS(Visits!$E$2:$E$995,'User Engagement'!$A17,Visits!$U$2:$U$995,"&gt;"&amp;($B$1-7))</f>
        <v>0</v>
      </c>
      <c r="I16">
        <f>COUNTIFS(Visits!$E$2:$E$995,'User Engagement'!$A16,Visits!$U$2:$U$995,"&gt;"&amp;($B$1-30))</f>
        <v>1</v>
      </c>
      <c r="J16">
        <f>COUNTIFS(Visits!$E$2:$E$995,$A16,Visits!$U$2:$U$995,"&gt;"&amp;($B$1-60))-I16</f>
        <v>0</v>
      </c>
      <c r="K16">
        <f>COUNTIFS(Visits!$V:$V,'New Dashboard'!$A$22,Visits!$E:$E,'User Engagement'!$A16)</f>
        <v>1</v>
      </c>
      <c r="L16">
        <f>COUNTIFS(Visits!$V:$V,'New Dashboard'!$A$23,Visits!$E:$E,'User Engagement'!$A16)</f>
        <v>0</v>
      </c>
      <c r="M16">
        <f>COUNTIFS(Visits!$V:$V,'New Dashboard'!$A$24,Visits!$E:$E,'User Engagement'!$A16)</f>
        <v>0</v>
      </c>
      <c r="N16">
        <f>COUNTIFS(Visits!$V:$V,'New Dashboard'!$A$25,Visits!$E:$E,'User Engagement'!$A16)</f>
        <v>0</v>
      </c>
      <c r="O16">
        <f t="shared" si="0"/>
        <v>0</v>
      </c>
      <c r="P16">
        <f t="shared" si="4"/>
        <v>1</v>
      </c>
      <c r="Q16">
        <f t="shared" si="5"/>
        <v>0</v>
      </c>
      <c r="R16">
        <f t="shared" si="1"/>
        <v>0</v>
      </c>
      <c r="S16" s="5">
        <f>SUMIF(Visits!$E$2:$E$89,'User Engagement'!$A16,Visits!$L$2:$L$89)</f>
        <v>0</v>
      </c>
      <c r="T16" s="5">
        <f>SUMIFS(Visits!$L$2:$L$89,Visits!$E$2:$E$89,'User Engagement'!$A16,Visits!$U$2:$U$89,"&gt;3/28/24")</f>
        <v>0</v>
      </c>
      <c r="U16" s="19">
        <f t="shared" si="2"/>
        <v>0</v>
      </c>
      <c r="V16" s="19">
        <f t="shared" si="3"/>
        <v>0</v>
      </c>
    </row>
    <row r="17" spans="1:22" ht="16" x14ac:dyDescent="0.2">
      <c r="A17" t="str">
        <f>Users!A15</f>
        <v>audreyrebeccahutabarat@gmail.com</v>
      </c>
      <c r="B17" s="29" t="str">
        <f>VLOOKUP(A17,Users!A:D,2,FALSE)</f>
        <v>Audrey</v>
      </c>
      <c r="C17" s="29" t="str">
        <f>VLOOKUP(A17,Users!A:D,3,FALSE)</f>
        <v>Hutabarat</v>
      </c>
      <c r="E17" t="s">
        <v>134</v>
      </c>
      <c r="F17" s="1" cm="1">
        <f t="array" ref="F17">MAX(_xlfn._xlws.FILTER(Visits!U:U,Visits!E:E='User Engagement'!A17))</f>
        <v>45388</v>
      </c>
      <c r="G17">
        <f>COUNTIF(Visits!$E$2:$E$995,'User Engagement'!$A17)</f>
        <v>2</v>
      </c>
      <c r="H17">
        <f>COUNTIFS(Visits!$E$2:$E$995,'User Engagement'!$A18,Visits!$U$2:$U$995,"&gt;"&amp;($B$1-7))</f>
        <v>0</v>
      </c>
      <c r="I17">
        <f>COUNTIFS(Visits!$E$2:$E$995,'User Engagement'!$A17,Visits!$U$2:$U$995,"&gt;"&amp;($B$1-30))</f>
        <v>0</v>
      </c>
      <c r="J17">
        <f>COUNTIFS(Visits!$E$2:$E$995,$A17,Visits!$U$2:$U$995,"&gt;"&amp;($B$1-60))-I17</f>
        <v>0</v>
      </c>
      <c r="K17">
        <f>COUNTIFS(Visits!$V:$V,'New Dashboard'!$A$22,Visits!$E:$E,'User Engagement'!$A17)</f>
        <v>0</v>
      </c>
      <c r="L17">
        <f>COUNTIFS(Visits!$V:$V,'New Dashboard'!$A$23,Visits!$E:$E,'User Engagement'!$A17)</f>
        <v>0</v>
      </c>
      <c r="M17">
        <f>COUNTIFS(Visits!$V:$V,'New Dashboard'!$A$24,Visits!$E:$E,'User Engagement'!$A17)</f>
        <v>1</v>
      </c>
      <c r="N17">
        <f>COUNTIFS(Visits!$V:$V,'New Dashboard'!$A$25,Visits!$E:$E,'User Engagement'!$A17)</f>
        <v>1</v>
      </c>
      <c r="O17">
        <f t="shared" si="0"/>
        <v>0</v>
      </c>
      <c r="P17">
        <f t="shared" si="4"/>
        <v>0</v>
      </c>
      <c r="Q17">
        <f t="shared" si="5"/>
        <v>0</v>
      </c>
      <c r="R17">
        <f t="shared" si="1"/>
        <v>0</v>
      </c>
      <c r="S17" s="5">
        <f>SUMIF(Visits!$E$2:$E$89,'User Engagement'!$A17,Visits!$L$2:$L$89)</f>
        <v>15</v>
      </c>
      <c r="T17" s="5">
        <f>SUMIFS(Visits!$L$2:$L$89,Visits!$E$2:$E$89,'User Engagement'!$A17,Visits!$U$2:$U$89,"&gt;3/28/24")</f>
        <v>15</v>
      </c>
      <c r="U17" s="19">
        <f t="shared" si="2"/>
        <v>7.5</v>
      </c>
      <c r="V17" s="19" t="str">
        <f t="shared" si="3"/>
        <v>n/a</v>
      </c>
    </row>
    <row r="18" spans="1:22" ht="16" x14ac:dyDescent="0.2">
      <c r="A18" t="str">
        <f>Users!A16</f>
        <v>beverly.mccrory@gmail.com</v>
      </c>
      <c r="B18" s="29" t="str">
        <f>VLOOKUP(A18,Users!A:D,2,FALSE)</f>
        <v>Bev</v>
      </c>
      <c r="C18" s="29" t="str">
        <f>VLOOKUP(A18,Users!A:D,3,FALSE)</f>
        <v>McCrory</v>
      </c>
      <c r="D18" t="s">
        <v>117</v>
      </c>
      <c r="E18" t="s">
        <v>134</v>
      </c>
      <c r="F18" s="1" cm="1">
        <f t="array" ref="F18">MAX(_xlfn._xlws.FILTER(Visits!U:U,Visits!E:E='User Engagement'!A18))</f>
        <v>45451</v>
      </c>
      <c r="G18">
        <f>COUNTIF(Visits!$E$2:$E$995,'User Engagement'!$A18)</f>
        <v>2</v>
      </c>
      <c r="H18">
        <f>COUNTIFS(Visits!$E$2:$E$995,'User Engagement'!$A19,Visits!$U$2:$U$995,"&gt;"&amp;($B$1-7))</f>
        <v>0</v>
      </c>
      <c r="I18">
        <f>COUNTIFS(Visits!$E$2:$E$995,'User Engagement'!$A18,Visits!$U$2:$U$995,"&gt;"&amp;($B$1-30))</f>
        <v>2</v>
      </c>
      <c r="J18">
        <f>COUNTIFS(Visits!$E$2:$E$995,$A18,Visits!$U$2:$U$995,"&gt;"&amp;($B$1-60))-I18</f>
        <v>0</v>
      </c>
      <c r="K18">
        <f>COUNTIFS(Visits!$V:$V,'New Dashboard'!$A$22,Visits!$E:$E,'User Engagement'!$A18)</f>
        <v>2</v>
      </c>
      <c r="L18">
        <f>COUNTIFS(Visits!$V:$V,'New Dashboard'!$A$23,Visits!$E:$E,'User Engagement'!$A18)</f>
        <v>0</v>
      </c>
      <c r="M18">
        <f>COUNTIFS(Visits!$V:$V,'New Dashboard'!$A$24,Visits!$E:$E,'User Engagement'!$A18)</f>
        <v>0</v>
      </c>
      <c r="N18">
        <f>COUNTIFS(Visits!$V:$V,'New Dashboard'!$A$25,Visits!$E:$E,'User Engagement'!$A18)</f>
        <v>0</v>
      </c>
      <c r="O18">
        <f t="shared" si="0"/>
        <v>0</v>
      </c>
      <c r="P18">
        <f t="shared" si="4"/>
        <v>1</v>
      </c>
      <c r="Q18">
        <f t="shared" si="5"/>
        <v>0</v>
      </c>
      <c r="R18">
        <f t="shared" si="1"/>
        <v>0</v>
      </c>
      <c r="S18" s="5">
        <f>SUMIF(Visits!$E$2:$E$89,'User Engagement'!$A18,Visits!$L$2:$L$89)</f>
        <v>0</v>
      </c>
      <c r="T18" s="5">
        <f>SUMIFS(Visits!$L$2:$L$89,Visits!$E$2:$E$89,'User Engagement'!$A18,Visits!$U$2:$U$89,"&gt;3/28/24")</f>
        <v>0</v>
      </c>
      <c r="U18" s="19">
        <f t="shared" si="2"/>
        <v>0</v>
      </c>
      <c r="V18" s="19">
        <f t="shared" si="3"/>
        <v>0</v>
      </c>
    </row>
    <row r="19" spans="1:22" ht="16" x14ac:dyDescent="0.2">
      <c r="A19" t="str">
        <f>Users!A17</f>
        <v>camilla@sphero.network</v>
      </c>
      <c r="B19" s="29" t="str">
        <f>VLOOKUP(A19,Users!A:D,2,FALSE)</f>
        <v>Camilla</v>
      </c>
      <c r="C19" s="29" t="str">
        <f>VLOOKUP(A19,Users!A:D,3,FALSE)</f>
        <v>Carrapatoso</v>
      </c>
      <c r="E19" t="s">
        <v>134</v>
      </c>
      <c r="F19" s="1" t="e" cm="1" vm="1">
        <f t="array" ref="F19">MAX(_xlfn._xlws.FILTER(Visits!U:U,Visits!E:E='User Engagement'!A19))</f>
        <v>#VALUE!</v>
      </c>
      <c r="G19">
        <f>COUNTIF(Visits!$E$2:$E$995,'User Engagement'!$A19)</f>
        <v>0</v>
      </c>
      <c r="H19">
        <f>COUNTIFS(Visits!$E$2:$E$995,'User Engagement'!$A20,Visits!$U$2:$U$995,"&gt;"&amp;($B$1-7))</f>
        <v>0</v>
      </c>
      <c r="I19">
        <f>COUNTIFS(Visits!$E$2:$E$995,'User Engagement'!$A19,Visits!$U$2:$U$995,"&gt;"&amp;($B$1-30))</f>
        <v>0</v>
      </c>
      <c r="J19">
        <f>COUNTIFS(Visits!$E$2:$E$995,$A19,Visits!$U$2:$U$995,"&gt;"&amp;($B$1-60))-I19</f>
        <v>0</v>
      </c>
      <c r="K19">
        <f>COUNTIFS(Visits!$V:$V,'New Dashboard'!$A$22,Visits!$E:$E,'User Engagement'!$A19)</f>
        <v>0</v>
      </c>
      <c r="L19">
        <f>COUNTIFS(Visits!$V:$V,'New Dashboard'!$A$23,Visits!$E:$E,'User Engagement'!$A19)</f>
        <v>0</v>
      </c>
      <c r="M19">
        <f>COUNTIFS(Visits!$V:$V,'New Dashboard'!$A$24,Visits!$E:$E,'User Engagement'!$A19)</f>
        <v>0</v>
      </c>
      <c r="N19">
        <f>COUNTIFS(Visits!$V:$V,'New Dashboard'!$A$25,Visits!$E:$E,'User Engagement'!$A19)</f>
        <v>0</v>
      </c>
      <c r="O19">
        <f t="shared" si="0"/>
        <v>1</v>
      </c>
      <c r="P19">
        <f t="shared" si="4"/>
        <v>0</v>
      </c>
      <c r="Q19">
        <f t="shared" si="5"/>
        <v>0</v>
      </c>
      <c r="R19">
        <f t="shared" si="1"/>
        <v>0</v>
      </c>
      <c r="S19" s="5">
        <f>SUMIF(Visits!$E$2:$E$89,'User Engagement'!$A19,Visits!$L$2:$L$89)</f>
        <v>0</v>
      </c>
      <c r="T19" s="5">
        <f>SUMIFS(Visits!$L$2:$L$89,Visits!$E$2:$E$89,'User Engagement'!$A19,Visits!$U$2:$U$89,"&gt;3/28/24")</f>
        <v>0</v>
      </c>
      <c r="U19" s="19" t="e">
        <f t="shared" si="2"/>
        <v>#DIV/0!</v>
      </c>
      <c r="V19" s="19" t="str">
        <f t="shared" si="3"/>
        <v>n/a</v>
      </c>
    </row>
    <row r="20" spans="1:22" ht="16" x14ac:dyDescent="0.2">
      <c r="A20" t="str">
        <f>Users!A18</f>
        <v>sweetkowi@gmail.com</v>
      </c>
      <c r="B20" s="29" t="str">
        <f>VLOOKUP(A20,Users!A:D,2,FALSE)</f>
        <v>Cecilia</v>
      </c>
      <c r="C20" s="29" t="str">
        <f>VLOOKUP(A20,Users!A:D,3,FALSE)</f>
        <v>Lee</v>
      </c>
      <c r="D20" t="s">
        <v>117</v>
      </c>
      <c r="E20" t="s">
        <v>118</v>
      </c>
      <c r="F20" s="1" cm="1">
        <f t="array" ref="F20">MAX(_xlfn._xlws.FILTER(Visits!U:U,Visits!E:E='User Engagement'!A20))</f>
        <v>45388</v>
      </c>
      <c r="G20">
        <f>COUNTIF(Visits!$E$2:$E$995,'User Engagement'!$A20)</f>
        <v>1</v>
      </c>
      <c r="H20">
        <f>COUNTIFS(Visits!$E$2:$E$995,'User Engagement'!$A21,Visits!$U$2:$U$995,"&gt;"&amp;($B$1-7))</f>
        <v>0</v>
      </c>
      <c r="I20">
        <f>COUNTIFS(Visits!$E$2:$E$995,'User Engagement'!$A20,Visits!$U$2:$U$995,"&gt;"&amp;($B$1-30))</f>
        <v>0</v>
      </c>
      <c r="J20">
        <f>COUNTIFS(Visits!$E$2:$E$995,$A20,Visits!$U$2:$U$995,"&gt;"&amp;($B$1-60))-I20</f>
        <v>0</v>
      </c>
      <c r="K20">
        <f>COUNTIFS(Visits!$V:$V,'New Dashboard'!$A$22,Visits!$E:$E,'User Engagement'!$A20)</f>
        <v>0</v>
      </c>
      <c r="L20">
        <f>COUNTIFS(Visits!$V:$V,'New Dashboard'!$A$23,Visits!$E:$E,'User Engagement'!$A20)</f>
        <v>0</v>
      </c>
      <c r="M20">
        <f>COUNTIFS(Visits!$V:$V,'New Dashboard'!$A$24,Visits!$E:$E,'User Engagement'!$A20)</f>
        <v>1</v>
      </c>
      <c r="N20">
        <f>COUNTIFS(Visits!$V:$V,'New Dashboard'!$A$25,Visits!$E:$E,'User Engagement'!$A20)</f>
        <v>0</v>
      </c>
      <c r="O20">
        <f t="shared" si="0"/>
        <v>0</v>
      </c>
      <c r="P20">
        <f t="shared" si="4"/>
        <v>0</v>
      </c>
      <c r="Q20">
        <f t="shared" si="5"/>
        <v>0</v>
      </c>
      <c r="R20">
        <f t="shared" si="1"/>
        <v>0</v>
      </c>
      <c r="S20" s="5">
        <f>SUMIF(Visits!$E$2:$E$89,'User Engagement'!$A20,Visits!$L$2:$L$89)</f>
        <v>10</v>
      </c>
      <c r="T20" s="5">
        <f>SUMIFS(Visits!$L$2:$L$89,Visits!$E$2:$E$89,'User Engagement'!$A20,Visits!$U$2:$U$89,"&gt;3/28/24")</f>
        <v>10</v>
      </c>
      <c r="U20" s="19">
        <f t="shared" si="2"/>
        <v>10</v>
      </c>
      <c r="V20" s="19" t="str">
        <f t="shared" si="3"/>
        <v>n/a</v>
      </c>
    </row>
    <row r="21" spans="1:22" ht="16" x14ac:dyDescent="0.2">
      <c r="A21" t="str">
        <f>Users!A19</f>
        <v>celia.sattamino@gmail.com</v>
      </c>
      <c r="B21" s="29" t="str">
        <f>VLOOKUP(A21,Users!A:D,2,FALSE)</f>
        <v>Celia</v>
      </c>
      <c r="C21" s="29" t="str">
        <f>VLOOKUP(A21,Users!A:D,3,FALSE)</f>
        <v>Sattamino</v>
      </c>
      <c r="D21" t="s">
        <v>117</v>
      </c>
      <c r="E21" t="s">
        <v>134</v>
      </c>
      <c r="F21" s="1" cm="1">
        <f t="array" ref="F21">MAX(_xlfn._xlws.FILTER(Visits!U:U,Visits!E:E='User Engagement'!A21))</f>
        <v>45445</v>
      </c>
      <c r="G21">
        <f>COUNTIF(Visits!$E$2:$E$995,'User Engagement'!$A21)</f>
        <v>2</v>
      </c>
      <c r="H21">
        <f>COUNTIFS(Visits!$E$2:$E$995,'User Engagement'!$A22,Visits!$U$2:$U$995,"&gt;"&amp;($B$1-7))</f>
        <v>0</v>
      </c>
      <c r="I21">
        <f>COUNTIFS(Visits!$E$2:$E$995,'User Engagement'!$A21,Visits!$U$2:$U$995,"&gt;"&amp;($B$1-30))</f>
        <v>1</v>
      </c>
      <c r="J21">
        <f>COUNTIFS(Visits!$E$2:$E$995,$A21,Visits!$U$2:$U$995,"&gt;"&amp;($B$1-60))-I21</f>
        <v>1</v>
      </c>
      <c r="K21">
        <f>COUNTIFS(Visits!$V:$V,'New Dashboard'!$A$22,Visits!$E:$E,'User Engagement'!$A21)</f>
        <v>1</v>
      </c>
      <c r="L21">
        <f>COUNTIFS(Visits!$V:$V,'New Dashboard'!$A$23,Visits!$E:$E,'User Engagement'!$A21)</f>
        <v>1</v>
      </c>
      <c r="M21">
        <f>COUNTIFS(Visits!$V:$V,'New Dashboard'!$A$24,Visits!$E:$E,'User Engagement'!$A21)</f>
        <v>0</v>
      </c>
      <c r="N21">
        <f>COUNTIFS(Visits!$V:$V,'New Dashboard'!$A$25,Visits!$E:$E,'User Engagement'!$A21)</f>
        <v>0</v>
      </c>
      <c r="O21">
        <f t="shared" si="0"/>
        <v>0</v>
      </c>
      <c r="P21">
        <f t="shared" si="4"/>
        <v>1</v>
      </c>
      <c r="Q21">
        <f t="shared" si="5"/>
        <v>1</v>
      </c>
      <c r="R21">
        <f t="shared" si="1"/>
        <v>0</v>
      </c>
      <c r="S21" s="5">
        <f>SUMIF(Visits!$E$2:$E$89,'User Engagement'!$A21,Visits!$L$2:$L$89)</f>
        <v>0</v>
      </c>
      <c r="T21" s="5">
        <f>SUMIFS(Visits!$L$2:$L$89,Visits!$E$2:$E$89,'User Engagement'!$A21,Visits!$U$2:$U$89,"&gt;3/28/24")</f>
        <v>0</v>
      </c>
      <c r="U21" s="19">
        <f t="shared" si="2"/>
        <v>0</v>
      </c>
      <c r="V21" s="19">
        <f t="shared" si="3"/>
        <v>0</v>
      </c>
    </row>
    <row r="22" spans="1:22" ht="16" x14ac:dyDescent="0.2">
      <c r="A22" t="str">
        <f>Users!A20</f>
        <v>Clairelouisecouchman@hotmail.com</v>
      </c>
      <c r="B22" s="29" t="str">
        <f>VLOOKUP(A22,Users!A:D,2,FALSE)</f>
        <v>Claire</v>
      </c>
      <c r="C22" s="29" t="str">
        <f>VLOOKUP(A22,Users!A:D,3,FALSE)</f>
        <v>Couchman</v>
      </c>
      <c r="D22" t="s">
        <v>353</v>
      </c>
      <c r="E22" t="s">
        <v>134</v>
      </c>
      <c r="F22" s="1" t="e" cm="1">
        <f t="array" ref="F22">MAX(_xlfn._xlws.FILTER(Visits!U:U,Visits!E:E='User Engagement'!A22))</f>
        <v>#N/A</v>
      </c>
      <c r="G22">
        <f>COUNTIF(Visits!$E$2:$E$995,'User Engagement'!$A22)</f>
        <v>9</v>
      </c>
      <c r="H22">
        <f>COUNTIFS(Visits!$E$2:$E$995,'User Engagement'!$A23,Visits!$U$2:$U$995,"&gt;"&amp;($B$1-7))</f>
        <v>0</v>
      </c>
      <c r="I22">
        <f>COUNTIFS(Visits!$E$2:$E$995,'User Engagement'!$A22,Visits!$U$2:$U$995,"&gt;"&amp;($B$1-30))</f>
        <v>2</v>
      </c>
      <c r="J22">
        <f>COUNTIFS(Visits!$E$2:$E$995,$A22,Visits!$U$2:$U$995,"&gt;"&amp;($B$1-60))-I22</f>
        <v>1</v>
      </c>
      <c r="K22">
        <f>COUNTIFS(Visits!$V:$V,'New Dashboard'!$A$22,Visits!$E:$E,'User Engagement'!$A22)</f>
        <v>2</v>
      </c>
      <c r="L22">
        <f>COUNTIFS(Visits!$V:$V,'New Dashboard'!$A$23,Visits!$E:$E,'User Engagement'!$A22)</f>
        <v>2</v>
      </c>
      <c r="M22">
        <f>COUNTIFS(Visits!$V:$V,'New Dashboard'!$A$24,Visits!$E:$E,'User Engagement'!$A22)</f>
        <v>2</v>
      </c>
      <c r="N22">
        <f>COUNTIFS(Visits!$V:$V,'New Dashboard'!$A$25,Visits!$E:$E,'User Engagement'!$A22)</f>
        <v>2</v>
      </c>
      <c r="O22">
        <f t="shared" si="0"/>
        <v>0</v>
      </c>
      <c r="P22">
        <f t="shared" si="4"/>
        <v>1</v>
      </c>
      <c r="Q22">
        <f t="shared" si="5"/>
        <v>1</v>
      </c>
      <c r="R22">
        <f t="shared" si="1"/>
        <v>0</v>
      </c>
      <c r="S22" s="5">
        <f>SUMIF(Visits!$E$2:$E$89,'User Engagement'!$A22,Visits!$L$2:$L$89)</f>
        <v>34</v>
      </c>
      <c r="T22" s="5">
        <f>SUMIFS(Visits!$L$2:$L$89,Visits!$E$2:$E$89,'User Engagement'!$A22,Visits!$U$2:$U$89,"&gt;3/28/24")</f>
        <v>20</v>
      </c>
      <c r="U22" s="19">
        <f t="shared" si="2"/>
        <v>3.7777777777777777</v>
      </c>
      <c r="V22" s="19">
        <f t="shared" si="3"/>
        <v>10</v>
      </c>
    </row>
    <row r="23" spans="1:22" ht="16" x14ac:dyDescent="0.2">
      <c r="A23" t="str">
        <f>Users!A21</f>
        <v>claudiapaicu@yahoo.com</v>
      </c>
      <c r="B23" s="29" t="str">
        <f>VLOOKUP(A23,Users!A:D,2,FALSE)</f>
        <v>Claudia</v>
      </c>
      <c r="C23" s="29" t="str">
        <f>VLOOKUP(A23,Users!A:D,3,FALSE)</f>
        <v>Claudia</v>
      </c>
      <c r="F23" s="1" t="e" cm="1">
        <f t="array" ref="F23">MAX(_xlfn._xlws.FILTER(Visits!U:U,Visits!E:E='User Engagement'!A23))</f>
        <v>#N/A</v>
      </c>
      <c r="G23">
        <f>COUNTIF(Visits!$E$2:$E$995,'User Engagement'!$A23)</f>
        <v>3</v>
      </c>
      <c r="H23">
        <f>COUNTIFS(Visits!$E$2:$E$995,'User Engagement'!$A24,Visits!$U$2:$U$995,"&gt;"&amp;($B$1-7))</f>
        <v>0</v>
      </c>
      <c r="I23">
        <f>COUNTIFS(Visits!$E$2:$E$995,'User Engagement'!$A23,Visits!$U$2:$U$995,"&gt;"&amp;($B$1-30))</f>
        <v>1</v>
      </c>
      <c r="J23">
        <f>COUNTIFS(Visits!$E$2:$E$995,$A23,Visits!$U$2:$U$995,"&gt;"&amp;($B$1-60))-I23</f>
        <v>0</v>
      </c>
      <c r="K23">
        <f>COUNTIFS(Visits!$V:$V,'New Dashboard'!$A$22,Visits!$E:$E,'User Engagement'!$A23)</f>
        <v>1</v>
      </c>
      <c r="L23">
        <f>COUNTIFS(Visits!$V:$V,'New Dashboard'!$A$23,Visits!$E:$E,'User Engagement'!$A23)</f>
        <v>0</v>
      </c>
      <c r="M23">
        <f>COUNTIFS(Visits!$V:$V,'New Dashboard'!$A$24,Visits!$E:$E,'User Engagement'!$A23)</f>
        <v>1</v>
      </c>
      <c r="N23">
        <f>COUNTIFS(Visits!$V:$V,'New Dashboard'!$A$25,Visits!$E:$E,'User Engagement'!$A23)</f>
        <v>0</v>
      </c>
      <c r="O23">
        <f t="shared" si="0"/>
        <v>0</v>
      </c>
      <c r="P23">
        <f t="shared" si="4"/>
        <v>1</v>
      </c>
      <c r="Q23">
        <f t="shared" si="5"/>
        <v>0</v>
      </c>
      <c r="R23">
        <f t="shared" si="1"/>
        <v>0</v>
      </c>
      <c r="S23" s="5">
        <f>SUMIF(Visits!$E$2:$E$89,'User Engagement'!$A23,Visits!$L$2:$L$89)</f>
        <v>15</v>
      </c>
      <c r="T23" s="5">
        <f>SUMIFS(Visits!$L$2:$L$89,Visits!$E$2:$E$89,'User Engagement'!$A23,Visits!$U$2:$U$89,"&gt;3/28/24")</f>
        <v>15</v>
      </c>
      <c r="U23" s="19">
        <f t="shared" si="2"/>
        <v>5</v>
      </c>
      <c r="V23" s="19">
        <f t="shared" si="3"/>
        <v>15</v>
      </c>
    </row>
    <row r="24" spans="1:22" ht="16" x14ac:dyDescent="0.2">
      <c r="A24" t="str">
        <f>Users!A22</f>
        <v>Corneliu.civig@gmail.com</v>
      </c>
      <c r="B24" s="29" t="str">
        <f>VLOOKUP(A24,Users!A:D,2,FALSE)</f>
        <v>Corneliu</v>
      </c>
      <c r="C24" s="29" t="str">
        <f>VLOOKUP(A24,Users!A:D,3,FALSE)</f>
        <v>Civig</v>
      </c>
      <c r="D24" t="s">
        <v>130</v>
      </c>
      <c r="F24" s="1" cm="1">
        <f t="array" ref="F24">MAX(_xlfn._xlws.FILTER(Visits!U:U,Visits!E:E='User Engagement'!A24))</f>
        <v>45445</v>
      </c>
      <c r="G24">
        <f>COUNTIF(Visits!$E$2:$E$995,'User Engagement'!$A24)</f>
        <v>1</v>
      </c>
      <c r="H24">
        <f>COUNTIFS(Visits!$E$2:$E$995,'User Engagement'!$A25,Visits!$U$2:$U$995,"&gt;"&amp;($B$1-7))</f>
        <v>0</v>
      </c>
      <c r="I24">
        <f>COUNTIFS(Visits!$E$2:$E$995,'User Engagement'!$A24,Visits!$U$2:$U$995,"&gt;"&amp;($B$1-30))</f>
        <v>1</v>
      </c>
      <c r="J24">
        <f>COUNTIFS(Visits!$E$2:$E$995,$A24,Visits!$U$2:$U$995,"&gt;"&amp;($B$1-60))-I24</f>
        <v>0</v>
      </c>
      <c r="K24">
        <f>COUNTIFS(Visits!$V:$V,'New Dashboard'!$A$22,Visits!$E:$E,'User Engagement'!$A24)</f>
        <v>1</v>
      </c>
      <c r="L24">
        <f>COUNTIFS(Visits!$V:$V,'New Dashboard'!$A$23,Visits!$E:$E,'User Engagement'!$A24)</f>
        <v>0</v>
      </c>
      <c r="M24">
        <f>COUNTIFS(Visits!$V:$V,'New Dashboard'!$A$24,Visits!$E:$E,'User Engagement'!$A24)</f>
        <v>0</v>
      </c>
      <c r="N24">
        <f>COUNTIFS(Visits!$V:$V,'New Dashboard'!$A$25,Visits!$E:$E,'User Engagement'!$A24)</f>
        <v>0</v>
      </c>
      <c r="O24">
        <f t="shared" si="0"/>
        <v>0</v>
      </c>
      <c r="P24">
        <f t="shared" si="4"/>
        <v>1</v>
      </c>
      <c r="Q24">
        <f t="shared" si="5"/>
        <v>0</v>
      </c>
      <c r="R24">
        <f t="shared" si="1"/>
        <v>0</v>
      </c>
      <c r="S24" s="5">
        <f>SUMIF(Visits!$E$2:$E$89,'User Engagement'!$A24,Visits!$L$2:$L$89)</f>
        <v>0</v>
      </c>
      <c r="T24" s="5">
        <f>SUMIFS(Visits!$L$2:$L$89,Visits!$E$2:$E$89,'User Engagement'!$A24,Visits!$U$2:$U$89,"&gt;3/28/24")</f>
        <v>0</v>
      </c>
      <c r="U24" s="19">
        <f t="shared" si="2"/>
        <v>0</v>
      </c>
      <c r="V24" s="19">
        <f t="shared" si="3"/>
        <v>0</v>
      </c>
    </row>
    <row r="25" spans="1:22" ht="16" x14ac:dyDescent="0.2">
      <c r="A25" t="str">
        <f>Users!A23</f>
        <v>daniel.lugg@yahoo.com</v>
      </c>
      <c r="B25" s="29" t="str">
        <f>VLOOKUP(A25,Users!A:D,2,FALSE)</f>
        <v>Daniel</v>
      </c>
      <c r="C25" s="29" t="str">
        <f>VLOOKUP(A25,Users!A:D,3,FALSE)</f>
        <v>Lugg</v>
      </c>
      <c r="F25" s="1" t="e" cm="1">
        <f t="array" ref="F25">MAX(_xlfn._xlws.FILTER(Visits!U:U,Visits!E:E='User Engagement'!A25))</f>
        <v>#N/A</v>
      </c>
      <c r="G25">
        <f>COUNTIF(Visits!$E$2:$E$995,'User Engagement'!$A25)</f>
        <v>9</v>
      </c>
      <c r="H25">
        <f>COUNTIFS(Visits!$E$2:$E$995,'User Engagement'!$A26,Visits!$U$2:$U$995,"&gt;"&amp;($B$1-7))</f>
        <v>0</v>
      </c>
      <c r="I25">
        <f>COUNTIFS(Visits!$E$2:$E$995,'User Engagement'!$A25,Visits!$U$2:$U$995,"&gt;"&amp;($B$1-30))</f>
        <v>1</v>
      </c>
      <c r="J25">
        <f>COUNTIFS(Visits!$E$2:$E$995,$A25,Visits!$U$2:$U$995,"&gt;"&amp;($B$1-60))-I25</f>
        <v>3</v>
      </c>
      <c r="K25">
        <f>COUNTIFS(Visits!$V:$V,'New Dashboard'!$A$22,Visits!$E:$E,'User Engagement'!$A25)</f>
        <v>1</v>
      </c>
      <c r="L25">
        <f>COUNTIFS(Visits!$V:$V,'New Dashboard'!$A$23,Visits!$E:$E,'User Engagement'!$A25)</f>
        <v>3</v>
      </c>
      <c r="M25">
        <f>COUNTIFS(Visits!$V:$V,'New Dashboard'!$A$24,Visits!$E:$E,'User Engagement'!$A25)</f>
        <v>2</v>
      </c>
      <c r="N25">
        <f>COUNTIFS(Visits!$V:$V,'New Dashboard'!$A$25,Visits!$E:$E,'User Engagement'!$A25)</f>
        <v>1</v>
      </c>
      <c r="O25">
        <f t="shared" si="0"/>
        <v>0</v>
      </c>
      <c r="P25">
        <f t="shared" si="4"/>
        <v>1</v>
      </c>
      <c r="Q25">
        <f t="shared" si="5"/>
        <v>1</v>
      </c>
      <c r="R25">
        <f t="shared" si="1"/>
        <v>0</v>
      </c>
      <c r="S25" s="5">
        <f>SUMIF(Visits!$E$2:$E$89,'User Engagement'!$A25,Visits!$L$2:$L$89)</f>
        <v>55</v>
      </c>
      <c r="T25" s="5">
        <f>SUMIFS(Visits!$L$2:$L$89,Visits!$E$2:$E$89,'User Engagement'!$A25,Visits!$U$2:$U$89,"&gt;3/28/24")</f>
        <v>20</v>
      </c>
      <c r="U25" s="19">
        <f t="shared" si="2"/>
        <v>6.1111111111111107</v>
      </c>
      <c r="V25" s="19">
        <f t="shared" si="3"/>
        <v>20</v>
      </c>
    </row>
    <row r="26" spans="1:22" ht="16" x14ac:dyDescent="0.2">
      <c r="A26" t="str">
        <f>Users!A24</f>
        <v>dmello.daniel@gmail.com</v>
      </c>
      <c r="B26" s="29" t="str">
        <f>VLOOKUP(A26,Users!A:D,2,FALSE)</f>
        <v>Daniel</v>
      </c>
      <c r="C26" s="29" t="str">
        <f>VLOOKUP(A26,Users!A:D,3,FALSE)</f>
        <v>Dmello</v>
      </c>
      <c r="F26" s="1" cm="1">
        <f t="array" ref="F26">MAX(_xlfn._xlws.FILTER(Visits!U:U,Visits!E:E='User Engagement'!A26))</f>
        <v>45445</v>
      </c>
      <c r="G26">
        <f>COUNTIF(Visits!$E$2:$E$995,'User Engagement'!$A26)</f>
        <v>1</v>
      </c>
      <c r="H26">
        <f>COUNTIFS(Visits!$E$2:$E$995,'User Engagement'!$A27,Visits!$U$2:$U$995,"&gt;"&amp;($B$1-7))</f>
        <v>0</v>
      </c>
      <c r="I26">
        <f>COUNTIFS(Visits!$E$2:$E$995,'User Engagement'!$A26,Visits!$U$2:$U$995,"&gt;"&amp;($B$1-30))</f>
        <v>1</v>
      </c>
      <c r="J26">
        <f>COUNTIFS(Visits!$E$2:$E$995,$A26,Visits!$U$2:$U$995,"&gt;"&amp;($B$1-60))-I26</f>
        <v>0</v>
      </c>
      <c r="K26">
        <f>COUNTIFS(Visits!$V:$V,'New Dashboard'!$A$22,Visits!$E:$E,'User Engagement'!$A26)</f>
        <v>1</v>
      </c>
      <c r="L26">
        <f>COUNTIFS(Visits!$V:$V,'New Dashboard'!$A$23,Visits!$E:$E,'User Engagement'!$A26)</f>
        <v>0</v>
      </c>
      <c r="M26">
        <f>COUNTIFS(Visits!$V:$V,'New Dashboard'!$A$24,Visits!$E:$E,'User Engagement'!$A26)</f>
        <v>0</v>
      </c>
      <c r="N26">
        <f>COUNTIFS(Visits!$V:$V,'New Dashboard'!$A$25,Visits!$E:$E,'User Engagement'!$A26)</f>
        <v>0</v>
      </c>
      <c r="O26">
        <f t="shared" si="0"/>
        <v>0</v>
      </c>
      <c r="P26">
        <f t="shared" si="4"/>
        <v>1</v>
      </c>
      <c r="Q26">
        <f t="shared" si="5"/>
        <v>0</v>
      </c>
      <c r="R26">
        <f t="shared" si="1"/>
        <v>0</v>
      </c>
      <c r="S26" s="5">
        <f>SUMIF(Visits!$E$2:$E$89,'User Engagement'!$A26,Visits!$L$2:$L$89)</f>
        <v>0</v>
      </c>
      <c r="T26" s="5">
        <f>SUMIFS(Visits!$L$2:$L$89,Visits!$E$2:$E$89,'User Engagement'!$A26,Visits!$U$2:$U$89,"&gt;3/28/24")</f>
        <v>0</v>
      </c>
      <c r="U26" s="19">
        <f t="shared" si="2"/>
        <v>0</v>
      </c>
      <c r="V26" s="19">
        <f t="shared" si="3"/>
        <v>0</v>
      </c>
    </row>
    <row r="27" spans="1:22" ht="16" x14ac:dyDescent="0.2">
      <c r="A27" t="str">
        <f>Users!A25</f>
        <v>jones_daniela@yahoo.co.uk</v>
      </c>
      <c r="B27" s="29" t="str">
        <f>VLOOKUP(A27,Users!A:D,2,FALSE)</f>
        <v>Daniela</v>
      </c>
      <c r="C27" s="29" t="str">
        <f>VLOOKUP(A27,Users!A:D,3,FALSE)</f>
        <v>Jones</v>
      </c>
      <c r="D27" t="s">
        <v>146</v>
      </c>
      <c r="F27" s="1" t="e" cm="1">
        <f t="array" ref="F27">MAX(_xlfn._xlws.FILTER(Visits!U:U,Visits!E:E='User Engagement'!A27))</f>
        <v>#N/A</v>
      </c>
      <c r="G27">
        <f>COUNTIF(Visits!$E$2:$E$995,'User Engagement'!$A27)</f>
        <v>4</v>
      </c>
      <c r="H27">
        <f>COUNTIFS(Visits!$E$2:$E$995,'User Engagement'!$A28,Visits!$U$2:$U$995,"&gt;"&amp;($B$1-7))</f>
        <v>0</v>
      </c>
      <c r="I27">
        <f>COUNTIFS(Visits!$E$2:$E$995,'User Engagement'!$A27,Visits!$U$2:$U$995,"&gt;"&amp;($B$1-30))</f>
        <v>0</v>
      </c>
      <c r="J27">
        <f>COUNTIFS(Visits!$E$2:$E$995,$A27,Visits!$U$2:$U$995,"&gt;"&amp;($B$1-60))-I27</f>
        <v>1</v>
      </c>
      <c r="K27">
        <f>COUNTIFS(Visits!$V:$V,'New Dashboard'!$A$22,Visits!$E:$E,'User Engagement'!$A27)</f>
        <v>0</v>
      </c>
      <c r="L27">
        <f>COUNTIFS(Visits!$V:$V,'New Dashboard'!$A$23,Visits!$E:$E,'User Engagement'!$A27)</f>
        <v>1</v>
      </c>
      <c r="M27">
        <f>COUNTIFS(Visits!$V:$V,'New Dashboard'!$A$24,Visits!$E:$E,'User Engagement'!$A27)</f>
        <v>2</v>
      </c>
      <c r="N27">
        <f>COUNTIFS(Visits!$V:$V,'New Dashboard'!$A$25,Visits!$E:$E,'User Engagement'!$A27)</f>
        <v>0</v>
      </c>
      <c r="O27">
        <f t="shared" si="0"/>
        <v>0</v>
      </c>
      <c r="P27">
        <f t="shared" si="4"/>
        <v>0</v>
      </c>
      <c r="Q27">
        <f t="shared" si="5"/>
        <v>1</v>
      </c>
      <c r="R27">
        <f t="shared" si="1"/>
        <v>0</v>
      </c>
      <c r="S27" s="5">
        <f>SUMIF(Visits!$E$2:$E$89,'User Engagement'!$A27,Visits!$L$2:$L$89)</f>
        <v>30</v>
      </c>
      <c r="T27" s="5">
        <f>SUMIFS(Visits!$L$2:$L$89,Visits!$E$2:$E$89,'User Engagement'!$A27,Visits!$U$2:$U$89,"&gt;3/28/24")</f>
        <v>30</v>
      </c>
      <c r="U27" s="19">
        <f t="shared" si="2"/>
        <v>7.5</v>
      </c>
      <c r="V27" s="19" t="str">
        <f t="shared" si="3"/>
        <v>n/a</v>
      </c>
    </row>
    <row r="28" spans="1:22" ht="16" x14ac:dyDescent="0.2">
      <c r="A28" t="str">
        <f>Users!A26</f>
        <v>dmbarden@hotmail.co.uk</v>
      </c>
      <c r="B28" s="29" t="str">
        <f>VLOOKUP(A28,Users!A:D,2,FALSE)</f>
        <v>David</v>
      </c>
      <c r="C28" s="29" t="str">
        <f>VLOOKUP(A28,Users!A:D,3,FALSE)</f>
        <v>Barden</v>
      </c>
      <c r="F28" s="1" cm="1">
        <f t="array" ref="F28">MAX(_xlfn._xlws.FILTER(Visits!U:U,Visits!E:E='User Engagement'!A28))</f>
        <v>45381</v>
      </c>
      <c r="G28">
        <f>COUNTIF(Visits!$E$2:$E$995,'User Engagement'!$A28)</f>
        <v>1</v>
      </c>
      <c r="H28">
        <f>COUNTIFS(Visits!$E$2:$E$995,'User Engagement'!$A29,Visits!$U$2:$U$995,"&gt;"&amp;($B$1-7))</f>
        <v>0</v>
      </c>
      <c r="I28">
        <f>COUNTIFS(Visits!$E$2:$E$995,'User Engagement'!$A28,Visits!$U$2:$U$995,"&gt;"&amp;($B$1-30))</f>
        <v>0</v>
      </c>
      <c r="J28">
        <f>COUNTIFS(Visits!$E$2:$E$995,$A28,Visits!$U$2:$U$995,"&gt;"&amp;($B$1-60))-I28</f>
        <v>0</v>
      </c>
      <c r="K28">
        <f>COUNTIFS(Visits!$V:$V,'New Dashboard'!$A$22,Visits!$E:$E,'User Engagement'!$A28)</f>
        <v>0</v>
      </c>
      <c r="L28">
        <f>COUNTIFS(Visits!$V:$V,'New Dashboard'!$A$23,Visits!$E:$E,'User Engagement'!$A28)</f>
        <v>0</v>
      </c>
      <c r="M28">
        <f>COUNTIFS(Visits!$V:$V,'New Dashboard'!$A$24,Visits!$E:$E,'User Engagement'!$A28)</f>
        <v>0</v>
      </c>
      <c r="N28">
        <f>COUNTIFS(Visits!$V:$V,'New Dashboard'!$A$25,Visits!$E:$E,'User Engagement'!$A28)</f>
        <v>1</v>
      </c>
      <c r="O28">
        <f t="shared" si="0"/>
        <v>0</v>
      </c>
      <c r="P28">
        <f t="shared" si="4"/>
        <v>0</v>
      </c>
      <c r="Q28">
        <f t="shared" si="5"/>
        <v>0</v>
      </c>
      <c r="R28">
        <f t="shared" si="1"/>
        <v>0</v>
      </c>
      <c r="S28" s="5">
        <f>SUMIF(Visits!$E$2:$E$89,'User Engagement'!$A28,Visits!$L$2:$L$89)</f>
        <v>5</v>
      </c>
      <c r="T28" s="5">
        <f>SUMIFS(Visits!$L$2:$L$89,Visits!$E$2:$E$89,'User Engagement'!$A28,Visits!$U$2:$U$89,"&gt;3/28/24")</f>
        <v>5</v>
      </c>
      <c r="U28" s="19">
        <f t="shared" si="2"/>
        <v>5</v>
      </c>
      <c r="V28" s="19" t="str">
        <f t="shared" si="3"/>
        <v>n/a</v>
      </c>
    </row>
    <row r="29" spans="1:22" ht="16" x14ac:dyDescent="0.2">
      <c r="A29" t="str">
        <f>Users!A27</f>
        <v>david.flatscher@gmail.com</v>
      </c>
      <c r="B29" s="29" t="str">
        <f>VLOOKUP(A29,Users!A:D,2,FALSE)</f>
        <v xml:space="preserve">David </v>
      </c>
      <c r="C29" s="29" t="str">
        <f>VLOOKUP(A29,Users!A:D,3,FALSE)</f>
        <v>Flatscher</v>
      </c>
      <c r="F29" s="1" cm="1">
        <f t="array" ref="F29">MAX(_xlfn._xlws.FILTER(Visits!U:U,Visits!E:E='User Engagement'!A29))</f>
        <v>45442</v>
      </c>
      <c r="G29">
        <f>COUNTIF(Visits!$E$2:$E$995,'User Engagement'!$A29)</f>
        <v>1</v>
      </c>
      <c r="H29">
        <f>COUNTIFS(Visits!$E$2:$E$995,'User Engagement'!$A30,Visits!$U$2:$U$995,"&gt;"&amp;($B$1-7))</f>
        <v>0</v>
      </c>
      <c r="I29">
        <f>COUNTIFS(Visits!$E$2:$E$995,'User Engagement'!$A29,Visits!$U$2:$U$995,"&gt;"&amp;($B$1-30))</f>
        <v>0</v>
      </c>
      <c r="J29">
        <f>COUNTIFS(Visits!$E$2:$E$995,$A29,Visits!$U$2:$U$995,"&gt;"&amp;($B$1-60))-I29</f>
        <v>1</v>
      </c>
      <c r="K29">
        <f>COUNTIFS(Visits!$V:$V,'New Dashboard'!$A$22,Visits!$E:$E,'User Engagement'!$A29)</f>
        <v>0</v>
      </c>
      <c r="L29">
        <f>COUNTIFS(Visits!$V:$V,'New Dashboard'!$A$23,Visits!$E:$E,'User Engagement'!$A29)</f>
        <v>1</v>
      </c>
      <c r="M29">
        <f>COUNTIFS(Visits!$V:$V,'New Dashboard'!$A$24,Visits!$E:$E,'User Engagement'!$A29)</f>
        <v>0</v>
      </c>
      <c r="N29">
        <f>COUNTIFS(Visits!$V:$V,'New Dashboard'!$A$25,Visits!$E:$E,'User Engagement'!$A29)</f>
        <v>0</v>
      </c>
      <c r="O29">
        <f t="shared" si="0"/>
        <v>0</v>
      </c>
      <c r="P29">
        <f t="shared" si="4"/>
        <v>0</v>
      </c>
      <c r="Q29">
        <f t="shared" si="5"/>
        <v>1</v>
      </c>
      <c r="R29">
        <f t="shared" si="1"/>
        <v>0</v>
      </c>
      <c r="S29" s="5">
        <f>SUMIF(Visits!$E$2:$E$89,'User Engagement'!$A29,Visits!$L$2:$L$89)</f>
        <v>0</v>
      </c>
      <c r="T29" s="5">
        <f>SUMIFS(Visits!$L$2:$L$89,Visits!$E$2:$E$89,'User Engagement'!$A29,Visits!$U$2:$U$89,"&gt;3/28/24")</f>
        <v>0</v>
      </c>
      <c r="U29" s="19">
        <f t="shared" si="2"/>
        <v>0</v>
      </c>
      <c r="V29" s="19" t="str">
        <f t="shared" si="3"/>
        <v>n/a</v>
      </c>
    </row>
    <row r="30" spans="1:22" ht="16" x14ac:dyDescent="0.2">
      <c r="A30" t="str">
        <f>Users!A28</f>
        <v>d.v.davideveronese@gmail.com</v>
      </c>
      <c r="B30" s="29" t="str">
        <f>VLOOKUP(A30,Users!A:D,2,FALSE)</f>
        <v>Davide</v>
      </c>
      <c r="C30" s="29" t="str">
        <f>VLOOKUP(A30,Users!A:D,3,FALSE)</f>
        <v>Veronese</v>
      </c>
      <c r="D30" t="s">
        <v>117</v>
      </c>
      <c r="F30" s="1" cm="1">
        <f t="array" ref="F30">MAX(_xlfn._xlws.FILTER(Visits!U:U,Visits!E:E='User Engagement'!A30))</f>
        <v>45437</v>
      </c>
      <c r="G30">
        <f>COUNTIF(Visits!$E$2:$E$995,'User Engagement'!$A30)</f>
        <v>2</v>
      </c>
      <c r="H30">
        <f>COUNTIFS(Visits!$E$2:$E$995,'User Engagement'!$A31,Visits!$U$2:$U$995,"&gt;"&amp;($B$1-7))</f>
        <v>0</v>
      </c>
      <c r="I30">
        <f>COUNTIFS(Visits!$E$2:$E$995,'User Engagement'!$A30,Visits!$U$2:$U$995,"&gt;"&amp;($B$1-30))</f>
        <v>0</v>
      </c>
      <c r="J30">
        <f>COUNTIFS(Visits!$E$2:$E$995,$A30,Visits!$U$2:$U$995,"&gt;"&amp;($B$1-60))-I30</f>
        <v>1</v>
      </c>
      <c r="K30">
        <f>COUNTIFS(Visits!$V:$V,'New Dashboard'!$A$22,Visits!$E:$E,'User Engagement'!$A30)</f>
        <v>0</v>
      </c>
      <c r="L30">
        <f>COUNTIFS(Visits!$V:$V,'New Dashboard'!$A$23,Visits!$E:$E,'User Engagement'!$A30)</f>
        <v>1</v>
      </c>
      <c r="M30">
        <f>COUNTIFS(Visits!$V:$V,'New Dashboard'!$A$24,Visits!$E:$E,'User Engagement'!$A30)</f>
        <v>1</v>
      </c>
      <c r="N30">
        <f>COUNTIFS(Visits!$V:$V,'New Dashboard'!$A$25,Visits!$E:$E,'User Engagement'!$A30)</f>
        <v>0</v>
      </c>
      <c r="O30">
        <f t="shared" si="0"/>
        <v>0</v>
      </c>
      <c r="P30">
        <f t="shared" si="4"/>
        <v>0</v>
      </c>
      <c r="Q30">
        <f t="shared" si="5"/>
        <v>1</v>
      </c>
      <c r="R30">
        <f t="shared" si="1"/>
        <v>0</v>
      </c>
      <c r="S30" s="5">
        <f>SUMIF(Visits!$E$2:$E$89,'User Engagement'!$A30,Visits!$L$2:$L$89)</f>
        <v>15</v>
      </c>
      <c r="T30" s="5">
        <f>SUMIFS(Visits!$L$2:$L$89,Visits!$E$2:$E$89,'User Engagement'!$A30,Visits!$U$2:$U$89,"&gt;3/28/24")</f>
        <v>15</v>
      </c>
      <c r="U30" s="19">
        <f t="shared" si="2"/>
        <v>7.5</v>
      </c>
      <c r="V30" s="19" t="str">
        <f t="shared" si="3"/>
        <v>n/a</v>
      </c>
    </row>
    <row r="31" spans="1:22" ht="16" x14ac:dyDescent="0.2">
      <c r="A31" t="str">
        <f>Users!A29</f>
        <v>dildeep96@gmail.com</v>
      </c>
      <c r="B31" s="29" t="str">
        <f>VLOOKUP(A31,Users!A:D,2,FALSE)</f>
        <v>Dildeep</v>
      </c>
      <c r="C31" s="29" t="str">
        <f>VLOOKUP(A31,Users!A:D,3,FALSE)</f>
        <v>Singh</v>
      </c>
      <c r="D31" t="s">
        <v>117</v>
      </c>
      <c r="F31" s="1" t="e" cm="1">
        <f t="array" ref="F31">MAX(_xlfn._xlws.FILTER(Visits!U:U,Visits!E:E='User Engagement'!A31))</f>
        <v>#N/A</v>
      </c>
      <c r="G31">
        <f>COUNTIF(Visits!$E$2:$E$995,'User Engagement'!$A31)</f>
        <v>2</v>
      </c>
      <c r="H31">
        <f>COUNTIFS(Visits!$E$2:$E$995,'User Engagement'!$A32,Visits!$U$2:$U$995,"&gt;"&amp;($B$1-7))</f>
        <v>0</v>
      </c>
      <c r="I31">
        <f>COUNTIFS(Visits!$E$2:$E$995,'User Engagement'!$A31,Visits!$U$2:$U$995,"&gt;"&amp;($B$1-30))</f>
        <v>0</v>
      </c>
      <c r="J31">
        <f>COUNTIFS(Visits!$E$2:$E$995,$A31,Visits!$U$2:$U$995,"&gt;"&amp;($B$1-60))-I31</f>
        <v>0</v>
      </c>
      <c r="K31">
        <f>COUNTIFS(Visits!$V:$V,'New Dashboard'!$A$22,Visits!$E:$E,'User Engagement'!$A31)</f>
        <v>0</v>
      </c>
      <c r="L31">
        <f>COUNTIFS(Visits!$V:$V,'New Dashboard'!$A$23,Visits!$E:$E,'User Engagement'!$A31)</f>
        <v>0</v>
      </c>
      <c r="M31">
        <f>COUNTIFS(Visits!$V:$V,'New Dashboard'!$A$24,Visits!$E:$E,'User Engagement'!$A31)</f>
        <v>0</v>
      </c>
      <c r="N31">
        <f>COUNTIFS(Visits!$V:$V,'New Dashboard'!$A$25,Visits!$E:$E,'User Engagement'!$A31)</f>
        <v>0</v>
      </c>
      <c r="O31">
        <f t="shared" si="0"/>
        <v>0</v>
      </c>
      <c r="P31">
        <f t="shared" si="4"/>
        <v>0</v>
      </c>
      <c r="Q31">
        <f t="shared" si="5"/>
        <v>0</v>
      </c>
      <c r="R31">
        <f t="shared" si="1"/>
        <v>0</v>
      </c>
      <c r="S31" s="5">
        <f>SUMIF(Visits!$E$2:$E$89,'User Engagement'!$A31,Visits!$L$2:$L$89)</f>
        <v>0</v>
      </c>
      <c r="T31" s="5">
        <f>SUMIFS(Visits!$L$2:$L$89,Visits!$E$2:$E$89,'User Engagement'!$A31,Visits!$U$2:$U$89,"&gt;3/28/24")</f>
        <v>0</v>
      </c>
      <c r="U31" s="19">
        <f t="shared" si="2"/>
        <v>0</v>
      </c>
      <c r="V31" s="19" t="str">
        <f t="shared" si="3"/>
        <v>n/a</v>
      </c>
    </row>
    <row r="32" spans="1:22" ht="16" x14ac:dyDescent="0.2">
      <c r="A32" t="str">
        <f>Users!A30</f>
        <v>imanbudget@yahoo.co.uk</v>
      </c>
      <c r="B32" s="29" t="str">
        <f>VLOOKUP(A32,Users!A:D,2,FALSE)</f>
        <v>Donna</v>
      </c>
      <c r="C32" s="29" t="str">
        <f>VLOOKUP(A32,Users!A:D,3,FALSE)</f>
        <v>Achara</v>
      </c>
      <c r="F32" s="1" cm="1">
        <f t="array" ref="F32">MAX(_xlfn._xlws.FILTER(Visits!U:U,Visits!E:E='User Engagement'!A32))</f>
        <v>45442</v>
      </c>
      <c r="G32">
        <f>COUNTIF(Visits!$E$2:$E$995,'User Engagement'!$A32)</f>
        <v>1</v>
      </c>
      <c r="H32">
        <f>COUNTIFS(Visits!$E$2:$E$995,'User Engagement'!$A33,Visits!$U$2:$U$995,"&gt;"&amp;($B$1-7))</f>
        <v>0</v>
      </c>
      <c r="I32">
        <f>COUNTIFS(Visits!$E$2:$E$995,'User Engagement'!$A32,Visits!$U$2:$U$995,"&gt;"&amp;($B$1-30))</f>
        <v>0</v>
      </c>
      <c r="J32">
        <f>COUNTIFS(Visits!$E$2:$E$995,$A32,Visits!$U$2:$U$995,"&gt;"&amp;($B$1-60))-I32</f>
        <v>1</v>
      </c>
      <c r="K32">
        <f>COUNTIFS(Visits!$V:$V,'New Dashboard'!$A$22,Visits!$E:$E,'User Engagement'!$A32)</f>
        <v>0</v>
      </c>
      <c r="L32">
        <f>COUNTIFS(Visits!$V:$V,'New Dashboard'!$A$23,Visits!$E:$E,'User Engagement'!$A32)</f>
        <v>1</v>
      </c>
      <c r="M32">
        <f>COUNTIFS(Visits!$V:$V,'New Dashboard'!$A$24,Visits!$E:$E,'User Engagement'!$A32)</f>
        <v>0</v>
      </c>
      <c r="N32">
        <f>COUNTIFS(Visits!$V:$V,'New Dashboard'!$A$25,Visits!$E:$E,'User Engagement'!$A32)</f>
        <v>0</v>
      </c>
      <c r="O32">
        <f t="shared" si="0"/>
        <v>0</v>
      </c>
      <c r="P32">
        <f t="shared" si="4"/>
        <v>0</v>
      </c>
      <c r="Q32">
        <f t="shared" si="5"/>
        <v>1</v>
      </c>
      <c r="R32">
        <f t="shared" si="1"/>
        <v>0</v>
      </c>
      <c r="S32" s="5">
        <f>SUMIF(Visits!$E$2:$E$89,'User Engagement'!$A32,Visits!$L$2:$L$89)</f>
        <v>0</v>
      </c>
      <c r="T32" s="5">
        <f>SUMIFS(Visits!$L$2:$L$89,Visits!$E$2:$E$89,'User Engagement'!$A32,Visits!$U$2:$U$89,"&gt;3/28/24")</f>
        <v>0</v>
      </c>
      <c r="U32" s="19">
        <f t="shared" si="2"/>
        <v>0</v>
      </c>
      <c r="V32" s="19" t="str">
        <f t="shared" si="3"/>
        <v>n/a</v>
      </c>
    </row>
    <row r="33" spans="1:22" ht="16" x14ac:dyDescent="0.2">
      <c r="A33" t="str">
        <f>Users!A31</f>
        <v>egemensiphone@gmail.com</v>
      </c>
      <c r="B33" s="29" t="str">
        <f>VLOOKUP(A33,Users!A:D,2,FALSE)</f>
        <v>Egemen</v>
      </c>
      <c r="C33" s="29" t="str">
        <f>VLOOKUP(A33,Users!A:D,3,FALSE)</f>
        <v>U</v>
      </c>
      <c r="F33" s="1" t="e" cm="1">
        <f t="array" ref="F33">MAX(_xlfn._xlws.FILTER(Visits!U:U,Visits!E:E='User Engagement'!A33))</f>
        <v>#N/A</v>
      </c>
      <c r="G33">
        <f>COUNTIF(Visits!$E$2:$E$995,'User Engagement'!$A33)</f>
        <v>1</v>
      </c>
      <c r="H33">
        <f>COUNTIFS(Visits!$E$2:$E$995,'User Engagement'!$A34,Visits!$U$2:$U$995,"&gt;"&amp;($B$1-7))</f>
        <v>0</v>
      </c>
      <c r="I33">
        <f>COUNTIFS(Visits!$E$2:$E$995,'User Engagement'!$A33,Visits!$U$2:$U$995,"&gt;"&amp;($B$1-30))</f>
        <v>0</v>
      </c>
      <c r="J33">
        <f>COUNTIFS(Visits!$E$2:$E$995,$A33,Visits!$U$2:$U$995,"&gt;"&amp;($B$1-60))-I33</f>
        <v>0</v>
      </c>
      <c r="K33">
        <f>COUNTIFS(Visits!$V:$V,'New Dashboard'!$A$22,Visits!$E:$E,'User Engagement'!$A33)</f>
        <v>0</v>
      </c>
      <c r="L33">
        <f>COUNTIFS(Visits!$V:$V,'New Dashboard'!$A$23,Visits!$E:$E,'User Engagement'!$A33)</f>
        <v>0</v>
      </c>
      <c r="M33">
        <f>COUNTIFS(Visits!$V:$V,'New Dashboard'!$A$24,Visits!$E:$E,'User Engagement'!$A33)</f>
        <v>0</v>
      </c>
      <c r="N33">
        <f>COUNTIFS(Visits!$V:$V,'New Dashboard'!$A$25,Visits!$E:$E,'User Engagement'!$A33)</f>
        <v>0</v>
      </c>
      <c r="O33">
        <f t="shared" si="0"/>
        <v>0</v>
      </c>
      <c r="P33">
        <f t="shared" si="4"/>
        <v>0</v>
      </c>
      <c r="Q33">
        <f t="shared" si="5"/>
        <v>0</v>
      </c>
      <c r="R33">
        <f t="shared" si="1"/>
        <v>0</v>
      </c>
      <c r="S33" s="5">
        <f>SUMIF(Visits!$E$2:$E$89,'User Engagement'!$A33,Visits!$L$2:$L$89)</f>
        <v>10</v>
      </c>
      <c r="T33" s="5">
        <f>SUMIFS(Visits!$L$2:$L$89,Visits!$E$2:$E$89,'User Engagement'!$A33,Visits!$U$2:$U$89,"&gt;3/28/24")</f>
        <v>0</v>
      </c>
      <c r="U33" s="19">
        <f t="shared" si="2"/>
        <v>10</v>
      </c>
      <c r="V33" s="19" t="str">
        <f t="shared" si="3"/>
        <v>n/a</v>
      </c>
    </row>
    <row r="34" spans="1:22" ht="16" x14ac:dyDescent="0.2">
      <c r="A34" t="str">
        <f>Users!A32</f>
        <v>ejike.onuchukwu@gmail.com</v>
      </c>
      <c r="B34" s="29" t="str">
        <f>VLOOKUP(A34,Users!A:D,2,FALSE)</f>
        <v>Ejike</v>
      </c>
      <c r="C34" s="29" t="str">
        <f>VLOOKUP(A34,Users!A:D,3,FALSE)</f>
        <v>Onuchukwu</v>
      </c>
      <c r="F34" s="1" cm="1">
        <f t="array" ref="F34">MAX(_xlfn._xlws.FILTER(Visits!U:U,Visits!E:E='User Engagement'!A34))</f>
        <v>45442</v>
      </c>
      <c r="G34">
        <f>COUNTIF(Visits!$E$2:$E$995,'User Engagement'!$A34)</f>
        <v>1</v>
      </c>
      <c r="H34">
        <f>COUNTIFS(Visits!$E$2:$E$995,'User Engagement'!$A35,Visits!$U$2:$U$995,"&gt;"&amp;($B$1-7))</f>
        <v>0</v>
      </c>
      <c r="I34">
        <f>COUNTIFS(Visits!$E$2:$E$995,'User Engagement'!$A34,Visits!$U$2:$U$995,"&gt;"&amp;($B$1-30))</f>
        <v>0</v>
      </c>
      <c r="J34">
        <f>COUNTIFS(Visits!$E$2:$E$995,$A34,Visits!$U$2:$U$995,"&gt;"&amp;($B$1-60))-I34</f>
        <v>1</v>
      </c>
      <c r="K34">
        <f>COUNTIFS(Visits!$V:$V,'New Dashboard'!$A$22,Visits!$E:$E,'User Engagement'!$A34)</f>
        <v>0</v>
      </c>
      <c r="L34">
        <f>COUNTIFS(Visits!$V:$V,'New Dashboard'!$A$23,Visits!$E:$E,'User Engagement'!$A34)</f>
        <v>1</v>
      </c>
      <c r="M34">
        <f>COUNTIFS(Visits!$V:$V,'New Dashboard'!$A$24,Visits!$E:$E,'User Engagement'!$A34)</f>
        <v>0</v>
      </c>
      <c r="N34">
        <f>COUNTIFS(Visits!$V:$V,'New Dashboard'!$A$25,Visits!$E:$E,'User Engagement'!$A34)</f>
        <v>0</v>
      </c>
      <c r="O34">
        <f t="shared" si="0"/>
        <v>0</v>
      </c>
      <c r="P34">
        <f t="shared" si="4"/>
        <v>0</v>
      </c>
      <c r="Q34">
        <f t="shared" si="5"/>
        <v>1</v>
      </c>
      <c r="R34">
        <f t="shared" si="1"/>
        <v>0</v>
      </c>
      <c r="S34" s="5">
        <f>SUMIF(Visits!$E$2:$E$89,'User Engagement'!$A34,Visits!$L$2:$L$89)</f>
        <v>0</v>
      </c>
      <c r="T34" s="5">
        <f>SUMIFS(Visits!$L$2:$L$89,Visits!$E$2:$E$89,'User Engagement'!$A34,Visits!$U$2:$U$89,"&gt;3/28/24")</f>
        <v>0</v>
      </c>
      <c r="U34" s="19">
        <f t="shared" si="2"/>
        <v>0</v>
      </c>
      <c r="V34" s="19" t="str">
        <f t="shared" si="3"/>
        <v>n/a</v>
      </c>
    </row>
    <row r="35" spans="1:22" ht="16" x14ac:dyDescent="0.2">
      <c r="A35" t="str">
        <f>Users!A33</f>
        <v>edementyeva@yandex.ru</v>
      </c>
      <c r="B35" s="29" t="str">
        <f>VLOOKUP(A35,Users!A:D,2,FALSE)</f>
        <v>Elena</v>
      </c>
      <c r="C35" s="29" t="str">
        <f>VLOOKUP(A35,Users!A:D,3,FALSE)</f>
        <v>Dementeva</v>
      </c>
      <c r="F35" s="1" t="e" cm="1">
        <f t="array" ref="F35">MAX(_xlfn._xlws.FILTER(Visits!U:U,Visits!E:E='User Engagement'!A35))</f>
        <v>#N/A</v>
      </c>
      <c r="G35">
        <f>COUNTIF(Visits!$E$2:$E$995,'User Engagement'!$A35)</f>
        <v>1</v>
      </c>
      <c r="H35">
        <f>COUNTIFS(Visits!$E$2:$E$995,'User Engagement'!$A36,Visits!$U$2:$U$995,"&gt;"&amp;($B$1-7))</f>
        <v>0</v>
      </c>
      <c r="I35">
        <f>COUNTIFS(Visits!$E$2:$E$995,'User Engagement'!$A35,Visits!$U$2:$U$995,"&gt;"&amp;($B$1-30))</f>
        <v>0</v>
      </c>
      <c r="J35">
        <f>COUNTIFS(Visits!$E$2:$E$995,$A35,Visits!$U$2:$U$995,"&gt;"&amp;($B$1-60))-I35</f>
        <v>0</v>
      </c>
      <c r="K35">
        <f>COUNTIFS(Visits!$V:$V,'New Dashboard'!$A$22,Visits!$E:$E,'User Engagement'!$A35)</f>
        <v>0</v>
      </c>
      <c r="L35">
        <f>COUNTIFS(Visits!$V:$V,'New Dashboard'!$A$23,Visits!$E:$E,'User Engagement'!$A35)</f>
        <v>0</v>
      </c>
      <c r="M35">
        <f>COUNTIFS(Visits!$V:$V,'New Dashboard'!$A$24,Visits!$E:$E,'User Engagement'!$A35)</f>
        <v>0</v>
      </c>
      <c r="N35">
        <f>COUNTIFS(Visits!$V:$V,'New Dashboard'!$A$25,Visits!$E:$E,'User Engagement'!$A35)</f>
        <v>0</v>
      </c>
      <c r="O35">
        <f t="shared" si="0"/>
        <v>0</v>
      </c>
      <c r="P35">
        <f t="shared" si="4"/>
        <v>0</v>
      </c>
      <c r="Q35">
        <f t="shared" si="5"/>
        <v>0</v>
      </c>
      <c r="R35">
        <f t="shared" si="1"/>
        <v>0</v>
      </c>
      <c r="S35" s="5">
        <f>SUMIF(Visits!$E$2:$E$89,'User Engagement'!$A35,Visits!$L$2:$L$89)</f>
        <v>0</v>
      </c>
      <c r="T35" s="5">
        <f>SUMIFS(Visits!$L$2:$L$89,Visits!$E$2:$E$89,'User Engagement'!$A35,Visits!$U$2:$U$89,"&gt;3/28/24")</f>
        <v>0</v>
      </c>
      <c r="U35" s="19">
        <f t="shared" si="2"/>
        <v>0</v>
      </c>
      <c r="V35" s="19" t="str">
        <f t="shared" si="3"/>
        <v>n/a</v>
      </c>
    </row>
    <row r="36" spans="1:22" ht="16" x14ac:dyDescent="0.2">
      <c r="A36" t="str">
        <f>Users!A34</f>
        <v>elena27kuv@gmail.com</v>
      </c>
      <c r="B36" s="29" t="str">
        <f>VLOOKUP(A36,Users!A:D,2,FALSE)</f>
        <v>Elena</v>
      </c>
      <c r="C36" s="29" t="str">
        <f>VLOOKUP(A36,Users!A:D,3,FALSE)</f>
        <v>Kuvshinnikova</v>
      </c>
      <c r="F36" s="1" t="e" cm="1">
        <f t="array" ref="F36">MAX(_xlfn._xlws.FILTER(Visits!U:U,Visits!E:E='User Engagement'!A36))</f>
        <v>#N/A</v>
      </c>
      <c r="G36">
        <f>COUNTIF(Visits!$E$2:$E$995,'User Engagement'!$A36)</f>
        <v>1</v>
      </c>
      <c r="H36">
        <f>COUNTIFS(Visits!$E$2:$E$995,'User Engagement'!$A37,Visits!$U$2:$U$995,"&gt;"&amp;($B$1-7))</f>
        <v>0</v>
      </c>
      <c r="I36">
        <f>COUNTIFS(Visits!$E$2:$E$995,'User Engagement'!$A36,Visits!$U$2:$U$995,"&gt;"&amp;($B$1-30))</f>
        <v>0</v>
      </c>
      <c r="J36">
        <f>COUNTIFS(Visits!$E$2:$E$995,$A36,Visits!$U$2:$U$995,"&gt;"&amp;($B$1-60))-I36</f>
        <v>0</v>
      </c>
      <c r="K36">
        <f>COUNTIFS(Visits!$V:$V,'New Dashboard'!$A$22,Visits!$E:$E,'User Engagement'!$A36)</f>
        <v>0</v>
      </c>
      <c r="L36">
        <f>COUNTIFS(Visits!$V:$V,'New Dashboard'!$A$23,Visits!$E:$E,'User Engagement'!$A36)</f>
        <v>0</v>
      </c>
      <c r="M36">
        <f>COUNTIFS(Visits!$V:$V,'New Dashboard'!$A$24,Visits!$E:$E,'User Engagement'!$A36)</f>
        <v>0</v>
      </c>
      <c r="N36">
        <f>COUNTIFS(Visits!$V:$V,'New Dashboard'!$A$25,Visits!$E:$E,'User Engagement'!$A36)</f>
        <v>0</v>
      </c>
      <c r="O36">
        <f t="shared" ref="O36:O60" si="6">IF(G36-H36=0,1,0)</f>
        <v>0</v>
      </c>
      <c r="P36">
        <f t="shared" ref="P36:P60" si="7">IF(I36&gt;0,1,0)</f>
        <v>0</v>
      </c>
      <c r="Q36">
        <f t="shared" si="5"/>
        <v>0</v>
      </c>
      <c r="R36">
        <f t="shared" si="1"/>
        <v>0</v>
      </c>
      <c r="S36" s="5">
        <f>SUMIF(Visits!$E$2:$E$89,'User Engagement'!$A36,Visits!$L$2:$L$89)</f>
        <v>15</v>
      </c>
      <c r="T36" s="5">
        <f>SUMIFS(Visits!$L$2:$L$89,Visits!$E$2:$E$89,'User Engagement'!$A36,Visits!$U$2:$U$89,"&gt;3/28/24")</f>
        <v>0</v>
      </c>
      <c r="U36" s="19">
        <f t="shared" si="2"/>
        <v>15</v>
      </c>
      <c r="V36" s="19" t="str">
        <f t="shared" si="3"/>
        <v>n/a</v>
      </c>
    </row>
    <row r="37" spans="1:22" ht="16" x14ac:dyDescent="0.2">
      <c r="A37" t="str">
        <f>Users!A35</f>
        <v>C.Emily.white@gmail.com</v>
      </c>
      <c r="B37" s="29" t="str">
        <f>VLOOKUP(A37,Users!A:D,2,FALSE)</f>
        <v>Emily</v>
      </c>
      <c r="C37" s="29" t="str">
        <f>VLOOKUP(A37,Users!A:D,3,FALSE)</f>
        <v>White</v>
      </c>
      <c r="D37" t="s">
        <v>353</v>
      </c>
      <c r="F37" s="1" cm="1">
        <f t="array" ref="F37">MAX(_xlfn._xlws.FILTER(Visits!U:U,Visits!E:E='User Engagement'!A37))</f>
        <v>45445</v>
      </c>
      <c r="G37">
        <f>COUNTIF(Visits!$E$2:$E$995,'User Engagement'!$A37)</f>
        <v>1</v>
      </c>
      <c r="H37">
        <f>COUNTIFS(Visits!$E$2:$E$995,'User Engagement'!$A38,Visits!$U$2:$U$995,"&gt;"&amp;($B$1-7))</f>
        <v>0</v>
      </c>
      <c r="I37">
        <f>COUNTIFS(Visits!$E$2:$E$995,'User Engagement'!$A37,Visits!$U$2:$U$995,"&gt;"&amp;($B$1-30))</f>
        <v>1</v>
      </c>
      <c r="J37">
        <f>COUNTIFS(Visits!$E$2:$E$995,$A37,Visits!$U$2:$U$995,"&gt;"&amp;($B$1-60))-I37</f>
        <v>0</v>
      </c>
      <c r="K37">
        <f>COUNTIFS(Visits!$V:$V,'New Dashboard'!$A$22,Visits!$E:$E,'User Engagement'!$A37)</f>
        <v>1</v>
      </c>
      <c r="L37">
        <f>COUNTIFS(Visits!$V:$V,'New Dashboard'!$A$23,Visits!$E:$E,'User Engagement'!$A37)</f>
        <v>0</v>
      </c>
      <c r="M37">
        <f>COUNTIFS(Visits!$V:$V,'New Dashboard'!$A$24,Visits!$E:$E,'User Engagement'!$A37)</f>
        <v>0</v>
      </c>
      <c r="N37">
        <f>COUNTIFS(Visits!$V:$V,'New Dashboard'!$A$25,Visits!$E:$E,'User Engagement'!$A37)</f>
        <v>0</v>
      </c>
      <c r="O37">
        <f t="shared" si="6"/>
        <v>0</v>
      </c>
      <c r="P37">
        <f t="shared" si="7"/>
        <v>1</v>
      </c>
      <c r="Q37">
        <f t="shared" si="5"/>
        <v>0</v>
      </c>
      <c r="R37">
        <f t="shared" si="1"/>
        <v>0</v>
      </c>
      <c r="S37" s="5">
        <f>SUMIF(Visits!$E$2:$E$89,'User Engagement'!$A37,Visits!$L$2:$L$89)</f>
        <v>0</v>
      </c>
      <c r="T37" s="5">
        <f>SUMIFS(Visits!$L$2:$L$89,Visits!$E$2:$E$89,'User Engagement'!$A37,Visits!$U$2:$U$89,"&gt;3/28/24")</f>
        <v>0</v>
      </c>
      <c r="U37" s="19">
        <f t="shared" si="2"/>
        <v>0</v>
      </c>
      <c r="V37" s="19">
        <f t="shared" si="3"/>
        <v>0</v>
      </c>
    </row>
    <row r="38" spans="1:22" ht="16" x14ac:dyDescent="0.2">
      <c r="A38" t="str">
        <f>Users!A36</f>
        <v>eoghannaughton@hotmail.com</v>
      </c>
      <c r="B38" s="29" t="str">
        <f>VLOOKUP(A38,Users!A:D,2,FALSE)</f>
        <v>Eoghan</v>
      </c>
      <c r="C38" s="29" t="str">
        <f>VLOOKUP(A38,Users!A:D,3,FALSE)</f>
        <v>Naughton</v>
      </c>
      <c r="F38" s="1" t="e" cm="1">
        <f t="array" ref="F38">MAX(_xlfn._xlws.FILTER(Visits!U:U,Visits!E:E='User Engagement'!A38))</f>
        <v>#N/A</v>
      </c>
      <c r="G38">
        <f>COUNTIF(Visits!$E$2:$E$995,'User Engagement'!$A38)</f>
        <v>4</v>
      </c>
      <c r="H38">
        <f>COUNTIFS(Visits!$E$2:$E$995,'User Engagement'!$A39,Visits!$U$2:$U$995,"&gt;"&amp;($B$1-7))</f>
        <v>0</v>
      </c>
      <c r="I38">
        <f>COUNTIFS(Visits!$E$2:$E$995,'User Engagement'!$A38,Visits!$U$2:$U$995,"&gt;"&amp;($B$1-30))</f>
        <v>0</v>
      </c>
      <c r="J38">
        <f>COUNTIFS(Visits!$E$2:$E$995,$A38,Visits!$U$2:$U$995,"&gt;"&amp;($B$1-60))-I38</f>
        <v>1</v>
      </c>
      <c r="K38">
        <f>COUNTIFS(Visits!$V:$V,'New Dashboard'!$A$22,Visits!$E:$E,'User Engagement'!$A38)</f>
        <v>0</v>
      </c>
      <c r="L38">
        <f>COUNTIFS(Visits!$V:$V,'New Dashboard'!$A$23,Visits!$E:$E,'User Engagement'!$A38)</f>
        <v>1</v>
      </c>
      <c r="M38">
        <f>COUNTIFS(Visits!$V:$V,'New Dashboard'!$A$24,Visits!$E:$E,'User Engagement'!$A38)</f>
        <v>1</v>
      </c>
      <c r="N38">
        <f>COUNTIFS(Visits!$V:$V,'New Dashboard'!$A$25,Visits!$E:$E,'User Engagement'!$A38)</f>
        <v>0</v>
      </c>
      <c r="O38">
        <f t="shared" si="6"/>
        <v>0</v>
      </c>
      <c r="P38">
        <f t="shared" si="7"/>
        <v>0</v>
      </c>
      <c r="Q38">
        <f t="shared" si="5"/>
        <v>1</v>
      </c>
      <c r="R38">
        <f t="shared" si="1"/>
        <v>0</v>
      </c>
      <c r="S38" s="5">
        <f>SUMIF(Visits!$E$2:$E$89,'User Engagement'!$A38,Visits!$L$2:$L$89)</f>
        <v>15</v>
      </c>
      <c r="T38" s="5">
        <f>SUMIFS(Visits!$L$2:$L$89,Visits!$E$2:$E$89,'User Engagement'!$A38,Visits!$U$2:$U$89,"&gt;3/28/24")</f>
        <v>15</v>
      </c>
      <c r="U38" s="19">
        <f t="shared" si="2"/>
        <v>3.75</v>
      </c>
      <c r="V38" s="19" t="str">
        <f t="shared" si="3"/>
        <v>n/a</v>
      </c>
    </row>
    <row r="39" spans="1:22" ht="16" x14ac:dyDescent="0.2">
      <c r="A39" t="str">
        <f>Users!A37</f>
        <v>estherchen314@gmail.com</v>
      </c>
      <c r="B39" s="29" t="str">
        <f>VLOOKUP(A39,Users!A:D,2,FALSE)</f>
        <v>Esther</v>
      </c>
      <c r="C39" s="29" t="str">
        <f>VLOOKUP(A39,Users!A:D,3,FALSE)</f>
        <v>Chen</v>
      </c>
      <c r="F39" s="1" t="e" cm="1">
        <f t="array" ref="F39">MAX(_xlfn._xlws.FILTER(Visits!U:U,Visits!E:E='User Engagement'!A39))</f>
        <v>#N/A</v>
      </c>
      <c r="G39">
        <f>COUNTIF(Visits!$E$2:$E$995,'User Engagement'!$A39)</f>
        <v>1</v>
      </c>
      <c r="H39">
        <f>COUNTIFS(Visits!$E$2:$E$995,'User Engagement'!$A40,Visits!$U$2:$U$995,"&gt;"&amp;($B$1-7))</f>
        <v>0</v>
      </c>
      <c r="I39">
        <f>COUNTIFS(Visits!$E$2:$E$995,'User Engagement'!$A39,Visits!$U$2:$U$995,"&gt;"&amp;($B$1-30))</f>
        <v>0</v>
      </c>
      <c r="J39">
        <f>COUNTIFS(Visits!$E$2:$E$995,$A39,Visits!$U$2:$U$995,"&gt;"&amp;($B$1-60))-I39</f>
        <v>0</v>
      </c>
      <c r="K39">
        <f>COUNTIFS(Visits!$V:$V,'New Dashboard'!$A$22,Visits!$E:$E,'User Engagement'!$A39)</f>
        <v>0</v>
      </c>
      <c r="L39">
        <f>COUNTIFS(Visits!$V:$V,'New Dashboard'!$A$23,Visits!$E:$E,'User Engagement'!$A39)</f>
        <v>0</v>
      </c>
      <c r="M39">
        <f>COUNTIFS(Visits!$V:$V,'New Dashboard'!$A$24,Visits!$E:$E,'User Engagement'!$A39)</f>
        <v>0</v>
      </c>
      <c r="N39">
        <f>COUNTIFS(Visits!$V:$V,'New Dashboard'!$A$25,Visits!$E:$E,'User Engagement'!$A39)</f>
        <v>0</v>
      </c>
      <c r="O39">
        <f t="shared" si="6"/>
        <v>0</v>
      </c>
      <c r="P39">
        <f t="shared" si="7"/>
        <v>0</v>
      </c>
      <c r="Q39">
        <f t="shared" si="5"/>
        <v>0</v>
      </c>
      <c r="R39">
        <f t="shared" si="1"/>
        <v>0</v>
      </c>
      <c r="S39" s="5">
        <f>SUMIF(Visits!$E$2:$E$89,'User Engagement'!$A39,Visits!$L$2:$L$89)</f>
        <v>0</v>
      </c>
      <c r="T39" s="5">
        <f>SUMIFS(Visits!$L$2:$L$89,Visits!$E$2:$E$89,'User Engagement'!$A39,Visits!$U$2:$U$89,"&gt;3/28/24")</f>
        <v>0</v>
      </c>
      <c r="U39" s="19">
        <f t="shared" si="2"/>
        <v>0</v>
      </c>
      <c r="V39" s="19" t="str">
        <f t="shared" si="3"/>
        <v>n/a</v>
      </c>
    </row>
    <row r="40" spans="1:22" ht="16" x14ac:dyDescent="0.2">
      <c r="A40" t="str">
        <f>Users!A38</f>
        <v>alena.german.71@gmail.com</v>
      </c>
      <c r="B40" s="29" t="str">
        <f>VLOOKUP(A40,Users!A:D,2,FALSE)</f>
        <v>Eugenia</v>
      </c>
      <c r="C40" s="29" t="str">
        <f>VLOOKUP(A40,Users!A:D,3,FALSE)</f>
        <v>Herman</v>
      </c>
      <c r="F40" s="1" t="e" cm="1">
        <f t="array" ref="F40">MAX(_xlfn._xlws.FILTER(Visits!U:U,Visits!E:E='User Engagement'!A40))</f>
        <v>#N/A</v>
      </c>
      <c r="G40">
        <f>COUNTIF(Visits!$E$2:$E$995,'User Engagement'!$A40)</f>
        <v>1</v>
      </c>
      <c r="H40">
        <f>COUNTIFS(Visits!$E$2:$E$995,'User Engagement'!$A41,Visits!$U$2:$U$995,"&gt;"&amp;($B$1-7))</f>
        <v>0</v>
      </c>
      <c r="I40">
        <f>COUNTIFS(Visits!$E$2:$E$995,'User Engagement'!$A40,Visits!$U$2:$U$995,"&gt;"&amp;($B$1-30))</f>
        <v>0</v>
      </c>
      <c r="J40">
        <f>COUNTIFS(Visits!$E$2:$E$995,$A40,Visits!$U$2:$U$995,"&gt;"&amp;($B$1-60))-I40</f>
        <v>0</v>
      </c>
      <c r="K40">
        <f>COUNTIFS(Visits!$V:$V,'New Dashboard'!$A$22,Visits!$E:$E,'User Engagement'!$A40)</f>
        <v>0</v>
      </c>
      <c r="L40">
        <f>COUNTIFS(Visits!$V:$V,'New Dashboard'!$A$23,Visits!$E:$E,'User Engagement'!$A40)</f>
        <v>0</v>
      </c>
      <c r="M40">
        <f>COUNTIFS(Visits!$V:$V,'New Dashboard'!$A$24,Visits!$E:$E,'User Engagement'!$A40)</f>
        <v>0</v>
      </c>
      <c r="N40">
        <f>COUNTIFS(Visits!$V:$V,'New Dashboard'!$A$25,Visits!$E:$E,'User Engagement'!$A40)</f>
        <v>0</v>
      </c>
      <c r="O40">
        <f t="shared" si="6"/>
        <v>0</v>
      </c>
      <c r="P40">
        <f t="shared" si="7"/>
        <v>0</v>
      </c>
      <c r="Q40">
        <f t="shared" si="5"/>
        <v>0</v>
      </c>
      <c r="R40">
        <f t="shared" si="1"/>
        <v>0</v>
      </c>
      <c r="S40" s="5">
        <f>SUMIF(Visits!$E$2:$E$89,'User Engagement'!$A40,Visits!$L$2:$L$89)</f>
        <v>0</v>
      </c>
      <c r="T40" s="5">
        <f>SUMIFS(Visits!$L$2:$L$89,Visits!$E$2:$E$89,'User Engagement'!$A40,Visits!$U$2:$U$89,"&gt;3/28/24")</f>
        <v>0</v>
      </c>
      <c r="U40" s="19">
        <f t="shared" si="2"/>
        <v>0</v>
      </c>
      <c r="V40" s="19" t="str">
        <f t="shared" si="3"/>
        <v>n/a</v>
      </c>
    </row>
    <row r="41" spans="1:22" ht="16" x14ac:dyDescent="0.2">
      <c r="A41" t="str">
        <f>Users!A39</f>
        <v>ezgicaakmak@gmail.com</v>
      </c>
      <c r="B41" s="29" t="str">
        <f>VLOOKUP(A41,Users!A:D,2,FALSE)</f>
        <v>Ezgi</v>
      </c>
      <c r="C41" s="29" t="str">
        <f>VLOOKUP(A41,Users!A:D,3,FALSE)</f>
        <v>Çakmak</v>
      </c>
      <c r="F41" s="1" cm="1">
        <f t="array" ref="F41">MAX(_xlfn._xlws.FILTER(Visits!U:U,Visits!E:E='User Engagement'!A41))</f>
        <v>45381</v>
      </c>
      <c r="G41">
        <f>COUNTIF(Visits!$E$2:$E$995,'User Engagement'!$A41)</f>
        <v>1</v>
      </c>
      <c r="H41">
        <f>COUNTIFS(Visits!$E$2:$E$995,'User Engagement'!$A42,Visits!$U$2:$U$995,"&gt;"&amp;($B$1-7))</f>
        <v>0</v>
      </c>
      <c r="I41">
        <f>COUNTIFS(Visits!$E$2:$E$995,'User Engagement'!$A41,Visits!$U$2:$U$995,"&gt;"&amp;($B$1-30))</f>
        <v>0</v>
      </c>
      <c r="J41">
        <f>COUNTIFS(Visits!$E$2:$E$995,$A41,Visits!$U$2:$U$995,"&gt;"&amp;($B$1-60))-I41</f>
        <v>0</v>
      </c>
      <c r="K41">
        <f>COUNTIFS(Visits!$V:$V,'New Dashboard'!$A$22,Visits!$E:$E,'User Engagement'!$A41)</f>
        <v>0</v>
      </c>
      <c r="L41">
        <f>COUNTIFS(Visits!$V:$V,'New Dashboard'!$A$23,Visits!$E:$E,'User Engagement'!$A41)</f>
        <v>0</v>
      </c>
      <c r="M41">
        <f>COUNTIFS(Visits!$V:$V,'New Dashboard'!$A$24,Visits!$E:$E,'User Engagement'!$A41)</f>
        <v>0</v>
      </c>
      <c r="N41">
        <f>COUNTIFS(Visits!$V:$V,'New Dashboard'!$A$25,Visits!$E:$E,'User Engagement'!$A41)</f>
        <v>1</v>
      </c>
      <c r="O41">
        <f t="shared" si="6"/>
        <v>0</v>
      </c>
      <c r="P41">
        <f t="shared" si="7"/>
        <v>0</v>
      </c>
      <c r="Q41">
        <f t="shared" si="5"/>
        <v>0</v>
      </c>
      <c r="R41">
        <f t="shared" si="1"/>
        <v>0</v>
      </c>
      <c r="S41" s="5">
        <f>SUMIF(Visits!$E$2:$E$89,'User Engagement'!$A41,Visits!$L$2:$L$89)</f>
        <v>5</v>
      </c>
      <c r="T41" s="5">
        <f>SUMIFS(Visits!$L$2:$L$89,Visits!$E$2:$E$89,'User Engagement'!$A41,Visits!$U$2:$U$89,"&gt;3/28/24")</f>
        <v>5</v>
      </c>
      <c r="U41" s="19">
        <f t="shared" si="2"/>
        <v>5</v>
      </c>
      <c r="V41" s="19" t="str">
        <f t="shared" si="3"/>
        <v>n/a</v>
      </c>
    </row>
    <row r="42" spans="1:22" ht="16" x14ac:dyDescent="0.2">
      <c r="A42" t="str">
        <f>Users!A40</f>
        <v>federica.martini@live.it</v>
      </c>
      <c r="B42" s="29" t="str">
        <f>VLOOKUP(A42,Users!A:D,2,FALSE)</f>
        <v>Federica</v>
      </c>
      <c r="C42" s="29" t="str">
        <f>VLOOKUP(A42,Users!A:D,3,FALSE)</f>
        <v>Martini</v>
      </c>
      <c r="F42" s="1" t="e" cm="1">
        <f t="array" ref="F42">MAX(_xlfn._xlws.FILTER(Visits!U:U,Visits!E:E='User Engagement'!A42))</f>
        <v>#N/A</v>
      </c>
      <c r="G42">
        <f>COUNTIF(Visits!$E$2:$E$995,'User Engagement'!$A42)</f>
        <v>1</v>
      </c>
      <c r="H42">
        <f>COUNTIFS(Visits!$E$2:$E$995,'User Engagement'!$A43,Visits!$U$2:$U$995,"&gt;"&amp;($B$1-7))</f>
        <v>0</v>
      </c>
      <c r="I42">
        <f>COUNTIFS(Visits!$E$2:$E$995,'User Engagement'!$A42,Visits!$U$2:$U$995,"&gt;"&amp;($B$1-30))</f>
        <v>0</v>
      </c>
      <c r="J42">
        <f>COUNTIFS(Visits!$E$2:$E$995,$A42,Visits!$U$2:$U$995,"&gt;"&amp;($B$1-60))-I42</f>
        <v>0</v>
      </c>
      <c r="K42">
        <f>COUNTIFS(Visits!$V:$V,'New Dashboard'!$A$22,Visits!$E:$E,'User Engagement'!$A42)</f>
        <v>0</v>
      </c>
      <c r="L42">
        <f>COUNTIFS(Visits!$V:$V,'New Dashboard'!$A$23,Visits!$E:$E,'User Engagement'!$A42)</f>
        <v>0</v>
      </c>
      <c r="M42">
        <f>COUNTIFS(Visits!$V:$V,'New Dashboard'!$A$24,Visits!$E:$E,'User Engagement'!$A42)</f>
        <v>0</v>
      </c>
      <c r="N42">
        <f>COUNTIFS(Visits!$V:$V,'New Dashboard'!$A$25,Visits!$E:$E,'User Engagement'!$A42)</f>
        <v>0</v>
      </c>
      <c r="O42">
        <f t="shared" si="6"/>
        <v>0</v>
      </c>
      <c r="P42">
        <f t="shared" si="7"/>
        <v>0</v>
      </c>
      <c r="Q42">
        <f t="shared" si="5"/>
        <v>0</v>
      </c>
      <c r="R42">
        <f t="shared" si="1"/>
        <v>0</v>
      </c>
      <c r="S42" s="5">
        <f>SUMIF(Visits!$E$2:$E$89,'User Engagement'!$A42,Visits!$L$2:$L$89)</f>
        <v>0</v>
      </c>
      <c r="T42" s="5">
        <f>SUMIFS(Visits!$L$2:$L$89,Visits!$E$2:$E$89,'User Engagement'!$A42,Visits!$U$2:$U$89,"&gt;3/28/24")</f>
        <v>0</v>
      </c>
      <c r="U42" s="19">
        <f t="shared" si="2"/>
        <v>0</v>
      </c>
      <c r="V42" s="19" t="str">
        <f t="shared" si="3"/>
        <v>n/a</v>
      </c>
    </row>
    <row r="43" spans="1:22" ht="16" x14ac:dyDescent="0.2">
      <c r="A43">
        <f>Users!A41</f>
        <v>0</v>
      </c>
      <c r="B43" s="29" t="e">
        <f>VLOOKUP(A43,Users!A:D,2,FALSE)</f>
        <v>#N/A</v>
      </c>
      <c r="C43" s="29" t="e">
        <f>VLOOKUP(A43,Users!A:D,3,FALSE)</f>
        <v>#N/A</v>
      </c>
      <c r="F43" s="1" cm="1">
        <f t="array" ref="F43">MAX(_xlfn._xlws.FILTER(Visits!U:U,Visits!E:E='User Engagement'!A43))</f>
        <v>0</v>
      </c>
      <c r="G43">
        <f>COUNTIF(Visits!$E$2:$E$995,'User Engagement'!$A43)</f>
        <v>0</v>
      </c>
      <c r="H43">
        <f>COUNTIFS(Visits!$E$2:$E$995,'User Engagement'!$A44,Visits!$U$2:$U$995,"&gt;"&amp;($B$1-7))</f>
        <v>0</v>
      </c>
      <c r="I43">
        <f>COUNTIFS(Visits!$E$2:$E$995,'User Engagement'!$A43,Visits!$U$2:$U$995,"&gt;"&amp;($B$1-30))</f>
        <v>0</v>
      </c>
      <c r="J43">
        <f>COUNTIFS(Visits!$E$2:$E$995,$A43,Visits!$U$2:$U$995,"&gt;"&amp;($B$1-60))-I43</f>
        <v>0</v>
      </c>
      <c r="K43">
        <f>COUNTIFS(Visits!$V:$V,'New Dashboard'!$A$22,Visits!$E:$E,'User Engagement'!$A43)</f>
        <v>0</v>
      </c>
      <c r="L43">
        <f>COUNTIFS(Visits!$V:$V,'New Dashboard'!$A$23,Visits!$E:$E,'User Engagement'!$A43)</f>
        <v>0</v>
      </c>
      <c r="M43">
        <f>COUNTIFS(Visits!$V:$V,'New Dashboard'!$A$24,Visits!$E:$E,'User Engagement'!$A43)</f>
        <v>0</v>
      </c>
      <c r="N43">
        <f>COUNTIFS(Visits!$V:$V,'New Dashboard'!$A$25,Visits!$E:$E,'User Engagement'!$A43)</f>
        <v>0</v>
      </c>
      <c r="O43">
        <f t="shared" si="6"/>
        <v>1</v>
      </c>
      <c r="P43">
        <f t="shared" si="7"/>
        <v>0</v>
      </c>
      <c r="Q43">
        <f t="shared" si="5"/>
        <v>0</v>
      </c>
      <c r="R43">
        <f t="shared" si="1"/>
        <v>0</v>
      </c>
      <c r="S43" s="5">
        <f>SUMIF(Visits!$E$2:$E$89,'User Engagement'!$A43,Visits!$L$2:$L$89)</f>
        <v>0</v>
      </c>
      <c r="T43" s="5">
        <f>SUMIFS(Visits!$L$2:$L$89,Visits!$E$2:$E$89,'User Engagement'!$A43,Visits!$U$2:$U$89,"&gt;3/28/24")</f>
        <v>0</v>
      </c>
      <c r="U43" s="19" t="e">
        <f t="shared" si="2"/>
        <v>#DIV/0!</v>
      </c>
      <c r="V43" s="19" t="str">
        <f t="shared" si="3"/>
        <v>n/a</v>
      </c>
    </row>
    <row r="44" spans="1:22" ht="16" x14ac:dyDescent="0.2">
      <c r="A44" t="str">
        <f>Users!A42</f>
        <v>6.saracchi@gmail.com</v>
      </c>
      <c r="B44" s="29" t="str">
        <f>VLOOKUP(A44,Users!A:D,2,FALSE)</f>
        <v>Giacomo</v>
      </c>
      <c r="C44" s="29" t="str">
        <f>VLOOKUP(A44,Users!A:D,3,FALSE)</f>
        <v>Saracchi</v>
      </c>
      <c r="F44" s="1" t="e" cm="1">
        <f t="array" ref="F44">MAX(_xlfn._xlws.FILTER(Visits!U:U,Visits!E:E='User Engagement'!A44))</f>
        <v>#N/A</v>
      </c>
      <c r="G44">
        <f>COUNTIF(Visits!$E$2:$E$995,'User Engagement'!$A44)</f>
        <v>1</v>
      </c>
      <c r="H44">
        <f>COUNTIFS(Visits!$E$2:$E$995,'User Engagement'!$A45,Visits!$U$2:$U$995,"&gt;"&amp;($B$1-7))</f>
        <v>0</v>
      </c>
      <c r="I44">
        <f>COUNTIFS(Visits!$E$2:$E$995,'User Engagement'!$A44,Visits!$U$2:$U$995,"&gt;"&amp;($B$1-30))</f>
        <v>0</v>
      </c>
      <c r="J44">
        <f>COUNTIFS(Visits!$E$2:$E$995,$A44,Visits!$U$2:$U$995,"&gt;"&amp;($B$1-60))-I44</f>
        <v>0</v>
      </c>
      <c r="K44">
        <f>COUNTIFS(Visits!$V:$V,'New Dashboard'!$A$22,Visits!$E:$E,'User Engagement'!$A44)</f>
        <v>0</v>
      </c>
      <c r="L44">
        <f>COUNTIFS(Visits!$V:$V,'New Dashboard'!$A$23,Visits!$E:$E,'User Engagement'!$A44)</f>
        <v>0</v>
      </c>
      <c r="M44">
        <f>COUNTIFS(Visits!$V:$V,'New Dashboard'!$A$24,Visits!$E:$E,'User Engagement'!$A44)</f>
        <v>0</v>
      </c>
      <c r="N44">
        <f>COUNTIFS(Visits!$V:$V,'New Dashboard'!$A$25,Visits!$E:$E,'User Engagement'!$A44)</f>
        <v>0</v>
      </c>
      <c r="O44">
        <f t="shared" si="6"/>
        <v>0</v>
      </c>
      <c r="P44">
        <f t="shared" si="7"/>
        <v>0</v>
      </c>
      <c r="Q44">
        <f t="shared" si="5"/>
        <v>0</v>
      </c>
      <c r="R44">
        <f t="shared" si="1"/>
        <v>0</v>
      </c>
      <c r="S44" s="5">
        <f>SUMIF(Visits!$E$2:$E$89,'User Engagement'!$A44,Visits!$L$2:$L$89)</f>
        <v>0</v>
      </c>
      <c r="T44" s="5">
        <f>SUMIFS(Visits!$L$2:$L$89,Visits!$E$2:$E$89,'User Engagement'!$A44,Visits!$U$2:$U$89,"&gt;3/28/24")</f>
        <v>0</v>
      </c>
      <c r="U44" s="19">
        <f t="shared" si="2"/>
        <v>0</v>
      </c>
      <c r="V44" s="19" t="str">
        <f t="shared" si="3"/>
        <v>n/a</v>
      </c>
    </row>
    <row r="45" spans="1:22" ht="16" x14ac:dyDescent="0.2">
      <c r="A45" t="str">
        <f>Users!A43</f>
        <v>gilka5@hotmail.com</v>
      </c>
      <c r="B45" s="29" t="str">
        <f>VLOOKUP(A45,Users!A:D,2,FALSE)</f>
        <v>Gil</v>
      </c>
      <c r="C45" s="29" t="str">
        <f>VLOOKUP(A45,Users!A:D,3,FALSE)</f>
        <v>K</v>
      </c>
      <c r="F45" s="1" cm="1">
        <f t="array" ref="F45">MAX(_xlfn._xlws.FILTER(Visits!U:U,Visits!E:E='User Engagement'!A45))</f>
        <v>45451</v>
      </c>
      <c r="G45">
        <f>COUNTIF(Visits!$E$2:$E$995,'User Engagement'!$A45)</f>
        <v>3</v>
      </c>
      <c r="H45">
        <f>COUNTIFS(Visits!$E$2:$E$995,'User Engagement'!$A46,Visits!$U$2:$U$995,"&gt;"&amp;($B$1-7))</f>
        <v>0</v>
      </c>
      <c r="I45">
        <f>COUNTIFS(Visits!$E$2:$E$995,'User Engagement'!$A45,Visits!$U$2:$U$995,"&gt;"&amp;($B$1-30))</f>
        <v>1</v>
      </c>
      <c r="J45">
        <f>COUNTIFS(Visits!$E$2:$E$995,$A45,Visits!$U$2:$U$995,"&gt;"&amp;($B$1-60))-I45</f>
        <v>2</v>
      </c>
      <c r="K45">
        <f>COUNTIFS(Visits!$V:$V,'New Dashboard'!$A$22,Visits!$E:$E,'User Engagement'!$A45)</f>
        <v>1</v>
      </c>
      <c r="L45">
        <f>COUNTIFS(Visits!$V:$V,'New Dashboard'!$A$23,Visits!$E:$E,'User Engagement'!$A45)</f>
        <v>2</v>
      </c>
      <c r="M45">
        <f>COUNTIFS(Visits!$V:$V,'New Dashboard'!$A$24,Visits!$E:$E,'User Engagement'!$A45)</f>
        <v>0</v>
      </c>
      <c r="N45">
        <f>COUNTIFS(Visits!$V:$V,'New Dashboard'!$A$25,Visits!$E:$E,'User Engagement'!$A45)</f>
        <v>0</v>
      </c>
      <c r="O45">
        <f t="shared" si="6"/>
        <v>0</v>
      </c>
      <c r="P45">
        <f t="shared" si="7"/>
        <v>1</v>
      </c>
      <c r="Q45">
        <f t="shared" si="5"/>
        <v>1</v>
      </c>
      <c r="R45">
        <f t="shared" si="1"/>
        <v>0</v>
      </c>
      <c r="S45" s="5">
        <f>SUMIF(Visits!$E$2:$E$89,'User Engagement'!$A45,Visits!$L$2:$L$89)</f>
        <v>0</v>
      </c>
      <c r="T45" s="5">
        <f>SUMIFS(Visits!$L$2:$L$89,Visits!$E$2:$E$89,'User Engagement'!$A45,Visits!$U$2:$U$89,"&gt;3/28/24")</f>
        <v>0</v>
      </c>
      <c r="U45" s="19">
        <f t="shared" si="2"/>
        <v>0</v>
      </c>
      <c r="V45" s="19">
        <f t="shared" si="3"/>
        <v>0</v>
      </c>
    </row>
    <row r="46" spans="1:22" ht="16" x14ac:dyDescent="0.2">
      <c r="A46" t="str">
        <f>Users!A44</f>
        <v>hanna.niczyporuk@gmail.com</v>
      </c>
      <c r="B46" s="29" t="str">
        <f>VLOOKUP(A46,Users!A:D,2,FALSE)</f>
        <v>Hanna</v>
      </c>
      <c r="C46" s="29" t="str">
        <f>VLOOKUP(A46,Users!A:D,3,FALSE)</f>
        <v>Niczyporuk</v>
      </c>
      <c r="F46" s="1" t="e" cm="1">
        <f t="array" ref="F46">MAX(_xlfn._xlws.FILTER(Visits!U:U,Visits!E:E='User Engagement'!A46))</f>
        <v>#N/A</v>
      </c>
      <c r="G46">
        <f>COUNTIF(Visits!$E$2:$E$995,'User Engagement'!$A46)</f>
        <v>2</v>
      </c>
      <c r="H46">
        <f>COUNTIFS(Visits!$E$2:$E$995,'User Engagement'!$A47,Visits!$U$2:$U$995,"&gt;"&amp;($B$1-7))</f>
        <v>0</v>
      </c>
      <c r="I46">
        <f>COUNTIFS(Visits!$E$2:$E$995,'User Engagement'!$A46,Visits!$U$2:$U$995,"&gt;"&amp;($B$1-30))</f>
        <v>0</v>
      </c>
      <c r="J46">
        <f>COUNTIFS(Visits!$E$2:$E$995,$A46,Visits!$U$2:$U$995,"&gt;"&amp;($B$1-60))-I46</f>
        <v>0</v>
      </c>
      <c r="K46">
        <f>COUNTIFS(Visits!$V:$V,'New Dashboard'!$A$22,Visits!$E:$E,'User Engagement'!$A46)</f>
        <v>0</v>
      </c>
      <c r="L46">
        <f>COUNTIFS(Visits!$V:$V,'New Dashboard'!$A$23,Visits!$E:$E,'User Engagement'!$A46)</f>
        <v>0</v>
      </c>
      <c r="M46">
        <f>COUNTIFS(Visits!$V:$V,'New Dashboard'!$A$24,Visits!$E:$E,'User Engagement'!$A46)</f>
        <v>1</v>
      </c>
      <c r="N46">
        <f>COUNTIFS(Visits!$V:$V,'New Dashboard'!$A$25,Visits!$E:$E,'User Engagement'!$A46)</f>
        <v>0</v>
      </c>
      <c r="O46">
        <f t="shared" si="6"/>
        <v>0</v>
      </c>
      <c r="P46">
        <f t="shared" si="7"/>
        <v>0</v>
      </c>
      <c r="Q46">
        <f t="shared" si="5"/>
        <v>0</v>
      </c>
      <c r="R46">
        <f t="shared" si="1"/>
        <v>0</v>
      </c>
      <c r="S46" s="5">
        <f>SUMIF(Visits!$E$2:$E$89,'User Engagement'!$A46,Visits!$L$2:$L$89)</f>
        <v>30</v>
      </c>
      <c r="T46" s="5">
        <f>SUMIFS(Visits!$L$2:$L$89,Visits!$E$2:$E$89,'User Engagement'!$A46,Visits!$U$2:$U$89,"&gt;3/28/24")</f>
        <v>15</v>
      </c>
      <c r="U46" s="19">
        <f t="shared" si="2"/>
        <v>15</v>
      </c>
      <c r="V46" s="19" t="str">
        <f t="shared" si="3"/>
        <v>n/a</v>
      </c>
    </row>
    <row r="47" spans="1:22" ht="16" x14ac:dyDescent="0.2">
      <c r="A47" t="str">
        <f>Users!A45</f>
        <v>io.brezeanu@gmail.com</v>
      </c>
      <c r="B47" s="29" t="str">
        <f>VLOOKUP(A47,Users!A:D,2,FALSE)</f>
        <v>Ioana</v>
      </c>
      <c r="C47" s="29" t="str">
        <f>VLOOKUP(A47,Users!A:D,3,FALSE)</f>
        <v>Brezeanu</v>
      </c>
      <c r="F47" s="1" t="e" cm="1">
        <f t="array" ref="F47">MAX(_xlfn._xlws.FILTER(Visits!U:U,Visits!E:E='User Engagement'!A47))</f>
        <v>#N/A</v>
      </c>
      <c r="G47">
        <f>COUNTIF(Visits!$E$2:$E$995,'User Engagement'!$A47)</f>
        <v>3</v>
      </c>
      <c r="H47">
        <f>COUNTIFS(Visits!$E$2:$E$995,'User Engagement'!$A48,Visits!$U$2:$U$995,"&gt;"&amp;($B$1-7))</f>
        <v>0</v>
      </c>
      <c r="I47">
        <f>COUNTIFS(Visits!$E$2:$E$995,'User Engagement'!$A47,Visits!$U$2:$U$995,"&gt;"&amp;($B$1-30))</f>
        <v>1</v>
      </c>
      <c r="J47">
        <f>COUNTIFS(Visits!$E$2:$E$995,$A47,Visits!$U$2:$U$995,"&gt;"&amp;($B$1-60))-I47</f>
        <v>1</v>
      </c>
      <c r="K47">
        <f>COUNTIFS(Visits!$V:$V,'New Dashboard'!$A$22,Visits!$E:$E,'User Engagement'!$A47)</f>
        <v>1</v>
      </c>
      <c r="L47">
        <f>COUNTIFS(Visits!$V:$V,'New Dashboard'!$A$23,Visits!$E:$E,'User Engagement'!$A47)</f>
        <v>1</v>
      </c>
      <c r="M47">
        <f>COUNTIFS(Visits!$V:$V,'New Dashboard'!$A$24,Visits!$E:$E,'User Engagement'!$A47)</f>
        <v>0</v>
      </c>
      <c r="N47">
        <f>COUNTIFS(Visits!$V:$V,'New Dashboard'!$A$25,Visits!$E:$E,'User Engagement'!$A47)</f>
        <v>0</v>
      </c>
      <c r="O47">
        <f t="shared" si="6"/>
        <v>0</v>
      </c>
      <c r="P47">
        <f t="shared" si="7"/>
        <v>1</v>
      </c>
      <c r="Q47">
        <f t="shared" si="5"/>
        <v>1</v>
      </c>
      <c r="R47">
        <f t="shared" si="1"/>
        <v>0</v>
      </c>
      <c r="S47" s="5">
        <f>SUMIF(Visits!$E$2:$E$89,'User Engagement'!$A47,Visits!$L$2:$L$89)</f>
        <v>0</v>
      </c>
      <c r="T47" s="5">
        <f>SUMIFS(Visits!$L$2:$L$89,Visits!$E$2:$E$89,'User Engagement'!$A47,Visits!$U$2:$U$89,"&gt;3/28/24")</f>
        <v>0</v>
      </c>
      <c r="U47" s="19">
        <f t="shared" si="2"/>
        <v>0</v>
      </c>
      <c r="V47" s="19">
        <f t="shared" si="3"/>
        <v>0</v>
      </c>
    </row>
    <row r="48" spans="1:22" ht="16" x14ac:dyDescent="0.2">
      <c r="A48" t="str">
        <f>Users!A46</f>
        <v>taam.isadora@gmail.com</v>
      </c>
      <c r="B48" s="29" t="str">
        <f>VLOOKUP(A48,Users!A:D,2,FALSE)</f>
        <v>Isadora</v>
      </c>
      <c r="C48" s="29" t="str">
        <f>VLOOKUP(A48,Users!A:D,3,FALSE)</f>
        <v>de Miranda Mello Taam</v>
      </c>
      <c r="F48" s="1" cm="1">
        <f t="array" ref="F48">MAX(_xlfn._xlws.FILTER(Visits!U:U,Visits!E:E='User Engagement'!A48))</f>
        <v>45388</v>
      </c>
      <c r="G48">
        <f>COUNTIF(Visits!$E$2:$E$995,'User Engagement'!$A48)</f>
        <v>1</v>
      </c>
      <c r="H48">
        <f>COUNTIFS(Visits!$E$2:$E$995,'User Engagement'!$A49,Visits!$U$2:$U$995,"&gt;"&amp;($B$1-7))</f>
        <v>0</v>
      </c>
      <c r="I48">
        <f>COUNTIFS(Visits!$E$2:$E$995,'User Engagement'!$A48,Visits!$U$2:$U$995,"&gt;"&amp;($B$1-30))</f>
        <v>0</v>
      </c>
      <c r="J48">
        <f>COUNTIFS(Visits!$E$2:$E$995,$A48,Visits!$U$2:$U$995,"&gt;"&amp;($B$1-60))-I48</f>
        <v>0</v>
      </c>
      <c r="K48">
        <f>COUNTIFS(Visits!$V:$V,'New Dashboard'!$A$22,Visits!$E:$E,'User Engagement'!$A48)</f>
        <v>0</v>
      </c>
      <c r="L48">
        <f>COUNTIFS(Visits!$V:$V,'New Dashboard'!$A$23,Visits!$E:$E,'User Engagement'!$A48)</f>
        <v>0</v>
      </c>
      <c r="M48">
        <f>COUNTIFS(Visits!$V:$V,'New Dashboard'!$A$24,Visits!$E:$E,'User Engagement'!$A48)</f>
        <v>1</v>
      </c>
      <c r="N48">
        <f>COUNTIFS(Visits!$V:$V,'New Dashboard'!$A$25,Visits!$E:$E,'User Engagement'!$A48)</f>
        <v>0</v>
      </c>
      <c r="O48">
        <f t="shared" si="6"/>
        <v>0</v>
      </c>
      <c r="P48">
        <f t="shared" si="7"/>
        <v>0</v>
      </c>
      <c r="Q48">
        <f t="shared" si="5"/>
        <v>0</v>
      </c>
      <c r="R48">
        <f t="shared" si="1"/>
        <v>0</v>
      </c>
      <c r="S48" s="5">
        <f>SUMIF(Visits!$E$2:$E$89,'User Engagement'!$A48,Visits!$L$2:$L$89)</f>
        <v>15</v>
      </c>
      <c r="T48" s="5">
        <f>SUMIFS(Visits!$L$2:$L$89,Visits!$E$2:$E$89,'User Engagement'!$A48,Visits!$U$2:$U$89,"&gt;3/28/24")</f>
        <v>15</v>
      </c>
      <c r="U48" s="19">
        <f t="shared" si="2"/>
        <v>15</v>
      </c>
      <c r="V48" s="19" t="str">
        <f t="shared" si="3"/>
        <v>n/a</v>
      </c>
    </row>
    <row r="49" spans="1:22" ht="16" x14ac:dyDescent="0.2">
      <c r="A49" t="str">
        <f>Users!A47</f>
        <v>jz548282@gmail.com</v>
      </c>
      <c r="B49" s="29" t="str">
        <f>VLOOKUP(A49,Users!A:D,2,FALSE)</f>
        <v>Jing</v>
      </c>
      <c r="C49" s="29" t="str">
        <f>VLOOKUP(A49,Users!A:D,3,FALSE)</f>
        <v>Zhang</v>
      </c>
      <c r="F49" s="1" t="e" cm="1">
        <f t="array" ref="F49">MAX(_xlfn._xlws.FILTER(Visits!U:U,Visits!E:E='User Engagement'!A49))</f>
        <v>#N/A</v>
      </c>
      <c r="G49">
        <f>COUNTIF(Visits!$E$2:$E$995,'User Engagement'!$A49)</f>
        <v>1</v>
      </c>
      <c r="H49">
        <f>COUNTIFS(Visits!$E$2:$E$995,'User Engagement'!$A50,Visits!$U$2:$U$995,"&gt;"&amp;($B$1-7))</f>
        <v>0</v>
      </c>
      <c r="I49">
        <f>COUNTIFS(Visits!$E$2:$E$995,'User Engagement'!$A49,Visits!$U$2:$U$995,"&gt;"&amp;($B$1-30))</f>
        <v>0</v>
      </c>
      <c r="J49">
        <f>COUNTIFS(Visits!$E$2:$E$995,$A49,Visits!$U$2:$U$995,"&gt;"&amp;($B$1-60))-I49</f>
        <v>0</v>
      </c>
      <c r="K49">
        <f>COUNTIFS(Visits!$V:$V,'New Dashboard'!$A$22,Visits!$E:$E,'User Engagement'!$A49)</f>
        <v>0</v>
      </c>
      <c r="L49">
        <f>COUNTIFS(Visits!$V:$V,'New Dashboard'!$A$23,Visits!$E:$E,'User Engagement'!$A49)</f>
        <v>0</v>
      </c>
      <c r="M49">
        <f>COUNTIFS(Visits!$V:$V,'New Dashboard'!$A$24,Visits!$E:$E,'User Engagement'!$A49)</f>
        <v>0</v>
      </c>
      <c r="N49">
        <f>COUNTIFS(Visits!$V:$V,'New Dashboard'!$A$25,Visits!$E:$E,'User Engagement'!$A49)</f>
        <v>0</v>
      </c>
      <c r="O49">
        <f t="shared" si="6"/>
        <v>0</v>
      </c>
      <c r="P49">
        <f t="shared" si="7"/>
        <v>0</v>
      </c>
      <c r="Q49">
        <f t="shared" si="5"/>
        <v>0</v>
      </c>
      <c r="R49">
        <f t="shared" si="1"/>
        <v>0</v>
      </c>
      <c r="S49" s="5">
        <f>SUMIF(Visits!$E$2:$E$89,'User Engagement'!$A49,Visits!$L$2:$L$89)</f>
        <v>10</v>
      </c>
      <c r="T49" s="5">
        <f>SUMIFS(Visits!$L$2:$L$89,Visits!$E$2:$E$89,'User Engagement'!$A49,Visits!$U$2:$U$89,"&gt;3/28/24")</f>
        <v>0</v>
      </c>
      <c r="U49" s="19">
        <f t="shared" si="2"/>
        <v>10</v>
      </c>
      <c r="V49" s="19" t="str">
        <f t="shared" si="3"/>
        <v>n/a</v>
      </c>
    </row>
    <row r="50" spans="1:22" ht="16" x14ac:dyDescent="0.2">
      <c r="A50" t="str">
        <f>Users!A48</f>
        <v>jinishgohil@yahoo.co.in</v>
      </c>
      <c r="B50" s="29" t="str">
        <f>VLOOKUP(A50,Users!A:D,2,FALSE)</f>
        <v>Jinish</v>
      </c>
      <c r="C50" s="29" t="str">
        <f>VLOOKUP(A50,Users!A:D,3,FALSE)</f>
        <v>Gohil</v>
      </c>
      <c r="F50" s="1" t="e" cm="1">
        <f t="array" ref="F50">MAX(_xlfn._xlws.FILTER(Visits!U:U,Visits!E:E='User Engagement'!A50))</f>
        <v>#N/A</v>
      </c>
      <c r="G50">
        <f>COUNTIF(Visits!$E$2:$E$995,'User Engagement'!$A50)</f>
        <v>1</v>
      </c>
      <c r="H50">
        <f>COUNTIFS(Visits!$E$2:$E$995,'User Engagement'!$A51,Visits!$U$2:$U$995,"&gt;"&amp;($B$1-7))</f>
        <v>0</v>
      </c>
      <c r="I50">
        <f>COUNTIFS(Visits!$E$2:$E$995,'User Engagement'!$A50,Visits!$U$2:$U$995,"&gt;"&amp;($B$1-30))</f>
        <v>0</v>
      </c>
      <c r="J50">
        <f>COUNTIFS(Visits!$E$2:$E$995,$A50,Visits!$U$2:$U$995,"&gt;"&amp;($B$1-60))-I50</f>
        <v>0</v>
      </c>
      <c r="K50">
        <f>COUNTIFS(Visits!$V:$V,'New Dashboard'!$A$22,Visits!$E:$E,'User Engagement'!$A50)</f>
        <v>0</v>
      </c>
      <c r="L50">
        <f>COUNTIFS(Visits!$V:$V,'New Dashboard'!$A$23,Visits!$E:$E,'User Engagement'!$A50)</f>
        <v>0</v>
      </c>
      <c r="M50">
        <f>COUNTIFS(Visits!$V:$V,'New Dashboard'!$A$24,Visits!$E:$E,'User Engagement'!$A50)</f>
        <v>0</v>
      </c>
      <c r="N50">
        <f>COUNTIFS(Visits!$V:$V,'New Dashboard'!$A$25,Visits!$E:$E,'User Engagement'!$A50)</f>
        <v>0</v>
      </c>
      <c r="O50">
        <f t="shared" si="6"/>
        <v>0</v>
      </c>
      <c r="P50">
        <f t="shared" si="7"/>
        <v>0</v>
      </c>
      <c r="Q50">
        <f t="shared" si="5"/>
        <v>0</v>
      </c>
      <c r="R50">
        <f t="shared" si="1"/>
        <v>0</v>
      </c>
      <c r="S50" s="5">
        <f>SUMIF(Visits!$E$2:$E$89,'User Engagement'!$A50,Visits!$L$2:$L$89)</f>
        <v>15</v>
      </c>
      <c r="T50" s="5">
        <f>SUMIFS(Visits!$L$2:$L$89,Visits!$E$2:$E$89,'User Engagement'!$A50,Visits!$U$2:$U$89,"&gt;3/28/24")</f>
        <v>0</v>
      </c>
      <c r="U50" s="19">
        <f t="shared" si="2"/>
        <v>15</v>
      </c>
      <c r="V50" s="19" t="str">
        <f t="shared" si="3"/>
        <v>n/a</v>
      </c>
    </row>
    <row r="51" spans="1:22" ht="16" x14ac:dyDescent="0.2">
      <c r="A51" t="str">
        <f>Users!A49</f>
        <v>jon.chikly@gmail.com</v>
      </c>
      <c r="B51" s="29" t="str">
        <f>VLOOKUP(A51,Users!A:D,2,FALSE)</f>
        <v>Jonathan</v>
      </c>
      <c r="C51" s="29" t="str">
        <f>VLOOKUP(A51,Users!A:D,3,FALSE)</f>
        <v>Chikly</v>
      </c>
      <c r="F51" s="1" cm="1">
        <f t="array" ref="F51">MAX(_xlfn._xlws.FILTER(Visits!U:U,Visits!E:E='User Engagement'!A51))</f>
        <v>45388</v>
      </c>
      <c r="G51">
        <f>COUNTIF(Visits!$E$2:$E$995,'User Engagement'!$A51)</f>
        <v>1</v>
      </c>
      <c r="H51">
        <f>COUNTIFS(Visits!$E$2:$E$995,'User Engagement'!$A52,Visits!$U$2:$U$995,"&gt;"&amp;($B$1-7))</f>
        <v>0</v>
      </c>
      <c r="I51">
        <f>COUNTIFS(Visits!$E$2:$E$995,'User Engagement'!$A51,Visits!$U$2:$U$995,"&gt;"&amp;($B$1-30))</f>
        <v>0</v>
      </c>
      <c r="J51">
        <f>COUNTIFS(Visits!$E$2:$E$995,$A51,Visits!$U$2:$U$995,"&gt;"&amp;($B$1-60))-I51</f>
        <v>0</v>
      </c>
      <c r="K51">
        <f>COUNTIFS(Visits!$V:$V,'New Dashboard'!$A$22,Visits!$E:$E,'User Engagement'!$A51)</f>
        <v>0</v>
      </c>
      <c r="L51">
        <f>COUNTIFS(Visits!$V:$V,'New Dashboard'!$A$23,Visits!$E:$E,'User Engagement'!$A51)</f>
        <v>0</v>
      </c>
      <c r="M51">
        <f>COUNTIFS(Visits!$V:$V,'New Dashboard'!$A$24,Visits!$E:$E,'User Engagement'!$A51)</f>
        <v>1</v>
      </c>
      <c r="N51">
        <f>COUNTIFS(Visits!$V:$V,'New Dashboard'!$A$25,Visits!$E:$E,'User Engagement'!$A51)</f>
        <v>0</v>
      </c>
      <c r="O51">
        <f t="shared" si="6"/>
        <v>0</v>
      </c>
      <c r="P51">
        <f t="shared" si="7"/>
        <v>0</v>
      </c>
      <c r="Q51">
        <f t="shared" si="5"/>
        <v>0</v>
      </c>
      <c r="R51">
        <f t="shared" si="1"/>
        <v>0</v>
      </c>
      <c r="S51" s="5">
        <f>SUMIF(Visits!$E$2:$E$89,'User Engagement'!$A51,Visits!$L$2:$L$89)</f>
        <v>15</v>
      </c>
      <c r="T51" s="5">
        <f>SUMIFS(Visits!$L$2:$L$89,Visits!$E$2:$E$89,'User Engagement'!$A51,Visits!$U$2:$U$89,"&gt;3/28/24")</f>
        <v>15</v>
      </c>
      <c r="U51" s="19">
        <f t="shared" si="2"/>
        <v>15</v>
      </c>
      <c r="V51" s="19" t="str">
        <f t="shared" si="3"/>
        <v>n/a</v>
      </c>
    </row>
    <row r="52" spans="1:22" ht="16" x14ac:dyDescent="0.2">
      <c r="A52" t="str">
        <f>Users!A50</f>
        <v>juanpablo.dltc@gmail.com</v>
      </c>
      <c r="B52" s="29" t="str">
        <f>VLOOKUP(A52,Users!A:D,2,FALSE)</f>
        <v>Juan Pablo</v>
      </c>
      <c r="C52" s="29" t="str">
        <f>VLOOKUP(A52,Users!A:D,3,FALSE)</f>
        <v>De La Torre</v>
      </c>
      <c r="F52" s="1" cm="1">
        <f t="array" ref="F52">MAX(_xlfn._xlws.FILTER(Visits!U:U,Visits!E:E='User Engagement'!A52))</f>
        <v>45445</v>
      </c>
      <c r="G52">
        <f>COUNTIF(Visits!$E$2:$E$995,'User Engagement'!$A52)</f>
        <v>1</v>
      </c>
      <c r="H52">
        <f>COUNTIFS(Visits!$E$2:$E$995,'User Engagement'!$A53,Visits!$U$2:$U$995,"&gt;"&amp;($B$1-7))</f>
        <v>0</v>
      </c>
      <c r="I52">
        <f>COUNTIFS(Visits!$E$2:$E$995,'User Engagement'!$A52,Visits!$U$2:$U$995,"&gt;"&amp;($B$1-30))</f>
        <v>1</v>
      </c>
      <c r="J52">
        <f>COUNTIFS(Visits!$E$2:$E$995,$A52,Visits!$U$2:$U$995,"&gt;"&amp;($B$1-60))-I52</f>
        <v>0</v>
      </c>
      <c r="K52">
        <f>COUNTIFS(Visits!$V:$V,'New Dashboard'!$A$22,Visits!$E:$E,'User Engagement'!$A52)</f>
        <v>1</v>
      </c>
      <c r="L52">
        <f>COUNTIFS(Visits!$V:$V,'New Dashboard'!$A$23,Visits!$E:$E,'User Engagement'!$A52)</f>
        <v>0</v>
      </c>
      <c r="M52">
        <f>COUNTIFS(Visits!$V:$V,'New Dashboard'!$A$24,Visits!$E:$E,'User Engagement'!$A52)</f>
        <v>0</v>
      </c>
      <c r="N52">
        <f>COUNTIFS(Visits!$V:$V,'New Dashboard'!$A$25,Visits!$E:$E,'User Engagement'!$A52)</f>
        <v>0</v>
      </c>
      <c r="O52">
        <f t="shared" si="6"/>
        <v>0</v>
      </c>
      <c r="P52">
        <f t="shared" si="7"/>
        <v>1</v>
      </c>
      <c r="Q52">
        <f t="shared" si="5"/>
        <v>0</v>
      </c>
      <c r="R52">
        <f t="shared" si="1"/>
        <v>0</v>
      </c>
      <c r="S52" s="5">
        <f>SUMIF(Visits!$E$2:$E$89,'User Engagement'!$A52,Visits!$L$2:$L$89)</f>
        <v>0</v>
      </c>
      <c r="T52" s="5">
        <f>SUMIFS(Visits!$L$2:$L$89,Visits!$E$2:$E$89,'User Engagement'!$A52,Visits!$U$2:$U$89,"&gt;3/28/24")</f>
        <v>0</v>
      </c>
      <c r="U52" s="19">
        <f t="shared" si="2"/>
        <v>0</v>
      </c>
      <c r="V52" s="19">
        <f t="shared" si="3"/>
        <v>0</v>
      </c>
    </row>
    <row r="53" spans="1:22" ht="16" x14ac:dyDescent="0.2">
      <c r="A53" t="str">
        <f>Users!A51</f>
        <v>blattnerj@gmail.com</v>
      </c>
      <c r="B53" s="29" t="str">
        <f>VLOOKUP(A53,Users!A:D,2,FALSE)</f>
        <v>Justin</v>
      </c>
      <c r="C53" s="29" t="str">
        <f>VLOOKUP(A53,Users!A:D,3,FALSE)</f>
        <v>Blattner</v>
      </c>
      <c r="F53" s="1" t="e" cm="1">
        <f t="array" ref="F53">MAX(_xlfn._xlws.FILTER(Visits!U:U,Visits!E:E='User Engagement'!A53))</f>
        <v>#N/A</v>
      </c>
      <c r="G53">
        <f>COUNTIF(Visits!$E$2:$E$995,'User Engagement'!$A53)</f>
        <v>1</v>
      </c>
      <c r="H53">
        <f>COUNTIFS(Visits!$E$2:$E$995,'User Engagement'!$A54,Visits!$U$2:$U$995,"&gt;"&amp;($B$1-7))</f>
        <v>0</v>
      </c>
      <c r="I53">
        <f>COUNTIFS(Visits!$E$2:$E$995,'User Engagement'!$A53,Visits!$U$2:$U$995,"&gt;"&amp;($B$1-30))</f>
        <v>0</v>
      </c>
      <c r="J53">
        <f>COUNTIFS(Visits!$E$2:$E$995,$A53,Visits!$U$2:$U$995,"&gt;"&amp;($B$1-60))-I53</f>
        <v>0</v>
      </c>
      <c r="K53">
        <f>COUNTIFS(Visits!$V:$V,'New Dashboard'!$A$22,Visits!$E:$E,'User Engagement'!$A53)</f>
        <v>0</v>
      </c>
      <c r="L53">
        <f>COUNTIFS(Visits!$V:$V,'New Dashboard'!$A$23,Visits!$E:$E,'User Engagement'!$A53)</f>
        <v>0</v>
      </c>
      <c r="M53">
        <f>COUNTIFS(Visits!$V:$V,'New Dashboard'!$A$24,Visits!$E:$E,'User Engagement'!$A53)</f>
        <v>0</v>
      </c>
      <c r="N53">
        <f>COUNTIFS(Visits!$V:$V,'New Dashboard'!$A$25,Visits!$E:$E,'User Engagement'!$A53)</f>
        <v>0</v>
      </c>
      <c r="O53">
        <f t="shared" si="6"/>
        <v>0</v>
      </c>
      <c r="P53">
        <f t="shared" si="7"/>
        <v>0</v>
      </c>
      <c r="Q53">
        <f t="shared" si="5"/>
        <v>0</v>
      </c>
      <c r="R53">
        <f t="shared" si="1"/>
        <v>0</v>
      </c>
      <c r="S53" s="5">
        <f>SUMIF(Visits!$E$2:$E$89,'User Engagement'!$A53,Visits!$L$2:$L$89)</f>
        <v>0</v>
      </c>
      <c r="T53" s="5">
        <f>SUMIFS(Visits!$L$2:$L$89,Visits!$E$2:$E$89,'User Engagement'!$A53,Visits!$U$2:$U$89,"&gt;3/28/24")</f>
        <v>0</v>
      </c>
      <c r="U53" s="19">
        <f t="shared" si="2"/>
        <v>0</v>
      </c>
      <c r="V53" s="19" t="str">
        <f t="shared" si="3"/>
        <v>n/a</v>
      </c>
    </row>
    <row r="54" spans="1:22" ht="16" x14ac:dyDescent="0.2">
      <c r="A54" t="str">
        <f>Users!A52</f>
        <v>xetta03@hotmail.com</v>
      </c>
      <c r="B54" s="29" t="str">
        <f>VLOOKUP(A54,Users!A:D,2,FALSE)</f>
        <v>Karen</v>
      </c>
      <c r="C54" s="29" t="str">
        <f>VLOOKUP(A54,Users!A:D,3,FALSE)</f>
        <v>Johnstone</v>
      </c>
      <c r="F54" s="1" t="e" cm="1">
        <f t="array" ref="F54">MAX(_xlfn._xlws.FILTER(Visits!U:U,Visits!E:E='User Engagement'!A54))</f>
        <v>#N/A</v>
      </c>
      <c r="G54">
        <f>COUNTIF(Visits!$E$2:$E$995,'User Engagement'!$A54)</f>
        <v>1</v>
      </c>
      <c r="H54">
        <f>COUNTIFS(Visits!$E$2:$E$995,'User Engagement'!$A55,Visits!$U$2:$U$995,"&gt;"&amp;($B$1-7))</f>
        <v>0</v>
      </c>
      <c r="I54">
        <f>COUNTIFS(Visits!$E$2:$E$995,'User Engagement'!$A54,Visits!$U$2:$U$995,"&gt;"&amp;($B$1-30))</f>
        <v>0</v>
      </c>
      <c r="J54">
        <f>COUNTIFS(Visits!$E$2:$E$995,$A54,Visits!$U$2:$U$995,"&gt;"&amp;($B$1-60))-I54</f>
        <v>0</v>
      </c>
      <c r="K54">
        <f>COUNTIFS(Visits!$V:$V,'New Dashboard'!$A$22,Visits!$E:$E,'User Engagement'!$A54)</f>
        <v>0</v>
      </c>
      <c r="L54">
        <f>COUNTIFS(Visits!$V:$V,'New Dashboard'!$A$23,Visits!$E:$E,'User Engagement'!$A54)</f>
        <v>0</v>
      </c>
      <c r="M54">
        <f>COUNTIFS(Visits!$V:$V,'New Dashboard'!$A$24,Visits!$E:$E,'User Engagement'!$A54)</f>
        <v>0</v>
      </c>
      <c r="N54">
        <f>COUNTIFS(Visits!$V:$V,'New Dashboard'!$A$25,Visits!$E:$E,'User Engagement'!$A54)</f>
        <v>0</v>
      </c>
      <c r="O54">
        <f t="shared" si="6"/>
        <v>0</v>
      </c>
      <c r="P54">
        <f t="shared" si="7"/>
        <v>0</v>
      </c>
      <c r="Q54">
        <f t="shared" si="5"/>
        <v>0</v>
      </c>
      <c r="R54">
        <f t="shared" si="1"/>
        <v>0</v>
      </c>
      <c r="S54" s="5">
        <f>SUMIF(Visits!$E$2:$E$89,'User Engagement'!$A54,Visits!$L$2:$L$89)</f>
        <v>0</v>
      </c>
      <c r="T54" s="5">
        <f>SUMIFS(Visits!$L$2:$L$89,Visits!$E$2:$E$89,'User Engagement'!$A54,Visits!$U$2:$U$89,"&gt;3/28/24")</f>
        <v>0</v>
      </c>
      <c r="U54" s="19">
        <f t="shared" si="2"/>
        <v>0</v>
      </c>
      <c r="V54" s="19" t="str">
        <f t="shared" si="3"/>
        <v>n/a</v>
      </c>
    </row>
    <row r="55" spans="1:22" ht="16" x14ac:dyDescent="0.2">
      <c r="A55" t="str">
        <f>Users!A53</f>
        <v>katherineyr.kim@gmail.com</v>
      </c>
      <c r="B55" s="29" t="str">
        <f>VLOOKUP(A55,Users!A:D,2,FALSE)</f>
        <v>Katherine</v>
      </c>
      <c r="C55" s="29" t="str">
        <f>VLOOKUP(A55,Users!A:D,3,FALSE)</f>
        <v>Kim</v>
      </c>
      <c r="F55" s="1" t="e" cm="1">
        <f t="array" ref="F55">MAX(_xlfn._xlws.FILTER(Visits!U:U,Visits!E:E='User Engagement'!A55))</f>
        <v>#N/A</v>
      </c>
      <c r="G55">
        <f>COUNTIF(Visits!$E$2:$E$995,'User Engagement'!$A55)</f>
        <v>2</v>
      </c>
      <c r="H55">
        <f>COUNTIFS(Visits!$E$2:$E$995,'User Engagement'!$A56,Visits!$U$2:$U$995,"&gt;"&amp;($B$1-7))</f>
        <v>0</v>
      </c>
      <c r="I55">
        <f>COUNTIFS(Visits!$E$2:$E$995,'User Engagement'!$A55,Visits!$U$2:$U$995,"&gt;"&amp;($B$1-30))</f>
        <v>0</v>
      </c>
      <c r="J55">
        <f>COUNTIFS(Visits!$E$2:$E$995,$A55,Visits!$U$2:$U$995,"&gt;"&amp;($B$1-60))-I55</f>
        <v>0</v>
      </c>
      <c r="K55">
        <f>COUNTIFS(Visits!$V:$V,'New Dashboard'!$A$22,Visits!$E:$E,'User Engagement'!$A55)</f>
        <v>0</v>
      </c>
      <c r="L55">
        <f>COUNTIFS(Visits!$V:$V,'New Dashboard'!$A$23,Visits!$E:$E,'User Engagement'!$A55)</f>
        <v>0</v>
      </c>
      <c r="M55">
        <f>COUNTIFS(Visits!$V:$V,'New Dashboard'!$A$24,Visits!$E:$E,'User Engagement'!$A55)</f>
        <v>0</v>
      </c>
      <c r="N55">
        <f>COUNTIFS(Visits!$V:$V,'New Dashboard'!$A$25,Visits!$E:$E,'User Engagement'!$A55)</f>
        <v>1</v>
      </c>
      <c r="O55">
        <f t="shared" si="6"/>
        <v>0</v>
      </c>
      <c r="P55">
        <f t="shared" si="7"/>
        <v>0</v>
      </c>
      <c r="Q55">
        <f t="shared" si="5"/>
        <v>0</v>
      </c>
      <c r="R55">
        <f t="shared" si="1"/>
        <v>0</v>
      </c>
      <c r="S55" s="5">
        <f>SUMIF(Visits!$E$2:$E$89,'User Engagement'!$A55,Visits!$L$2:$L$89)</f>
        <v>21.5</v>
      </c>
      <c r="T55" s="5">
        <f>SUMIFS(Visits!$L$2:$L$89,Visits!$E$2:$E$89,'User Engagement'!$A55,Visits!$U$2:$U$89,"&gt;3/28/24")</f>
        <v>0</v>
      </c>
      <c r="U55" s="19">
        <f t="shared" si="2"/>
        <v>10.75</v>
      </c>
      <c r="V55" s="19" t="str">
        <f t="shared" si="3"/>
        <v>n/a</v>
      </c>
    </row>
    <row r="56" spans="1:22" ht="16" x14ac:dyDescent="0.2">
      <c r="A56" t="str">
        <f>Users!A54</f>
        <v xml:space="preserve"> pelconsultingwork@gmail.com</v>
      </c>
      <c r="B56" s="29" t="str">
        <f>VLOOKUP(A56,Users!A:D,2,FALSE)</f>
        <v>Ken</v>
      </c>
      <c r="C56" s="29" t="str">
        <f>VLOOKUP(A56,Users!A:D,3,FALSE)</f>
        <v>Nyar</v>
      </c>
      <c r="F56" s="1" t="e" cm="1" vm="1">
        <f t="array" ref="F56">MAX(_xlfn._xlws.FILTER(Visits!U:U,Visits!E:E='User Engagement'!A56))</f>
        <v>#VALUE!</v>
      </c>
      <c r="G56">
        <f>COUNTIF(Visits!$E$2:$E$995,'User Engagement'!$A56)</f>
        <v>0</v>
      </c>
      <c r="H56">
        <f>COUNTIFS(Visits!$E$2:$E$995,'User Engagement'!$A57,Visits!$U$2:$U$995,"&gt;"&amp;($B$1-7))</f>
        <v>0</v>
      </c>
      <c r="I56">
        <f>COUNTIFS(Visits!$E$2:$E$995,'User Engagement'!$A56,Visits!$U$2:$U$995,"&gt;"&amp;($B$1-30))</f>
        <v>0</v>
      </c>
      <c r="J56">
        <f>COUNTIFS(Visits!$E$2:$E$995,$A56,Visits!$U$2:$U$995,"&gt;"&amp;($B$1-60))-I56</f>
        <v>0</v>
      </c>
      <c r="K56">
        <f>COUNTIFS(Visits!$V:$V,'New Dashboard'!$A$22,Visits!$E:$E,'User Engagement'!$A56)</f>
        <v>0</v>
      </c>
      <c r="L56">
        <f>COUNTIFS(Visits!$V:$V,'New Dashboard'!$A$23,Visits!$E:$E,'User Engagement'!$A56)</f>
        <v>0</v>
      </c>
      <c r="M56">
        <f>COUNTIFS(Visits!$V:$V,'New Dashboard'!$A$24,Visits!$E:$E,'User Engagement'!$A56)</f>
        <v>0</v>
      </c>
      <c r="N56">
        <f>COUNTIFS(Visits!$V:$V,'New Dashboard'!$A$25,Visits!$E:$E,'User Engagement'!$A56)</f>
        <v>0</v>
      </c>
      <c r="O56">
        <f t="shared" si="6"/>
        <v>1</v>
      </c>
      <c r="P56">
        <f t="shared" si="7"/>
        <v>0</v>
      </c>
      <c r="Q56">
        <f t="shared" si="5"/>
        <v>0</v>
      </c>
      <c r="R56">
        <f t="shared" si="1"/>
        <v>0</v>
      </c>
      <c r="S56" s="5">
        <f>SUMIF(Visits!$E$2:$E$89,'User Engagement'!$A56,Visits!$L$2:$L$89)</f>
        <v>0</v>
      </c>
      <c r="T56" s="5">
        <f>SUMIFS(Visits!$L$2:$L$89,Visits!$E$2:$E$89,'User Engagement'!$A56,Visits!$U$2:$U$89,"&gt;3/28/24")</f>
        <v>0</v>
      </c>
      <c r="U56" s="19" t="e">
        <f t="shared" si="2"/>
        <v>#DIV/0!</v>
      </c>
      <c r="V56" s="19" t="str">
        <f t="shared" si="3"/>
        <v>n/a</v>
      </c>
    </row>
    <row r="57" spans="1:22" ht="16" x14ac:dyDescent="0.2">
      <c r="A57" t="str">
        <f>Users!A55</f>
        <v>hrational@gmail.com</v>
      </c>
      <c r="B57" s="29" t="str">
        <f>VLOOKUP(A57,Users!A:D,2,FALSE)</f>
        <v>Kostas</v>
      </c>
      <c r="C57" s="29" t="str">
        <f>VLOOKUP(A57,Users!A:D,3,FALSE)</f>
        <v>Palierakis</v>
      </c>
      <c r="F57" s="1" cm="1">
        <f t="array" ref="F57">MAX(_xlfn._xlws.FILTER(Visits!U:U,Visits!E:E='User Engagement'!A57))</f>
        <v>45381</v>
      </c>
      <c r="G57">
        <f>COUNTIF(Visits!$E$2:$E$995,'User Engagement'!$A57)</f>
        <v>1</v>
      </c>
      <c r="H57">
        <f>COUNTIFS(Visits!$E$2:$E$995,'User Engagement'!$A58,Visits!$U$2:$U$995,"&gt;"&amp;($B$1-7))</f>
        <v>0</v>
      </c>
      <c r="I57">
        <f>COUNTIFS(Visits!$E$2:$E$995,'User Engagement'!$A57,Visits!$U$2:$U$995,"&gt;"&amp;($B$1-30))</f>
        <v>0</v>
      </c>
      <c r="J57">
        <f>COUNTIFS(Visits!$E$2:$E$995,$A57,Visits!$U$2:$U$995,"&gt;"&amp;($B$1-60))-I57</f>
        <v>0</v>
      </c>
      <c r="K57">
        <f>COUNTIFS(Visits!$V:$V,'New Dashboard'!$A$22,Visits!$E:$E,'User Engagement'!$A57)</f>
        <v>0</v>
      </c>
      <c r="L57">
        <f>COUNTIFS(Visits!$V:$V,'New Dashboard'!$A$23,Visits!$E:$E,'User Engagement'!$A57)</f>
        <v>0</v>
      </c>
      <c r="M57">
        <f>COUNTIFS(Visits!$V:$V,'New Dashboard'!$A$24,Visits!$E:$E,'User Engagement'!$A57)</f>
        <v>0</v>
      </c>
      <c r="N57">
        <f>COUNTIFS(Visits!$V:$V,'New Dashboard'!$A$25,Visits!$E:$E,'User Engagement'!$A57)</f>
        <v>1</v>
      </c>
      <c r="O57">
        <f t="shared" si="6"/>
        <v>0</v>
      </c>
      <c r="P57">
        <f t="shared" si="7"/>
        <v>0</v>
      </c>
      <c r="Q57">
        <f t="shared" si="5"/>
        <v>0</v>
      </c>
      <c r="R57">
        <f t="shared" si="1"/>
        <v>0</v>
      </c>
      <c r="S57" s="5">
        <f>SUMIF(Visits!$E$2:$E$89,'User Engagement'!$A57,Visits!$L$2:$L$89)</f>
        <v>5</v>
      </c>
      <c r="T57" s="5">
        <f>SUMIFS(Visits!$L$2:$L$89,Visits!$E$2:$E$89,'User Engagement'!$A57,Visits!$U$2:$U$89,"&gt;3/28/24")</f>
        <v>5</v>
      </c>
      <c r="U57" s="19">
        <f t="shared" si="2"/>
        <v>5</v>
      </c>
      <c r="V57" s="19" t="str">
        <f t="shared" si="3"/>
        <v>n/a</v>
      </c>
    </row>
    <row r="58" spans="1:22" ht="16" x14ac:dyDescent="0.2">
      <c r="A58" t="str">
        <f>Users!A56</f>
        <v>laurabrown148@gmail.com</v>
      </c>
      <c r="B58" s="29" t="str">
        <f>VLOOKUP(A58,Users!A:D,2,FALSE)</f>
        <v>Laura</v>
      </c>
      <c r="C58" s="29" t="str">
        <f>VLOOKUP(A58,Users!A:D,3,FALSE)</f>
        <v>Brown</v>
      </c>
      <c r="F58" s="1" t="e" cm="1">
        <f t="array" ref="F58">MAX(_xlfn._xlws.FILTER(Visits!U:U,Visits!E:E='User Engagement'!A58))</f>
        <v>#N/A</v>
      </c>
      <c r="G58">
        <f>COUNTIF(Visits!$E$2:$E$995,'User Engagement'!$A58)</f>
        <v>3</v>
      </c>
      <c r="H58">
        <f>COUNTIFS(Visits!$E$2:$E$995,'User Engagement'!$A59,Visits!$U$2:$U$995,"&gt;"&amp;($B$1-7))</f>
        <v>0</v>
      </c>
      <c r="I58">
        <f>COUNTIFS(Visits!$E$2:$E$995,'User Engagement'!$A58,Visits!$U$2:$U$995,"&gt;"&amp;($B$1-30))</f>
        <v>0</v>
      </c>
      <c r="J58">
        <f>COUNTIFS(Visits!$E$2:$E$995,$A58,Visits!$U$2:$U$995,"&gt;"&amp;($B$1-60))-I58</f>
        <v>0</v>
      </c>
      <c r="K58">
        <f>COUNTIFS(Visits!$V:$V,'New Dashboard'!$A$22,Visits!$E:$E,'User Engagement'!$A58)</f>
        <v>0</v>
      </c>
      <c r="L58">
        <f>COUNTIFS(Visits!$V:$V,'New Dashboard'!$A$23,Visits!$E:$E,'User Engagement'!$A58)</f>
        <v>0</v>
      </c>
      <c r="M58">
        <f>COUNTIFS(Visits!$V:$V,'New Dashboard'!$A$24,Visits!$E:$E,'User Engagement'!$A58)</f>
        <v>0</v>
      </c>
      <c r="N58">
        <f>COUNTIFS(Visits!$V:$V,'New Dashboard'!$A$25,Visits!$E:$E,'User Engagement'!$A58)</f>
        <v>1</v>
      </c>
      <c r="O58">
        <f t="shared" si="6"/>
        <v>0</v>
      </c>
      <c r="P58">
        <f t="shared" si="7"/>
        <v>0</v>
      </c>
      <c r="Q58">
        <f t="shared" si="5"/>
        <v>0</v>
      </c>
      <c r="R58">
        <f t="shared" si="1"/>
        <v>0</v>
      </c>
      <c r="S58" s="5">
        <f>SUMIF(Visits!$E$2:$E$89,'User Engagement'!$A58,Visits!$L$2:$L$89)</f>
        <v>40</v>
      </c>
      <c r="T58" s="5">
        <f>SUMIFS(Visits!$L$2:$L$89,Visits!$E$2:$E$89,'User Engagement'!$A58,Visits!$U$2:$U$89,"&gt;3/28/24")</f>
        <v>0</v>
      </c>
      <c r="U58" s="19">
        <f t="shared" si="2"/>
        <v>13.333333333333334</v>
      </c>
      <c r="V58" s="19" t="str">
        <f t="shared" si="3"/>
        <v>n/a</v>
      </c>
    </row>
    <row r="59" spans="1:22" ht="16" x14ac:dyDescent="0.2">
      <c r="A59" t="str">
        <f>Users!A57</f>
        <v>Laure.kroely@gmail.com</v>
      </c>
      <c r="B59" s="29" t="str">
        <f>VLOOKUP(A59,Users!A:D,2,FALSE)</f>
        <v>Laure</v>
      </c>
      <c r="C59" s="29" t="str">
        <f>VLOOKUP(A59,Users!A:D,3,FALSE)</f>
        <v>Kroely</v>
      </c>
      <c r="F59" s="1" cm="1">
        <f t="array" ref="F59">MAX(_xlfn._xlws.FILTER(Visits!U:U,Visits!E:E='User Engagement'!A59))</f>
        <v>45442</v>
      </c>
      <c r="G59">
        <f>COUNTIF(Visits!$E$2:$E$995,'User Engagement'!$A59)</f>
        <v>1</v>
      </c>
      <c r="H59">
        <f>COUNTIFS(Visits!$E$2:$E$995,'User Engagement'!$A60,Visits!$U$2:$U$995,"&gt;"&amp;($B$1-7))</f>
        <v>0</v>
      </c>
      <c r="I59">
        <f>COUNTIFS(Visits!$E$2:$E$995,'User Engagement'!$A59,Visits!$U$2:$U$995,"&gt;"&amp;($B$1-30))</f>
        <v>0</v>
      </c>
      <c r="J59">
        <f>COUNTIFS(Visits!$E$2:$E$995,$A59,Visits!$U$2:$U$995,"&gt;"&amp;($B$1-60))-I59</f>
        <v>1</v>
      </c>
      <c r="K59">
        <f>COUNTIFS(Visits!$V:$V,'New Dashboard'!$A$22,Visits!$E:$E,'User Engagement'!$A59)</f>
        <v>0</v>
      </c>
      <c r="L59">
        <f>COUNTIFS(Visits!$V:$V,'New Dashboard'!$A$23,Visits!$E:$E,'User Engagement'!$A59)</f>
        <v>1</v>
      </c>
      <c r="M59">
        <f>COUNTIFS(Visits!$V:$V,'New Dashboard'!$A$24,Visits!$E:$E,'User Engagement'!$A59)</f>
        <v>0</v>
      </c>
      <c r="N59">
        <f>COUNTIFS(Visits!$V:$V,'New Dashboard'!$A$25,Visits!$E:$E,'User Engagement'!$A59)</f>
        <v>0</v>
      </c>
      <c r="O59">
        <f t="shared" si="6"/>
        <v>0</v>
      </c>
      <c r="P59">
        <f t="shared" si="7"/>
        <v>0</v>
      </c>
      <c r="Q59">
        <f t="shared" si="5"/>
        <v>1</v>
      </c>
      <c r="R59">
        <f t="shared" si="1"/>
        <v>0</v>
      </c>
      <c r="S59" s="5">
        <f>SUMIF(Visits!$E$2:$E$89,'User Engagement'!$A59,Visits!$L$2:$L$89)</f>
        <v>0</v>
      </c>
      <c r="T59" s="5">
        <f>SUMIFS(Visits!$L$2:$L$89,Visits!$E$2:$E$89,'User Engagement'!$A59,Visits!$U$2:$U$89,"&gt;3/28/24")</f>
        <v>0</v>
      </c>
      <c r="U59" s="19">
        <f t="shared" si="2"/>
        <v>0</v>
      </c>
      <c r="V59" s="19" t="str">
        <f t="shared" si="3"/>
        <v>n/a</v>
      </c>
    </row>
    <row r="60" spans="1:22" ht="16" x14ac:dyDescent="0.2">
      <c r="A60" t="str">
        <f>Users!A58</f>
        <v>louise.ly.chow@gmail.com</v>
      </c>
      <c r="B60" s="29" t="str">
        <f>VLOOKUP(A60,Users!A:D,2,FALSE)</f>
        <v>Louise</v>
      </c>
      <c r="C60" s="29" t="str">
        <f>VLOOKUP(A60,Users!A:D,3,FALSE)</f>
        <v>Chow</v>
      </c>
      <c r="D60" t="s">
        <v>117</v>
      </c>
      <c r="F60" s="1" cm="1">
        <f t="array" ref="F60">MAX(_xlfn._xlws.FILTER(Visits!U:U,Visits!E:E='User Engagement'!A60))</f>
        <v>45388</v>
      </c>
      <c r="G60">
        <f>COUNTIF(Visits!$E$2:$E$995,'User Engagement'!$A60)</f>
        <v>2</v>
      </c>
      <c r="H60">
        <f>COUNTIFS(Visits!$E$2:$E$995,'User Engagement'!$A61,Visits!$U$2:$U$995,"&gt;"&amp;($B$1-7))</f>
        <v>0</v>
      </c>
      <c r="I60">
        <f>COUNTIFS(Visits!$E$2:$E$995,'User Engagement'!$A60,Visits!$U$2:$U$995,"&gt;"&amp;($B$1-30))</f>
        <v>0</v>
      </c>
      <c r="J60">
        <f>COUNTIFS(Visits!$E$2:$E$995,$A60,Visits!$U$2:$U$995,"&gt;"&amp;($B$1-60))-I60</f>
        <v>0</v>
      </c>
      <c r="K60">
        <f>COUNTIFS(Visits!$V:$V,'New Dashboard'!$A$22,Visits!$E:$E,'User Engagement'!$A60)</f>
        <v>0</v>
      </c>
      <c r="L60">
        <f>COUNTIFS(Visits!$V:$V,'New Dashboard'!$A$23,Visits!$E:$E,'User Engagement'!$A60)</f>
        <v>0</v>
      </c>
      <c r="M60">
        <f>COUNTIFS(Visits!$V:$V,'New Dashboard'!$A$24,Visits!$E:$E,'User Engagement'!$A60)</f>
        <v>1</v>
      </c>
      <c r="N60">
        <f>COUNTIFS(Visits!$V:$V,'New Dashboard'!$A$25,Visits!$E:$E,'User Engagement'!$A60)</f>
        <v>1</v>
      </c>
      <c r="O60">
        <f t="shared" si="6"/>
        <v>0</v>
      </c>
      <c r="P60">
        <f t="shared" si="7"/>
        <v>0</v>
      </c>
      <c r="Q60">
        <f t="shared" si="5"/>
        <v>0</v>
      </c>
      <c r="R60">
        <f t="shared" si="1"/>
        <v>0</v>
      </c>
      <c r="S60" s="5">
        <f>SUMIF(Visits!$E$2:$E$89,'User Engagement'!$A60,Visits!$L$2:$L$89)</f>
        <v>15</v>
      </c>
      <c r="T60" s="5">
        <f>SUMIFS(Visits!$L$2:$L$89,Visits!$E$2:$E$89,'User Engagement'!$A60,Visits!$U$2:$U$89,"&gt;3/28/24")</f>
        <v>15</v>
      </c>
      <c r="U60" s="19">
        <f t="shared" si="2"/>
        <v>7.5</v>
      </c>
      <c r="V60" s="19" t="str">
        <f t="shared" si="3"/>
        <v>n/a</v>
      </c>
    </row>
    <row r="61" spans="1:22" ht="16" x14ac:dyDescent="0.2">
      <c r="A61" t="str">
        <f>Users!A59</f>
        <v>lucyzhou2@hotmail.com</v>
      </c>
      <c r="B61" s="29" t="str">
        <f>VLOOKUP(A61,Users!A:D,2,FALSE)</f>
        <v>Lucy</v>
      </c>
      <c r="C61" s="29" t="str">
        <f>VLOOKUP(A61,Users!A:D,3,FALSE)</f>
        <v>Zhou</v>
      </c>
      <c r="F61" s="1" t="e" cm="1">
        <f t="array" ref="F61">MAX(_xlfn._xlws.FILTER(Visits!U:U,Visits!E:E='User Engagement'!A61))</f>
        <v>#N/A</v>
      </c>
      <c r="G61">
        <f>COUNTIF(Visits!$E$2:$E$995,'User Engagement'!$A61)</f>
        <v>4</v>
      </c>
      <c r="H61">
        <f>COUNTIFS(Visits!$E$2:$E$995,'User Engagement'!$A62,Visits!$U$2:$U$995,"&gt;"&amp;($B$1-7))</f>
        <v>0</v>
      </c>
      <c r="I61">
        <f>COUNTIFS(Visits!$E$2:$E$995,'User Engagement'!$A61,Visits!$U$2:$U$995,"&gt;"&amp;($B$1-30))</f>
        <v>0</v>
      </c>
      <c r="J61">
        <f>COUNTIFS(Visits!$E$2:$E$995,$A61,Visits!$U$2:$U$995,"&gt;"&amp;($B$1-60))-I61</f>
        <v>0</v>
      </c>
      <c r="K61">
        <f>COUNTIFS(Visits!$V:$V,'New Dashboard'!$A$22,Visits!$E:$E,'User Engagement'!$A61)</f>
        <v>0</v>
      </c>
      <c r="L61">
        <f>COUNTIFS(Visits!$V:$V,'New Dashboard'!$A$23,Visits!$E:$E,'User Engagement'!$A61)</f>
        <v>0</v>
      </c>
      <c r="M61">
        <f>COUNTIFS(Visits!$V:$V,'New Dashboard'!$A$24,Visits!$E:$E,'User Engagement'!$A61)</f>
        <v>0</v>
      </c>
      <c r="N61">
        <f>COUNTIFS(Visits!$V:$V,'New Dashboard'!$A$25,Visits!$E:$E,'User Engagement'!$A61)</f>
        <v>2</v>
      </c>
      <c r="O61">
        <f t="shared" ref="O61:O73" si="8">IF(G61-H61=0,1,0)</f>
        <v>0</v>
      </c>
      <c r="P61">
        <f t="shared" ref="P61:P73" si="9">IF(I61&gt;0,1,0)</f>
        <v>0</v>
      </c>
      <c r="Q61">
        <f t="shared" si="5"/>
        <v>0</v>
      </c>
      <c r="R61">
        <f t="shared" si="1"/>
        <v>0</v>
      </c>
      <c r="S61" s="5">
        <f>SUMIF(Visits!$E$2:$E$89,'User Engagement'!$A61,Visits!$L$2:$L$89)</f>
        <v>55</v>
      </c>
      <c r="T61" s="5">
        <f>SUMIFS(Visits!$L$2:$L$89,Visits!$E$2:$E$89,'User Engagement'!$A61,Visits!$U$2:$U$89,"&gt;3/28/24")</f>
        <v>5</v>
      </c>
      <c r="U61" s="19">
        <f t="shared" si="2"/>
        <v>13.75</v>
      </c>
      <c r="V61" s="19" t="str">
        <f t="shared" si="3"/>
        <v>n/a</v>
      </c>
    </row>
    <row r="62" spans="1:22" ht="16" x14ac:dyDescent="0.2">
      <c r="A62" t="str">
        <f>Users!A60</f>
        <v>mm.manolova@yahoo.com</v>
      </c>
      <c r="B62" s="29" t="str">
        <f>VLOOKUP(A62,Users!A:D,2,FALSE)</f>
        <v>Maggie</v>
      </c>
      <c r="C62" s="29" t="str">
        <f>VLOOKUP(A62,Users!A:D,3,FALSE)</f>
        <v>Manolova</v>
      </c>
      <c r="F62" s="1" cm="1">
        <f t="array" ref="F62">MAX(_xlfn._xlws.FILTER(Visits!U:U,Visits!E:E='User Engagement'!A62))</f>
        <v>45445</v>
      </c>
      <c r="G62">
        <f>COUNTIF(Visits!$E$2:$E$995,'User Engagement'!$A62)</f>
        <v>2</v>
      </c>
      <c r="H62">
        <f>COUNTIFS(Visits!$E$2:$E$995,'User Engagement'!$A63,Visits!$U$2:$U$995,"&gt;"&amp;($B$1-7))</f>
        <v>0</v>
      </c>
      <c r="I62">
        <f>COUNTIFS(Visits!$E$2:$E$995,'User Engagement'!$A62,Visits!$U$2:$U$995,"&gt;"&amp;($B$1-30))</f>
        <v>1</v>
      </c>
      <c r="J62">
        <f>COUNTIFS(Visits!$E$2:$E$995,$A62,Visits!$U$2:$U$995,"&gt;"&amp;($B$1-60))-I62</f>
        <v>1</v>
      </c>
      <c r="K62">
        <f>COUNTIFS(Visits!$V:$V,'New Dashboard'!$A$22,Visits!$E:$E,'User Engagement'!$A62)</f>
        <v>1</v>
      </c>
      <c r="L62">
        <f>COUNTIFS(Visits!$V:$V,'New Dashboard'!$A$23,Visits!$E:$E,'User Engagement'!$A62)</f>
        <v>1</v>
      </c>
      <c r="M62">
        <f>COUNTIFS(Visits!$V:$V,'New Dashboard'!$A$24,Visits!$E:$E,'User Engagement'!$A62)</f>
        <v>0</v>
      </c>
      <c r="N62">
        <f>COUNTIFS(Visits!$V:$V,'New Dashboard'!$A$25,Visits!$E:$E,'User Engagement'!$A62)</f>
        <v>0</v>
      </c>
      <c r="O62">
        <f t="shared" si="8"/>
        <v>0</v>
      </c>
      <c r="P62">
        <f t="shared" si="9"/>
        <v>1</v>
      </c>
      <c r="Q62">
        <f t="shared" si="5"/>
        <v>1</v>
      </c>
      <c r="R62">
        <f t="shared" si="1"/>
        <v>0</v>
      </c>
      <c r="S62" s="5">
        <f>SUMIF(Visits!$E$2:$E$89,'User Engagement'!$A62,Visits!$L$2:$L$89)</f>
        <v>0</v>
      </c>
      <c r="T62" s="5">
        <f>SUMIFS(Visits!$L$2:$L$89,Visits!$E$2:$E$89,'User Engagement'!$A62,Visits!$U$2:$U$89,"&gt;3/28/24")</f>
        <v>0</v>
      </c>
      <c r="U62" s="19">
        <f t="shared" si="2"/>
        <v>0</v>
      </c>
      <c r="V62" s="19">
        <f t="shared" si="3"/>
        <v>0</v>
      </c>
    </row>
    <row r="63" spans="1:22" ht="16" x14ac:dyDescent="0.2">
      <c r="A63" t="str">
        <f>Users!A61</f>
        <v>lonmys@outlook.com</v>
      </c>
      <c r="B63" s="29" t="str">
        <f>VLOOKUP(A63,Users!A:D,2,FALSE)</f>
        <v>Malti</v>
      </c>
      <c r="C63" s="29" t="str">
        <f>VLOOKUP(A63,Users!A:D,3,FALSE)</f>
        <v>.</v>
      </c>
      <c r="F63" s="1" t="e" cm="1">
        <f t="array" ref="F63">MAX(_xlfn._xlws.FILTER(Visits!U:U,Visits!E:E='User Engagement'!A63))</f>
        <v>#N/A</v>
      </c>
      <c r="G63">
        <f>COUNTIF(Visits!$E$2:$E$995,'User Engagement'!$A63)</f>
        <v>1</v>
      </c>
      <c r="H63">
        <f>COUNTIFS(Visits!$E$2:$E$995,'User Engagement'!$A64,Visits!$U$2:$U$995,"&gt;"&amp;($B$1-7))</f>
        <v>0</v>
      </c>
      <c r="I63">
        <f>COUNTIFS(Visits!$E$2:$E$995,'User Engagement'!$A63,Visits!$U$2:$U$995,"&gt;"&amp;($B$1-30))</f>
        <v>0</v>
      </c>
      <c r="J63">
        <f>COUNTIFS(Visits!$E$2:$E$995,$A63,Visits!$U$2:$U$995,"&gt;"&amp;($B$1-60))-I63</f>
        <v>0</v>
      </c>
      <c r="K63">
        <f>COUNTIFS(Visits!$V:$V,'New Dashboard'!$A$22,Visits!$E:$E,'User Engagement'!$A63)</f>
        <v>0</v>
      </c>
      <c r="L63">
        <f>COUNTIFS(Visits!$V:$V,'New Dashboard'!$A$23,Visits!$E:$E,'User Engagement'!$A63)</f>
        <v>0</v>
      </c>
      <c r="M63">
        <f>COUNTIFS(Visits!$V:$V,'New Dashboard'!$A$24,Visits!$E:$E,'User Engagement'!$A63)</f>
        <v>0</v>
      </c>
      <c r="N63">
        <f>COUNTIFS(Visits!$V:$V,'New Dashboard'!$A$25,Visits!$E:$E,'User Engagement'!$A63)</f>
        <v>0</v>
      </c>
      <c r="O63">
        <f t="shared" si="8"/>
        <v>0</v>
      </c>
      <c r="P63">
        <f t="shared" si="9"/>
        <v>0</v>
      </c>
      <c r="Q63">
        <f t="shared" si="5"/>
        <v>0</v>
      </c>
      <c r="R63">
        <f t="shared" si="1"/>
        <v>0</v>
      </c>
      <c r="S63" s="5">
        <f>SUMIF(Visits!$E$2:$E$89,'User Engagement'!$A63,Visits!$L$2:$L$89)</f>
        <v>0</v>
      </c>
      <c r="T63" s="5">
        <f>SUMIFS(Visits!$L$2:$L$89,Visits!$E$2:$E$89,'User Engagement'!$A63,Visits!$U$2:$U$89,"&gt;3/28/24")</f>
        <v>0</v>
      </c>
      <c r="U63" s="19">
        <f t="shared" si="2"/>
        <v>0</v>
      </c>
      <c r="V63" s="19" t="str">
        <f t="shared" si="3"/>
        <v>n/a</v>
      </c>
    </row>
    <row r="64" spans="1:22" ht="16" x14ac:dyDescent="0.2">
      <c r="A64" t="str">
        <f>Users!A62</f>
        <v>matthew.hoza@gmail.com</v>
      </c>
      <c r="B64" s="29" t="str">
        <f>VLOOKUP(A64,Users!A:D,2,FALSE)</f>
        <v>Matt</v>
      </c>
      <c r="C64" s="29" t="str">
        <f>VLOOKUP(A64,Users!A:D,3,FALSE)</f>
        <v>Hoza</v>
      </c>
      <c r="F64" s="1" cm="1">
        <f t="array" ref="F64">MAX(_xlfn._xlws.FILTER(Visits!U:U,Visits!E:E='User Engagement'!A64))</f>
        <v>45451</v>
      </c>
      <c r="G64">
        <f>COUNTIF(Visits!$E$2:$E$995,'User Engagement'!$A64)</f>
        <v>2</v>
      </c>
      <c r="H64">
        <f>COUNTIFS(Visits!$E$2:$E$995,'User Engagement'!$A65,Visits!$U$2:$U$995,"&gt;"&amp;($B$1-7))</f>
        <v>0</v>
      </c>
      <c r="I64">
        <f>COUNTIFS(Visits!$E$2:$E$995,'User Engagement'!$A64,Visits!$U$2:$U$995,"&gt;"&amp;($B$1-30))</f>
        <v>2</v>
      </c>
      <c r="J64">
        <f>COUNTIFS(Visits!$E$2:$E$995,$A64,Visits!$U$2:$U$995,"&gt;"&amp;($B$1-60))-I64</f>
        <v>0</v>
      </c>
      <c r="K64">
        <f>COUNTIFS(Visits!$V:$V,'New Dashboard'!$A$22,Visits!$E:$E,'User Engagement'!$A64)</f>
        <v>2</v>
      </c>
      <c r="L64">
        <f>COUNTIFS(Visits!$V:$V,'New Dashboard'!$A$23,Visits!$E:$E,'User Engagement'!$A64)</f>
        <v>0</v>
      </c>
      <c r="M64">
        <f>COUNTIFS(Visits!$V:$V,'New Dashboard'!$A$24,Visits!$E:$E,'User Engagement'!$A64)</f>
        <v>0</v>
      </c>
      <c r="N64">
        <f>COUNTIFS(Visits!$V:$V,'New Dashboard'!$A$25,Visits!$E:$E,'User Engagement'!$A64)</f>
        <v>0</v>
      </c>
      <c r="O64">
        <f t="shared" si="8"/>
        <v>0</v>
      </c>
      <c r="P64">
        <f t="shared" si="9"/>
        <v>1</v>
      </c>
      <c r="Q64">
        <f t="shared" si="5"/>
        <v>0</v>
      </c>
      <c r="R64">
        <f t="shared" si="1"/>
        <v>0</v>
      </c>
      <c r="S64" s="5">
        <f>SUMIF(Visits!$E$2:$E$89,'User Engagement'!$A64,Visits!$L$2:$L$89)</f>
        <v>0</v>
      </c>
      <c r="T64" s="5">
        <f>SUMIFS(Visits!$L$2:$L$89,Visits!$E$2:$E$89,'User Engagement'!$A64,Visits!$U$2:$U$89,"&gt;3/28/24")</f>
        <v>0</v>
      </c>
      <c r="U64" s="19">
        <f t="shared" si="2"/>
        <v>0</v>
      </c>
      <c r="V64" s="19">
        <f t="shared" si="3"/>
        <v>0</v>
      </c>
    </row>
    <row r="65" spans="1:22" ht="16" x14ac:dyDescent="0.2">
      <c r="A65" t="str">
        <f>Users!A63</f>
        <v>maestromattheww@yahoo.co.uk</v>
      </c>
      <c r="B65" s="29" t="str">
        <f>VLOOKUP(A65,Users!A:D,2,FALSE)</f>
        <v>Matthew</v>
      </c>
      <c r="C65" s="29" t="str">
        <f>VLOOKUP(A65,Users!A:D,3,FALSE)</f>
        <v>Watts</v>
      </c>
      <c r="F65" s="1" t="e" cm="1">
        <f t="array" ref="F65">MAX(_xlfn._xlws.FILTER(Visits!U:U,Visits!E:E='User Engagement'!A65))</f>
        <v>#N/A</v>
      </c>
      <c r="G65">
        <f>COUNTIF(Visits!$E$2:$E$995,'User Engagement'!$A65)</f>
        <v>5</v>
      </c>
      <c r="H65">
        <f>COUNTIFS(Visits!$E$2:$E$995,'User Engagement'!$A66,Visits!$U$2:$U$995,"&gt;"&amp;($B$1-7))</f>
        <v>0</v>
      </c>
      <c r="I65">
        <f>COUNTIFS(Visits!$E$2:$E$995,'User Engagement'!$A65,Visits!$U$2:$U$995,"&gt;"&amp;($B$1-30))</f>
        <v>0</v>
      </c>
      <c r="J65">
        <f>COUNTIFS(Visits!$E$2:$E$995,$A65,Visits!$U$2:$U$995,"&gt;"&amp;($B$1-60))-I65</f>
        <v>1</v>
      </c>
      <c r="K65">
        <f>COUNTIFS(Visits!$V:$V,'New Dashboard'!$A$22,Visits!$E:$E,'User Engagement'!$A65)</f>
        <v>0</v>
      </c>
      <c r="L65">
        <f>COUNTIFS(Visits!$V:$V,'New Dashboard'!$A$23,Visits!$E:$E,'User Engagement'!$A65)</f>
        <v>1</v>
      </c>
      <c r="M65">
        <f>COUNTIFS(Visits!$V:$V,'New Dashboard'!$A$24,Visits!$E:$E,'User Engagement'!$A65)</f>
        <v>0</v>
      </c>
      <c r="N65">
        <f>COUNTIFS(Visits!$V:$V,'New Dashboard'!$A$25,Visits!$E:$E,'User Engagement'!$A65)</f>
        <v>0</v>
      </c>
      <c r="O65">
        <f t="shared" si="8"/>
        <v>0</v>
      </c>
      <c r="P65">
        <f t="shared" si="9"/>
        <v>0</v>
      </c>
      <c r="Q65">
        <f t="shared" si="5"/>
        <v>1</v>
      </c>
      <c r="R65">
        <f t="shared" si="1"/>
        <v>0</v>
      </c>
      <c r="S65" s="5">
        <f>SUMIF(Visits!$E$2:$E$89,'User Engagement'!$A65,Visits!$L$2:$L$89)</f>
        <v>15</v>
      </c>
      <c r="T65" s="5">
        <f>SUMIFS(Visits!$L$2:$L$89,Visits!$E$2:$E$89,'User Engagement'!$A65,Visits!$U$2:$U$89,"&gt;3/28/24")</f>
        <v>0</v>
      </c>
      <c r="U65" s="19">
        <f t="shared" si="2"/>
        <v>3</v>
      </c>
      <c r="V65" s="19" t="str">
        <f t="shared" si="3"/>
        <v>n/a</v>
      </c>
    </row>
    <row r="66" spans="1:22" ht="16" x14ac:dyDescent="0.2">
      <c r="A66" t="str">
        <f>Users!A64</f>
        <v>lanidoms@gmail.com</v>
      </c>
      <c r="B66" s="29" t="str">
        <f>VLOOKUP(A66,Users!A:D,2,FALSE)</f>
        <v>Mercelani</v>
      </c>
      <c r="C66" s="29" t="str">
        <f>VLOOKUP(A66,Users!A:D,3,FALSE)</f>
        <v>Dumayday</v>
      </c>
      <c r="F66" s="1" cm="1">
        <f t="array" ref="F66">MAX(_xlfn._xlws.FILTER(Visits!U:U,Visits!E:E='User Engagement'!A66))</f>
        <v>45423</v>
      </c>
      <c r="G66">
        <f>COUNTIF(Visits!$E$2:$E$995,'User Engagement'!$A66)</f>
        <v>1</v>
      </c>
      <c r="H66">
        <f>COUNTIFS(Visits!$E$2:$E$995,'User Engagement'!$A67,Visits!$U$2:$U$995,"&gt;"&amp;($B$1-7))</f>
        <v>0</v>
      </c>
      <c r="I66">
        <f>COUNTIFS(Visits!$E$2:$E$995,'User Engagement'!$A66,Visits!$U$2:$U$995,"&gt;"&amp;($B$1-30))</f>
        <v>0</v>
      </c>
      <c r="J66">
        <f>COUNTIFS(Visits!$E$2:$E$995,$A66,Visits!$U$2:$U$995,"&gt;"&amp;($B$1-60))-I66</f>
        <v>1</v>
      </c>
      <c r="K66">
        <f>COUNTIFS(Visits!$V:$V,'New Dashboard'!$A$22,Visits!$E:$E,'User Engagement'!$A66)</f>
        <v>0</v>
      </c>
      <c r="L66">
        <f>COUNTIFS(Visits!$V:$V,'New Dashboard'!$A$23,Visits!$E:$E,'User Engagement'!$A66)</f>
        <v>1</v>
      </c>
      <c r="M66">
        <f>COUNTIFS(Visits!$V:$V,'New Dashboard'!$A$24,Visits!$E:$E,'User Engagement'!$A66)</f>
        <v>0</v>
      </c>
      <c r="N66">
        <f>COUNTIFS(Visits!$V:$V,'New Dashboard'!$A$25,Visits!$E:$E,'User Engagement'!$A66)</f>
        <v>0</v>
      </c>
      <c r="O66">
        <f t="shared" si="8"/>
        <v>0</v>
      </c>
      <c r="P66">
        <f t="shared" si="9"/>
        <v>0</v>
      </c>
      <c r="Q66">
        <f t="shared" si="5"/>
        <v>1</v>
      </c>
      <c r="R66">
        <f t="shared" si="1"/>
        <v>0</v>
      </c>
      <c r="S66" s="5">
        <f>SUMIF(Visits!$E$2:$E$89,'User Engagement'!$A66,Visits!$L$2:$L$89)</f>
        <v>0</v>
      </c>
      <c r="T66" s="5">
        <f>SUMIFS(Visits!$L$2:$L$89,Visits!$E$2:$E$89,'User Engagement'!$A66,Visits!$U$2:$U$89,"&gt;3/28/24")</f>
        <v>0</v>
      </c>
      <c r="U66" s="19">
        <f t="shared" si="2"/>
        <v>0</v>
      </c>
      <c r="V66" s="19" t="str">
        <f t="shared" si="3"/>
        <v>n/a</v>
      </c>
    </row>
    <row r="67" spans="1:22" ht="16" x14ac:dyDescent="0.2">
      <c r="A67" t="str">
        <f>Users!A65</f>
        <v>monique.blemur@gmail.com</v>
      </c>
      <c r="B67" s="29" t="str">
        <f>VLOOKUP(A67,Users!A:D,2,FALSE)</f>
        <v>Monique</v>
      </c>
      <c r="C67" s="29" t="str">
        <f>VLOOKUP(A67,Users!A:D,3,FALSE)</f>
        <v>Blemur</v>
      </c>
      <c r="F67" s="1" cm="1">
        <f t="array" ref="F67">MAX(_xlfn._xlws.FILTER(Visits!U:U,Visits!E:E='User Engagement'!A67))</f>
        <v>45445</v>
      </c>
      <c r="G67">
        <f>COUNTIF(Visits!$E$2:$E$995,'User Engagement'!$A67)</f>
        <v>3</v>
      </c>
      <c r="H67">
        <f>COUNTIFS(Visits!$E$2:$E$995,'User Engagement'!$A68,Visits!$U$2:$U$995,"&gt;"&amp;($B$1-7))</f>
        <v>0</v>
      </c>
      <c r="I67">
        <f>COUNTIFS(Visits!$E$2:$E$995,'User Engagement'!$A67,Visits!$U$2:$U$995,"&gt;"&amp;($B$1-30))</f>
        <v>1</v>
      </c>
      <c r="J67">
        <f>COUNTIFS(Visits!$E$2:$E$995,$A67,Visits!$U$2:$U$995,"&gt;"&amp;($B$1-60))-I67</f>
        <v>1</v>
      </c>
      <c r="K67">
        <f>COUNTIFS(Visits!$V:$V,'New Dashboard'!$A$22,Visits!$E:$E,'User Engagement'!$A67)</f>
        <v>1</v>
      </c>
      <c r="L67">
        <f>COUNTIFS(Visits!$V:$V,'New Dashboard'!$A$23,Visits!$E:$E,'User Engagement'!$A67)</f>
        <v>1</v>
      </c>
      <c r="M67">
        <f>COUNTIFS(Visits!$V:$V,'New Dashboard'!$A$24,Visits!$E:$E,'User Engagement'!$A67)</f>
        <v>0</v>
      </c>
      <c r="N67">
        <f>COUNTIFS(Visits!$V:$V,'New Dashboard'!$A$25,Visits!$E:$E,'User Engagement'!$A67)</f>
        <v>1</v>
      </c>
      <c r="O67">
        <f t="shared" si="8"/>
        <v>0</v>
      </c>
      <c r="P67">
        <f t="shared" si="9"/>
        <v>1</v>
      </c>
      <c r="Q67">
        <f t="shared" si="5"/>
        <v>1</v>
      </c>
      <c r="R67">
        <f t="shared" si="1"/>
        <v>0</v>
      </c>
      <c r="S67" s="5">
        <f>SUMIF(Visits!$E$2:$E$89,'User Engagement'!$A67,Visits!$L$2:$L$89)</f>
        <v>0</v>
      </c>
      <c r="T67" s="5">
        <f>SUMIFS(Visits!$L$2:$L$89,Visits!$E$2:$E$89,'User Engagement'!$A67,Visits!$U$2:$U$89,"&gt;3/28/24")</f>
        <v>0</v>
      </c>
      <c r="U67" s="19">
        <f t="shared" si="2"/>
        <v>0</v>
      </c>
      <c r="V67" s="19">
        <f t="shared" si="3"/>
        <v>0</v>
      </c>
    </row>
    <row r="68" spans="1:22" ht="16" x14ac:dyDescent="0.2">
      <c r="A68" t="str">
        <f>Users!A66</f>
        <v>thefengshuistory@gmail.com</v>
      </c>
      <c r="B68" s="29" t="str">
        <f>VLOOKUP(A68,Users!A:D,2,FALSE)</f>
        <v>Mouna</v>
      </c>
      <c r="C68" s="29" t="str">
        <f>VLOOKUP(A68,Users!A:D,3,FALSE)</f>
        <v>Iraqi</v>
      </c>
      <c r="F68" s="1" cm="1">
        <f t="array" ref="F68">MAX(_xlfn._xlws.FILTER(Visits!U:U,Visits!E:E='User Engagement'!A68))</f>
        <v>45374</v>
      </c>
      <c r="G68">
        <f>COUNTIF(Visits!$E$2:$E$995,'User Engagement'!$A68)</f>
        <v>1</v>
      </c>
      <c r="H68">
        <f>COUNTIFS(Visits!$E$2:$E$995,'User Engagement'!$A69,Visits!$U$2:$U$995,"&gt;"&amp;($B$1-7))</f>
        <v>0</v>
      </c>
      <c r="I68">
        <f>COUNTIFS(Visits!$E$2:$E$995,'User Engagement'!$A68,Visits!$U$2:$U$995,"&gt;"&amp;($B$1-30))</f>
        <v>0</v>
      </c>
      <c r="J68">
        <f>COUNTIFS(Visits!$E$2:$E$995,$A68,Visits!$U$2:$U$995,"&gt;"&amp;($B$1-60))-I68</f>
        <v>0</v>
      </c>
      <c r="K68">
        <f>COUNTIFS(Visits!$V:$V,'New Dashboard'!$A$22,Visits!$E:$E,'User Engagement'!$A68)</f>
        <v>0</v>
      </c>
      <c r="L68">
        <f>COUNTIFS(Visits!$V:$V,'New Dashboard'!$A$23,Visits!$E:$E,'User Engagement'!$A68)</f>
        <v>0</v>
      </c>
      <c r="M68">
        <f>COUNTIFS(Visits!$V:$V,'New Dashboard'!$A$24,Visits!$E:$E,'User Engagement'!$A68)</f>
        <v>0</v>
      </c>
      <c r="N68">
        <f>COUNTIFS(Visits!$V:$V,'New Dashboard'!$A$25,Visits!$E:$E,'User Engagement'!$A68)</f>
        <v>1</v>
      </c>
      <c r="O68">
        <f t="shared" si="8"/>
        <v>0</v>
      </c>
      <c r="P68">
        <f t="shared" si="9"/>
        <v>0</v>
      </c>
      <c r="Q68">
        <f t="shared" si="5"/>
        <v>0</v>
      </c>
      <c r="R68">
        <f t="shared" ref="R68:R131" si="10">IF(I68&gt;2,P68,0)</f>
        <v>0</v>
      </c>
      <c r="S68" s="5">
        <f>SUMIF(Visits!$E$2:$E$89,'User Engagement'!$A68,Visits!$L$2:$L$89)</f>
        <v>40</v>
      </c>
      <c r="T68" s="5">
        <f>SUMIFS(Visits!$L$2:$L$89,Visits!$E$2:$E$89,'User Engagement'!$A68,Visits!$U$2:$U$89,"&gt;3/28/24")</f>
        <v>0</v>
      </c>
      <c r="U68" s="19">
        <f t="shared" ref="U68:U131" si="11">S68/G68</f>
        <v>40</v>
      </c>
      <c r="V68" s="19" t="str">
        <f t="shared" ref="V68:V131" si="12">IFERROR(T68/I68,"n/a")</f>
        <v>n/a</v>
      </c>
    </row>
    <row r="69" spans="1:22" ht="16" x14ac:dyDescent="0.2">
      <c r="A69" t="str">
        <f>Users!A67</f>
        <v>Nataliokolie@gmail.com</v>
      </c>
      <c r="B69" s="29" t="str">
        <f>VLOOKUP(A69,Users!A:D,2,FALSE)</f>
        <v>Natali</v>
      </c>
      <c r="C69" s="29" t="str">
        <f>VLOOKUP(A69,Users!A:D,3,FALSE)</f>
        <v xml:space="preserve">Okolie </v>
      </c>
      <c r="F69" s="1" cm="1">
        <f t="array" ref="F69">MAX(_xlfn._xlws.FILTER(Visits!U:U,Visits!E:E='User Engagement'!A69))</f>
        <v>45442</v>
      </c>
      <c r="G69">
        <f>COUNTIF(Visits!$E$2:$E$995,'User Engagement'!$A69)</f>
        <v>1</v>
      </c>
      <c r="H69">
        <f>COUNTIFS(Visits!$E$2:$E$995,'User Engagement'!$A70,Visits!$U$2:$U$995,"&gt;"&amp;($B$1-7))</f>
        <v>0</v>
      </c>
      <c r="I69">
        <f>COUNTIFS(Visits!$E$2:$E$995,'User Engagement'!$A69,Visits!$U$2:$U$995,"&gt;"&amp;($B$1-30))</f>
        <v>0</v>
      </c>
      <c r="J69">
        <f>COUNTIFS(Visits!$E$2:$E$995,$A69,Visits!$U$2:$U$995,"&gt;"&amp;($B$1-60))-I69</f>
        <v>1</v>
      </c>
      <c r="K69">
        <f>COUNTIFS(Visits!$V:$V,'New Dashboard'!$A$22,Visits!$E:$E,'User Engagement'!$A69)</f>
        <v>0</v>
      </c>
      <c r="L69">
        <f>COUNTIFS(Visits!$V:$V,'New Dashboard'!$A$23,Visits!$E:$E,'User Engagement'!$A69)</f>
        <v>1</v>
      </c>
      <c r="M69">
        <f>COUNTIFS(Visits!$V:$V,'New Dashboard'!$A$24,Visits!$E:$E,'User Engagement'!$A69)</f>
        <v>0</v>
      </c>
      <c r="N69">
        <f>COUNTIFS(Visits!$V:$V,'New Dashboard'!$A$25,Visits!$E:$E,'User Engagement'!$A69)</f>
        <v>0</v>
      </c>
      <c r="O69">
        <f t="shared" si="8"/>
        <v>0</v>
      </c>
      <c r="P69">
        <f t="shared" si="9"/>
        <v>0</v>
      </c>
      <c r="Q69">
        <f t="shared" si="5"/>
        <v>1</v>
      </c>
      <c r="R69">
        <f t="shared" si="10"/>
        <v>0</v>
      </c>
      <c r="S69" s="5">
        <f>SUMIF(Visits!$E$2:$E$89,'User Engagement'!$A69,Visits!$L$2:$L$89)</f>
        <v>0</v>
      </c>
      <c r="T69" s="5">
        <f>SUMIFS(Visits!$L$2:$L$89,Visits!$E$2:$E$89,'User Engagement'!$A69,Visits!$U$2:$U$89,"&gt;3/28/24")</f>
        <v>0</v>
      </c>
      <c r="U69" s="19">
        <f t="shared" si="11"/>
        <v>0</v>
      </c>
      <c r="V69" s="19" t="str">
        <f t="shared" si="12"/>
        <v>n/a</v>
      </c>
    </row>
    <row r="70" spans="1:22" ht="16" x14ac:dyDescent="0.2">
      <c r="A70" t="str">
        <f>Users!A68</f>
        <v>natashapavlovskaya23@gmail.com</v>
      </c>
      <c r="B70" s="29" t="str">
        <f>VLOOKUP(A70,Users!A:D,2,FALSE)</f>
        <v>Natasha</v>
      </c>
      <c r="C70" s="29" t="str">
        <f>VLOOKUP(A70,Users!A:D,3,FALSE)</f>
        <v>Pavlovskaya</v>
      </c>
      <c r="F70" s="1" t="e" cm="1">
        <f t="array" ref="F70">MAX(_xlfn._xlws.FILTER(Visits!U:U,Visits!E:E='User Engagement'!A70))</f>
        <v>#N/A</v>
      </c>
      <c r="G70">
        <f>COUNTIF(Visits!$E$2:$E$995,'User Engagement'!$A70)</f>
        <v>3</v>
      </c>
      <c r="H70">
        <f>COUNTIFS(Visits!$E$2:$E$995,'User Engagement'!$A71,Visits!$U$2:$U$995,"&gt;"&amp;($B$1-7))</f>
        <v>0</v>
      </c>
      <c r="I70">
        <f>COUNTIFS(Visits!$E$2:$E$995,'User Engagement'!$A70,Visits!$U$2:$U$995,"&gt;"&amp;($B$1-30))</f>
        <v>0</v>
      </c>
      <c r="J70">
        <f>COUNTIFS(Visits!$E$2:$E$995,$A70,Visits!$U$2:$U$995,"&gt;"&amp;($B$1-60))-I70</f>
        <v>0</v>
      </c>
      <c r="K70">
        <f>COUNTIFS(Visits!$V:$V,'New Dashboard'!$A$22,Visits!$E:$E,'User Engagement'!$A70)</f>
        <v>0</v>
      </c>
      <c r="L70">
        <f>COUNTIFS(Visits!$V:$V,'New Dashboard'!$A$23,Visits!$E:$E,'User Engagement'!$A70)</f>
        <v>0</v>
      </c>
      <c r="M70">
        <f>COUNTIFS(Visits!$V:$V,'New Dashboard'!$A$24,Visits!$E:$E,'User Engagement'!$A70)</f>
        <v>2</v>
      </c>
      <c r="N70">
        <f>COUNTIFS(Visits!$V:$V,'New Dashboard'!$A$25,Visits!$E:$E,'User Engagement'!$A70)</f>
        <v>0</v>
      </c>
      <c r="O70">
        <f t="shared" si="8"/>
        <v>0</v>
      </c>
      <c r="P70">
        <f t="shared" si="9"/>
        <v>0</v>
      </c>
      <c r="Q70">
        <f t="shared" ref="Q70:Q133" si="13">IF(J70&gt;0,1,0)</f>
        <v>0</v>
      </c>
      <c r="R70">
        <f t="shared" si="10"/>
        <v>0</v>
      </c>
      <c r="S70" s="5">
        <f>SUMIF(Visits!$E$2:$E$89,'User Engagement'!$A70,Visits!$L$2:$L$89)</f>
        <v>22.5</v>
      </c>
      <c r="T70" s="5">
        <f>SUMIFS(Visits!$L$2:$L$89,Visits!$E$2:$E$89,'User Engagement'!$A70,Visits!$U$2:$U$89,"&gt;3/28/24")</f>
        <v>22.5</v>
      </c>
      <c r="U70" s="19">
        <f t="shared" si="11"/>
        <v>7.5</v>
      </c>
      <c r="V70" s="19" t="str">
        <f t="shared" si="12"/>
        <v>n/a</v>
      </c>
    </row>
    <row r="71" spans="1:22" ht="16" x14ac:dyDescent="0.2">
      <c r="A71" t="str">
        <f>Users!A69</f>
        <v>ngg971@gmail.com</v>
      </c>
      <c r="B71" s="29" t="str">
        <f>VLOOKUP(A71,Users!A:D,2,FALSE)</f>
        <v>Nathanael</v>
      </c>
      <c r="C71" s="29" t="str">
        <f>VLOOKUP(A71,Users!A:D,3,FALSE)</f>
        <v>Geman</v>
      </c>
      <c r="F71" s="1" cm="1">
        <f t="array" ref="F71">MAX(_xlfn._xlws.FILTER(Visits!U:U,Visits!E:E='User Engagement'!A71))</f>
        <v>45374</v>
      </c>
      <c r="G71">
        <f>COUNTIF(Visits!$E$2:$E$995,'User Engagement'!$A71)</f>
        <v>1</v>
      </c>
      <c r="H71">
        <f>COUNTIFS(Visits!$E$2:$E$995,'User Engagement'!$A72,Visits!$U$2:$U$995,"&gt;"&amp;($B$1-7))</f>
        <v>0</v>
      </c>
      <c r="I71">
        <f>COUNTIFS(Visits!$E$2:$E$995,'User Engagement'!$A71,Visits!$U$2:$U$995,"&gt;"&amp;($B$1-30))</f>
        <v>0</v>
      </c>
      <c r="J71">
        <f>COUNTIFS(Visits!$E$2:$E$995,$A71,Visits!$U$2:$U$995,"&gt;"&amp;($B$1-60))-I71</f>
        <v>0</v>
      </c>
      <c r="K71">
        <f>COUNTIFS(Visits!$V:$V,'New Dashboard'!$A$22,Visits!$E:$E,'User Engagement'!$A71)</f>
        <v>0</v>
      </c>
      <c r="L71">
        <f>COUNTIFS(Visits!$V:$V,'New Dashboard'!$A$23,Visits!$E:$E,'User Engagement'!$A71)</f>
        <v>0</v>
      </c>
      <c r="M71">
        <f>COUNTIFS(Visits!$V:$V,'New Dashboard'!$A$24,Visits!$E:$E,'User Engagement'!$A71)</f>
        <v>0</v>
      </c>
      <c r="N71">
        <f>COUNTIFS(Visits!$V:$V,'New Dashboard'!$A$25,Visits!$E:$E,'User Engagement'!$A71)</f>
        <v>1</v>
      </c>
      <c r="O71">
        <f t="shared" si="8"/>
        <v>0</v>
      </c>
      <c r="P71">
        <f t="shared" si="9"/>
        <v>0</v>
      </c>
      <c r="Q71">
        <f t="shared" si="13"/>
        <v>0</v>
      </c>
      <c r="R71">
        <f t="shared" si="10"/>
        <v>0</v>
      </c>
      <c r="S71" s="5">
        <f>SUMIF(Visits!$E$2:$E$89,'User Engagement'!$A71,Visits!$L$2:$L$89)</f>
        <v>25</v>
      </c>
      <c r="T71" s="5">
        <f>SUMIFS(Visits!$L$2:$L$89,Visits!$E$2:$E$89,'User Engagement'!$A71,Visits!$U$2:$U$89,"&gt;3/28/24")</f>
        <v>0</v>
      </c>
      <c r="U71" s="19">
        <f t="shared" si="11"/>
        <v>25</v>
      </c>
      <c r="V71" s="19" t="str">
        <f t="shared" si="12"/>
        <v>n/a</v>
      </c>
    </row>
    <row r="72" spans="1:22" ht="16" x14ac:dyDescent="0.2">
      <c r="A72" t="str">
        <f>Users!A70</f>
        <v>isisding@gmail.com</v>
      </c>
      <c r="B72" s="29" t="str">
        <f>VLOOKUP(A72,Users!A:D,2,FALSE)</f>
        <v>ND</v>
      </c>
      <c r="C72" s="29">
        <f>VLOOKUP(A72,Users!A:D,3,FALSE)</f>
        <v>0</v>
      </c>
      <c r="F72" s="1" t="e" cm="1">
        <f t="array" ref="F72">MAX(_xlfn._xlws.FILTER(Visits!U:U,Visits!E:E='User Engagement'!A72))</f>
        <v>#N/A</v>
      </c>
      <c r="G72">
        <f>COUNTIF(Visits!$E$2:$E$995,'User Engagement'!$A72)</f>
        <v>1</v>
      </c>
      <c r="H72">
        <f>COUNTIFS(Visits!$E$2:$E$995,'User Engagement'!$A73,Visits!$U$2:$U$995,"&gt;"&amp;($B$1-7))</f>
        <v>0</v>
      </c>
      <c r="I72">
        <f>COUNTIFS(Visits!$E$2:$E$995,'User Engagement'!$A72,Visits!$U$2:$U$995,"&gt;"&amp;($B$1-30))</f>
        <v>0</v>
      </c>
      <c r="J72">
        <f>COUNTIFS(Visits!$E$2:$E$995,$A72,Visits!$U$2:$U$995,"&gt;"&amp;($B$1-60))-I72</f>
        <v>0</v>
      </c>
      <c r="K72">
        <f>COUNTIFS(Visits!$V:$V,'New Dashboard'!$A$22,Visits!$E:$E,'User Engagement'!$A72)</f>
        <v>0</v>
      </c>
      <c r="L72">
        <f>COUNTIFS(Visits!$V:$V,'New Dashboard'!$A$23,Visits!$E:$E,'User Engagement'!$A72)</f>
        <v>0</v>
      </c>
      <c r="M72">
        <f>COUNTIFS(Visits!$V:$V,'New Dashboard'!$A$24,Visits!$E:$E,'User Engagement'!$A72)</f>
        <v>0</v>
      </c>
      <c r="N72">
        <f>COUNTIFS(Visits!$V:$V,'New Dashboard'!$A$25,Visits!$E:$E,'User Engagement'!$A72)</f>
        <v>0</v>
      </c>
      <c r="O72">
        <f t="shared" si="8"/>
        <v>0</v>
      </c>
      <c r="P72">
        <f t="shared" si="9"/>
        <v>0</v>
      </c>
      <c r="Q72">
        <f t="shared" si="13"/>
        <v>0</v>
      </c>
      <c r="R72">
        <f t="shared" si="10"/>
        <v>0</v>
      </c>
      <c r="S72" s="5">
        <f>SUMIF(Visits!$E$2:$E$89,'User Engagement'!$A72,Visits!$L$2:$L$89)</f>
        <v>0</v>
      </c>
      <c r="T72" s="5">
        <f>SUMIFS(Visits!$L$2:$L$89,Visits!$E$2:$E$89,'User Engagement'!$A72,Visits!$U$2:$U$89,"&gt;3/28/24")</f>
        <v>0</v>
      </c>
      <c r="U72" s="19">
        <f t="shared" si="11"/>
        <v>0</v>
      </c>
      <c r="V72" s="19" t="str">
        <f t="shared" si="12"/>
        <v>n/a</v>
      </c>
    </row>
    <row r="73" spans="1:22" ht="16" x14ac:dyDescent="0.2">
      <c r="A73" t="str">
        <f>Users!A71</f>
        <v>walokunrin@yahoo.com</v>
      </c>
      <c r="B73" s="29" t="str">
        <f>VLOOKUP(A73,Users!A:D,2,FALSE)</f>
        <v>Olawale</v>
      </c>
      <c r="C73" s="29" t="str">
        <f>VLOOKUP(A73,Users!A:D,3,FALSE)</f>
        <v>Okunrinboye</v>
      </c>
      <c r="F73" s="1" t="e" cm="1">
        <f t="array" ref="F73">MAX(_xlfn._xlws.FILTER(Visits!U:U,Visits!E:E='User Engagement'!A73))</f>
        <v>#N/A</v>
      </c>
      <c r="G73">
        <f>COUNTIF(Visits!$E$2:$E$995,'User Engagement'!$A73)</f>
        <v>2</v>
      </c>
      <c r="H73">
        <f>COUNTIFS(Visits!$E$2:$E$995,'User Engagement'!$A74,Visits!$U$2:$U$995,"&gt;"&amp;($B$1-7))</f>
        <v>0</v>
      </c>
      <c r="I73">
        <f>COUNTIFS(Visits!$E$2:$E$995,'User Engagement'!$A73,Visits!$U$2:$U$995,"&gt;"&amp;($B$1-30))</f>
        <v>0</v>
      </c>
      <c r="J73">
        <f>COUNTIFS(Visits!$E$2:$E$995,$A73,Visits!$U$2:$U$995,"&gt;"&amp;($B$1-60))-I73</f>
        <v>0</v>
      </c>
      <c r="K73">
        <f>COUNTIFS(Visits!$V:$V,'New Dashboard'!$A$22,Visits!$E:$E,'User Engagement'!$A73)</f>
        <v>0</v>
      </c>
      <c r="L73">
        <f>COUNTIFS(Visits!$V:$V,'New Dashboard'!$A$23,Visits!$E:$E,'User Engagement'!$A73)</f>
        <v>0</v>
      </c>
      <c r="M73">
        <f>COUNTIFS(Visits!$V:$V,'New Dashboard'!$A$24,Visits!$E:$E,'User Engagement'!$A73)</f>
        <v>0</v>
      </c>
      <c r="N73">
        <f>COUNTIFS(Visits!$V:$V,'New Dashboard'!$A$25,Visits!$E:$E,'User Engagement'!$A73)</f>
        <v>1</v>
      </c>
      <c r="O73">
        <f t="shared" si="8"/>
        <v>0</v>
      </c>
      <c r="P73">
        <f t="shared" si="9"/>
        <v>0</v>
      </c>
      <c r="Q73">
        <f t="shared" si="13"/>
        <v>0</v>
      </c>
      <c r="R73">
        <f t="shared" si="10"/>
        <v>0</v>
      </c>
      <c r="S73" s="5">
        <f>SUMIF(Visits!$E$2:$E$89,'User Engagement'!$A73,Visits!$L$2:$L$89)</f>
        <v>35</v>
      </c>
      <c r="T73" s="5">
        <f>SUMIFS(Visits!$L$2:$L$89,Visits!$E$2:$E$89,'User Engagement'!$A73,Visits!$U$2:$U$89,"&gt;3/28/24")</f>
        <v>0</v>
      </c>
      <c r="U73" s="19">
        <f t="shared" si="11"/>
        <v>17.5</v>
      </c>
      <c r="V73" s="19" t="str">
        <f t="shared" si="12"/>
        <v>n/a</v>
      </c>
    </row>
    <row r="74" spans="1:22" ht="16" x14ac:dyDescent="0.2">
      <c r="A74" t="str">
        <f>Users!A72</f>
        <v>pragyaptib@gmail.com</v>
      </c>
      <c r="B74" s="29" t="str">
        <f>VLOOKUP(A74,Users!A:D,2,FALSE)</f>
        <v>Pragyapti</v>
      </c>
      <c r="C74" s="29" t="str">
        <f>VLOOKUP(A74,Users!A:D,3,FALSE)</f>
        <v>Bhandari</v>
      </c>
      <c r="F74" s="1" t="e" cm="1">
        <f t="array" ref="F74">MAX(_xlfn._xlws.FILTER(Visits!U:U,Visits!E:E='User Engagement'!A74))</f>
        <v>#N/A</v>
      </c>
      <c r="G74">
        <f>COUNTIF(Visits!$E$2:$E$995,'User Engagement'!$A74)</f>
        <v>1</v>
      </c>
      <c r="H74">
        <f>COUNTIFS(Visits!$E$2:$E$995,'User Engagement'!$A75,Visits!$U$2:$U$995,"&gt;"&amp;($B$1-7))</f>
        <v>0</v>
      </c>
      <c r="I74">
        <f>COUNTIFS(Visits!$E$2:$E$995,'User Engagement'!$A74,Visits!$U$2:$U$995,"&gt;"&amp;($B$1-30))</f>
        <v>0</v>
      </c>
      <c r="J74">
        <f>COUNTIFS(Visits!$E$2:$E$995,$A74,Visits!$U$2:$U$995,"&gt;"&amp;($B$1-60))-I74</f>
        <v>0</v>
      </c>
      <c r="K74">
        <f>COUNTIFS(Visits!$V:$V,'New Dashboard'!$A$22,Visits!$E:$E,'User Engagement'!$A74)</f>
        <v>0</v>
      </c>
      <c r="L74">
        <f>COUNTIFS(Visits!$V:$V,'New Dashboard'!$A$23,Visits!$E:$E,'User Engagement'!$A74)</f>
        <v>0</v>
      </c>
      <c r="M74">
        <f>COUNTIFS(Visits!$V:$V,'New Dashboard'!$A$24,Visits!$E:$E,'User Engagement'!$A74)</f>
        <v>0</v>
      </c>
      <c r="N74">
        <f>COUNTIFS(Visits!$V:$V,'New Dashboard'!$A$25,Visits!$E:$E,'User Engagement'!$A74)</f>
        <v>0</v>
      </c>
      <c r="O74">
        <f t="shared" ref="O74:O137" si="14">IF(G74-H74=0,1,0)</f>
        <v>0</v>
      </c>
      <c r="P74">
        <f t="shared" ref="P74:Q137" si="15">IF(I74&gt;0,1,0)</f>
        <v>0</v>
      </c>
      <c r="Q74">
        <f t="shared" si="13"/>
        <v>0</v>
      </c>
      <c r="R74">
        <f t="shared" si="10"/>
        <v>0</v>
      </c>
      <c r="S74" s="5">
        <f>SUMIF(Visits!$E$2:$E$89,'User Engagement'!$A74,Visits!$L$2:$L$89)</f>
        <v>27</v>
      </c>
      <c r="T74" s="5">
        <f>SUMIFS(Visits!$L$2:$L$89,Visits!$E$2:$E$89,'User Engagement'!$A74,Visits!$U$2:$U$89,"&gt;3/28/24")</f>
        <v>0</v>
      </c>
      <c r="U74" s="19">
        <f t="shared" si="11"/>
        <v>27</v>
      </c>
      <c r="V74" s="19" t="str">
        <f t="shared" si="12"/>
        <v>n/a</v>
      </c>
    </row>
    <row r="75" spans="1:22" ht="16" x14ac:dyDescent="0.2">
      <c r="A75" t="str">
        <f>Users!A73</f>
        <v>Richard_segal@yahoo.com</v>
      </c>
      <c r="B75" s="29" t="str">
        <f>VLOOKUP(A75,Users!A:D,2,FALSE)</f>
        <v xml:space="preserve">Richard </v>
      </c>
      <c r="C75" s="29" t="str">
        <f>VLOOKUP(A75,Users!A:D,3,FALSE)</f>
        <v>Segal</v>
      </c>
      <c r="F75" s="1" cm="1">
        <f t="array" ref="F75">MAX(_xlfn._xlws.FILTER(Visits!U:U,Visits!E:E='User Engagement'!A75))</f>
        <v>45442</v>
      </c>
      <c r="G75">
        <f>COUNTIF(Visits!$E$2:$E$995,'User Engagement'!$A75)</f>
        <v>1</v>
      </c>
      <c r="H75">
        <f>COUNTIFS(Visits!$E$2:$E$995,'User Engagement'!$A76,Visits!$U$2:$U$995,"&gt;"&amp;($B$1-7))</f>
        <v>0</v>
      </c>
      <c r="I75">
        <f>COUNTIFS(Visits!$E$2:$E$995,'User Engagement'!$A75,Visits!$U$2:$U$995,"&gt;"&amp;($B$1-30))</f>
        <v>0</v>
      </c>
      <c r="J75">
        <f>COUNTIFS(Visits!$E$2:$E$995,$A75,Visits!$U$2:$U$995,"&gt;"&amp;($B$1-60))-I75</f>
        <v>1</v>
      </c>
      <c r="K75">
        <f>COUNTIFS(Visits!$V:$V,'New Dashboard'!$A$22,Visits!$E:$E,'User Engagement'!$A75)</f>
        <v>0</v>
      </c>
      <c r="L75">
        <f>COUNTIFS(Visits!$V:$V,'New Dashboard'!$A$23,Visits!$E:$E,'User Engagement'!$A75)</f>
        <v>1</v>
      </c>
      <c r="M75">
        <f>COUNTIFS(Visits!$V:$V,'New Dashboard'!$A$24,Visits!$E:$E,'User Engagement'!$A75)</f>
        <v>0</v>
      </c>
      <c r="N75">
        <f>COUNTIFS(Visits!$V:$V,'New Dashboard'!$A$25,Visits!$E:$E,'User Engagement'!$A75)</f>
        <v>0</v>
      </c>
      <c r="O75">
        <f t="shared" si="14"/>
        <v>0</v>
      </c>
      <c r="P75">
        <f t="shared" si="15"/>
        <v>0</v>
      </c>
      <c r="Q75">
        <f t="shared" si="13"/>
        <v>1</v>
      </c>
      <c r="R75">
        <f t="shared" si="10"/>
        <v>0</v>
      </c>
      <c r="S75" s="5">
        <f>SUMIF(Visits!$E$2:$E$89,'User Engagement'!$A75,Visits!$L$2:$L$89)</f>
        <v>0</v>
      </c>
      <c r="T75" s="5">
        <f>SUMIFS(Visits!$L$2:$L$89,Visits!$E$2:$E$89,'User Engagement'!$A75,Visits!$U$2:$U$89,"&gt;3/28/24")</f>
        <v>0</v>
      </c>
      <c r="U75" s="19">
        <f t="shared" si="11"/>
        <v>0</v>
      </c>
      <c r="V75" s="19" t="str">
        <f t="shared" si="12"/>
        <v>n/a</v>
      </c>
    </row>
    <row r="76" spans="1:22" ht="16" x14ac:dyDescent="0.2">
      <c r="A76" t="str">
        <f>Users!A74</f>
        <v>roberthchapman@hotmail.com</v>
      </c>
      <c r="B76" s="29" t="str">
        <f>VLOOKUP(A76,Users!A:D,2,FALSE)</f>
        <v>Robert</v>
      </c>
      <c r="C76" s="29" t="str">
        <f>VLOOKUP(A76,Users!A:D,3,FALSE)</f>
        <v>Chapman</v>
      </c>
      <c r="F76" s="1" t="e" cm="1">
        <f t="array" ref="F76">MAX(_xlfn._xlws.FILTER(Visits!U:U,Visits!E:E='User Engagement'!A76))</f>
        <v>#N/A</v>
      </c>
      <c r="G76">
        <f>COUNTIF(Visits!$E$2:$E$995,'User Engagement'!$A76)</f>
        <v>9</v>
      </c>
      <c r="H76">
        <f>COUNTIFS(Visits!$E$2:$E$995,'User Engagement'!$A77,Visits!$U$2:$U$995,"&gt;"&amp;($B$1-7))</f>
        <v>0</v>
      </c>
      <c r="I76">
        <f>COUNTIFS(Visits!$E$2:$E$995,'User Engagement'!$A76,Visits!$U$2:$U$995,"&gt;"&amp;($B$1-30))</f>
        <v>2</v>
      </c>
      <c r="J76">
        <f>COUNTIFS(Visits!$E$2:$E$995,$A76,Visits!$U$2:$U$995,"&gt;"&amp;($B$1-60))-I76</f>
        <v>0</v>
      </c>
      <c r="K76">
        <f>COUNTIFS(Visits!$V:$V,'New Dashboard'!$A$22,Visits!$E:$E,'User Engagement'!$A76)</f>
        <v>2</v>
      </c>
      <c r="L76">
        <f>COUNTIFS(Visits!$V:$V,'New Dashboard'!$A$23,Visits!$E:$E,'User Engagement'!$A76)</f>
        <v>0</v>
      </c>
      <c r="M76">
        <f>COUNTIFS(Visits!$V:$V,'New Dashboard'!$A$24,Visits!$E:$E,'User Engagement'!$A76)</f>
        <v>2</v>
      </c>
      <c r="N76">
        <f>COUNTIFS(Visits!$V:$V,'New Dashboard'!$A$25,Visits!$E:$E,'User Engagement'!$A76)</f>
        <v>2</v>
      </c>
      <c r="O76">
        <f t="shared" si="14"/>
        <v>0</v>
      </c>
      <c r="P76">
        <f t="shared" si="15"/>
        <v>1</v>
      </c>
      <c r="Q76">
        <f t="shared" si="13"/>
        <v>0</v>
      </c>
      <c r="R76">
        <f t="shared" si="10"/>
        <v>0</v>
      </c>
      <c r="S76" s="5">
        <f>SUMIF(Visits!$E$2:$E$89,'User Engagement'!$A76,Visits!$L$2:$L$89)</f>
        <v>52.5</v>
      </c>
      <c r="T76" s="5">
        <f>SUMIFS(Visits!$L$2:$L$89,Visits!$E$2:$E$89,'User Engagement'!$A76,Visits!$U$2:$U$89,"&gt;3/28/24")</f>
        <v>20</v>
      </c>
      <c r="U76" s="19">
        <f t="shared" si="11"/>
        <v>5.833333333333333</v>
      </c>
      <c r="V76" s="19">
        <f t="shared" si="12"/>
        <v>10</v>
      </c>
    </row>
    <row r="77" spans="1:22" ht="16" x14ac:dyDescent="0.2">
      <c r="A77" t="str">
        <f>Users!A75</f>
        <v>tendulkar.rohini@gmail.com</v>
      </c>
      <c r="B77" s="29" t="str">
        <f>VLOOKUP(A77,Users!A:D,2,FALSE)</f>
        <v>Rohini</v>
      </c>
      <c r="C77" s="29" t="str">
        <f>VLOOKUP(A77,Users!A:D,3,FALSE)</f>
        <v>Tendulkar</v>
      </c>
      <c r="F77" s="1" t="e" cm="1">
        <f t="array" ref="F77">MAX(_xlfn._xlws.FILTER(Visits!U:U,Visits!E:E='User Engagement'!A77))</f>
        <v>#N/A</v>
      </c>
      <c r="G77">
        <f>COUNTIF(Visits!$E$2:$E$995,'User Engagement'!$A77)</f>
        <v>8</v>
      </c>
      <c r="H77">
        <f>COUNTIFS(Visits!$E$2:$E$995,'User Engagement'!$A78,Visits!$U$2:$U$995,"&gt;"&amp;($B$1-7))</f>
        <v>0</v>
      </c>
      <c r="I77">
        <f>COUNTIFS(Visits!$E$2:$E$995,'User Engagement'!$A77,Visits!$U$2:$U$995,"&gt;"&amp;($B$1-30))</f>
        <v>1</v>
      </c>
      <c r="J77">
        <f>COUNTIFS(Visits!$E$2:$E$995,$A77,Visits!$U$2:$U$995,"&gt;"&amp;($B$1-60))-I77</f>
        <v>2</v>
      </c>
      <c r="K77">
        <f>COUNTIFS(Visits!$V:$V,'New Dashboard'!$A$22,Visits!$E:$E,'User Engagement'!$A77)</f>
        <v>1</v>
      </c>
      <c r="L77">
        <f>COUNTIFS(Visits!$V:$V,'New Dashboard'!$A$23,Visits!$E:$E,'User Engagement'!$A77)</f>
        <v>2</v>
      </c>
      <c r="M77">
        <f>COUNTIFS(Visits!$V:$V,'New Dashboard'!$A$24,Visits!$E:$E,'User Engagement'!$A77)</f>
        <v>2</v>
      </c>
      <c r="N77">
        <f>COUNTIFS(Visits!$V:$V,'New Dashboard'!$A$25,Visits!$E:$E,'User Engagement'!$A77)</f>
        <v>1</v>
      </c>
      <c r="O77">
        <f t="shared" si="14"/>
        <v>0</v>
      </c>
      <c r="P77">
        <f t="shared" si="15"/>
        <v>1</v>
      </c>
      <c r="Q77">
        <f t="shared" si="13"/>
        <v>1</v>
      </c>
      <c r="R77">
        <f t="shared" si="10"/>
        <v>0</v>
      </c>
      <c r="S77" s="5">
        <f>SUMIF(Visits!$E$2:$E$89,'User Engagement'!$A77,Visits!$L$2:$L$89)</f>
        <v>35</v>
      </c>
      <c r="T77" s="5">
        <f>SUMIFS(Visits!$L$2:$L$89,Visits!$E$2:$E$89,'User Engagement'!$A77,Visits!$U$2:$U$89,"&gt;3/28/24")</f>
        <v>35</v>
      </c>
      <c r="U77" s="19">
        <f t="shared" si="11"/>
        <v>4.375</v>
      </c>
      <c r="V77" s="19">
        <f t="shared" si="12"/>
        <v>35</v>
      </c>
    </row>
    <row r="78" spans="1:22" ht="16" x14ac:dyDescent="0.2">
      <c r="A78" t="str">
        <f>Users!A76</f>
        <v>rowan.bashar@gmail.com</v>
      </c>
      <c r="B78" s="29" t="str">
        <f>VLOOKUP(A78,Users!A:D,2,FALSE)</f>
        <v>Rowan</v>
      </c>
      <c r="C78" s="29" t="str">
        <f>VLOOKUP(A78,Users!A:D,3,FALSE)</f>
        <v>El Atrache</v>
      </c>
      <c r="F78" s="1" cm="1">
        <f t="array" ref="F78">MAX(_xlfn._xlws.FILTER(Visits!U:U,Visits!E:E='User Engagement'!A78))</f>
        <v>45437</v>
      </c>
      <c r="G78">
        <f>COUNTIF(Visits!$E$2:$E$995,'User Engagement'!$A78)</f>
        <v>2</v>
      </c>
      <c r="H78">
        <f>COUNTIFS(Visits!$E$2:$E$995,'User Engagement'!$A79,Visits!$U$2:$U$995,"&gt;"&amp;($B$1-7))</f>
        <v>0</v>
      </c>
      <c r="I78">
        <f>COUNTIFS(Visits!$E$2:$E$995,'User Engagement'!$A78,Visits!$U$2:$U$995,"&gt;"&amp;($B$1-30))</f>
        <v>0</v>
      </c>
      <c r="J78">
        <f>COUNTIFS(Visits!$E$2:$E$995,$A78,Visits!$U$2:$U$995,"&gt;"&amp;($B$1-60))-I78</f>
        <v>1</v>
      </c>
      <c r="K78">
        <f>COUNTIFS(Visits!$V:$V,'New Dashboard'!$A$22,Visits!$E:$E,'User Engagement'!$A78)</f>
        <v>0</v>
      </c>
      <c r="L78">
        <f>COUNTIFS(Visits!$V:$V,'New Dashboard'!$A$23,Visits!$E:$E,'User Engagement'!$A78)</f>
        <v>1</v>
      </c>
      <c r="M78">
        <f>COUNTIFS(Visits!$V:$V,'New Dashboard'!$A$24,Visits!$E:$E,'User Engagement'!$A78)</f>
        <v>1</v>
      </c>
      <c r="N78">
        <f>COUNTIFS(Visits!$V:$V,'New Dashboard'!$A$25,Visits!$E:$E,'User Engagement'!$A78)</f>
        <v>0</v>
      </c>
      <c r="O78">
        <f t="shared" si="14"/>
        <v>0</v>
      </c>
      <c r="P78">
        <f t="shared" si="15"/>
        <v>0</v>
      </c>
      <c r="Q78">
        <f t="shared" si="13"/>
        <v>1</v>
      </c>
      <c r="R78">
        <f t="shared" si="10"/>
        <v>0</v>
      </c>
      <c r="S78" s="5">
        <f>SUMIF(Visits!$E$2:$E$89,'User Engagement'!$A78,Visits!$L$2:$L$89)</f>
        <v>15</v>
      </c>
      <c r="T78" s="5">
        <f>SUMIFS(Visits!$L$2:$L$89,Visits!$E$2:$E$89,'User Engagement'!$A78,Visits!$U$2:$U$89,"&gt;3/28/24")</f>
        <v>15</v>
      </c>
      <c r="U78" s="19">
        <f t="shared" si="11"/>
        <v>7.5</v>
      </c>
      <c r="V78" s="19" t="str">
        <f t="shared" si="12"/>
        <v>n/a</v>
      </c>
    </row>
    <row r="79" spans="1:22" ht="16" x14ac:dyDescent="0.2">
      <c r="A79" t="str">
        <f>Users!A77</f>
        <v>sabinahaytbaeva@gmail.com</v>
      </c>
      <c r="B79" s="29" t="str">
        <f>VLOOKUP(A79,Users!A:D,2,FALSE)</f>
        <v>Sabina</v>
      </c>
      <c r="C79" s="29" t="str">
        <f>VLOOKUP(A79,Users!A:D,3,FALSE)</f>
        <v>Khaytbaeva</v>
      </c>
      <c r="F79" s="1" cm="1">
        <f t="array" ref="F79">MAX(_xlfn._xlws.FILTER(Visits!U:U,Visits!E:E='User Engagement'!A79))</f>
        <v>45442</v>
      </c>
      <c r="G79">
        <f>COUNTIF(Visits!$E$2:$E$995,'User Engagement'!$A79)</f>
        <v>1</v>
      </c>
      <c r="H79">
        <f>COUNTIFS(Visits!$E$2:$E$995,'User Engagement'!$A80,Visits!$U$2:$U$995,"&gt;"&amp;($B$1-7))</f>
        <v>0</v>
      </c>
      <c r="I79">
        <f>COUNTIFS(Visits!$E$2:$E$995,'User Engagement'!$A79,Visits!$U$2:$U$995,"&gt;"&amp;($B$1-30))</f>
        <v>0</v>
      </c>
      <c r="J79">
        <f>COUNTIFS(Visits!$E$2:$E$995,$A79,Visits!$U$2:$U$995,"&gt;"&amp;($B$1-60))-I79</f>
        <v>1</v>
      </c>
      <c r="K79">
        <f>COUNTIFS(Visits!$V:$V,'New Dashboard'!$A$22,Visits!$E:$E,'User Engagement'!$A79)</f>
        <v>0</v>
      </c>
      <c r="L79">
        <f>COUNTIFS(Visits!$V:$V,'New Dashboard'!$A$23,Visits!$E:$E,'User Engagement'!$A79)</f>
        <v>1</v>
      </c>
      <c r="M79">
        <f>COUNTIFS(Visits!$V:$V,'New Dashboard'!$A$24,Visits!$E:$E,'User Engagement'!$A79)</f>
        <v>0</v>
      </c>
      <c r="N79">
        <f>COUNTIFS(Visits!$V:$V,'New Dashboard'!$A$25,Visits!$E:$E,'User Engagement'!$A79)</f>
        <v>0</v>
      </c>
      <c r="O79">
        <f t="shared" si="14"/>
        <v>0</v>
      </c>
      <c r="P79">
        <f t="shared" si="15"/>
        <v>0</v>
      </c>
      <c r="Q79">
        <f t="shared" si="13"/>
        <v>1</v>
      </c>
      <c r="R79">
        <f t="shared" si="10"/>
        <v>0</v>
      </c>
      <c r="S79" s="5">
        <f>SUMIF(Visits!$E$2:$E$89,'User Engagement'!$A79,Visits!$L$2:$L$89)</f>
        <v>0</v>
      </c>
      <c r="T79" s="5">
        <f>SUMIFS(Visits!$L$2:$L$89,Visits!$E$2:$E$89,'User Engagement'!$A79,Visits!$U$2:$U$89,"&gt;3/28/24")</f>
        <v>0</v>
      </c>
      <c r="U79" s="19">
        <f t="shared" si="11"/>
        <v>0</v>
      </c>
      <c r="V79" s="19" t="str">
        <f t="shared" si="12"/>
        <v>n/a</v>
      </c>
    </row>
    <row r="80" spans="1:22" ht="16" x14ac:dyDescent="0.2">
      <c r="A80" t="str">
        <f>Users!A78</f>
        <v>sam.samedzade@gmail.com</v>
      </c>
      <c r="B80" s="29" t="str">
        <f>VLOOKUP(A80,Users!A:D,2,FALSE)</f>
        <v>Samedzade</v>
      </c>
      <c r="C80" s="29" t="str">
        <f>VLOOKUP(A80,Users!A:D,3,FALSE)</f>
        <v>Samed</v>
      </c>
      <c r="F80" s="1" t="e" cm="1">
        <f t="array" ref="F80">MAX(_xlfn._xlws.FILTER(Visits!U:U,Visits!E:E='User Engagement'!A80))</f>
        <v>#N/A</v>
      </c>
      <c r="G80">
        <f>COUNTIF(Visits!$E$2:$E$995,'User Engagement'!$A80)</f>
        <v>3</v>
      </c>
      <c r="H80">
        <f>COUNTIFS(Visits!$E$2:$E$995,'User Engagement'!$A81,Visits!$U$2:$U$995,"&gt;"&amp;($B$1-7))</f>
        <v>0</v>
      </c>
      <c r="I80">
        <f>COUNTIFS(Visits!$E$2:$E$995,'User Engagement'!$A80,Visits!$U$2:$U$995,"&gt;"&amp;($B$1-30))</f>
        <v>0</v>
      </c>
      <c r="J80">
        <f>COUNTIFS(Visits!$E$2:$E$995,$A80,Visits!$U$2:$U$995,"&gt;"&amp;($B$1-60))-I80</f>
        <v>0</v>
      </c>
      <c r="K80">
        <f>COUNTIFS(Visits!$V:$V,'New Dashboard'!$A$22,Visits!$E:$E,'User Engagement'!$A80)</f>
        <v>0</v>
      </c>
      <c r="L80">
        <f>COUNTIFS(Visits!$V:$V,'New Dashboard'!$A$23,Visits!$E:$E,'User Engagement'!$A80)</f>
        <v>0</v>
      </c>
      <c r="M80">
        <f>COUNTIFS(Visits!$V:$V,'New Dashboard'!$A$24,Visits!$E:$E,'User Engagement'!$A80)</f>
        <v>1</v>
      </c>
      <c r="N80">
        <f>COUNTIFS(Visits!$V:$V,'New Dashboard'!$A$25,Visits!$E:$E,'User Engagement'!$A80)</f>
        <v>0</v>
      </c>
      <c r="O80">
        <f t="shared" si="14"/>
        <v>0</v>
      </c>
      <c r="P80">
        <f t="shared" si="15"/>
        <v>0</v>
      </c>
      <c r="Q80">
        <f t="shared" si="13"/>
        <v>0</v>
      </c>
      <c r="R80">
        <f t="shared" si="10"/>
        <v>0</v>
      </c>
      <c r="S80" s="5">
        <f>SUMIF(Visits!$E$2:$E$89,'User Engagement'!$A80,Visits!$L$2:$L$89)</f>
        <v>7.5</v>
      </c>
      <c r="T80" s="5">
        <f>SUMIFS(Visits!$L$2:$L$89,Visits!$E$2:$E$89,'User Engagement'!$A80,Visits!$U$2:$U$89,"&gt;3/28/24")</f>
        <v>7.5</v>
      </c>
      <c r="U80" s="19">
        <f t="shared" si="11"/>
        <v>2.5</v>
      </c>
      <c r="V80" s="19" t="str">
        <f t="shared" si="12"/>
        <v>n/a</v>
      </c>
    </row>
    <row r="81" spans="1:22" ht="16" x14ac:dyDescent="0.2">
      <c r="A81" t="str">
        <f>Users!A79</f>
        <v>khan.saretta@gmail.com</v>
      </c>
      <c r="B81" s="29" t="str">
        <f>VLOOKUP(A81,Users!A:D,2,FALSE)</f>
        <v>Sara</v>
      </c>
      <c r="C81" s="29" t="str">
        <f>VLOOKUP(A81,Users!A:D,3,FALSE)</f>
        <v>Khan</v>
      </c>
      <c r="F81" s="1" t="e" cm="1">
        <f t="array" ref="F81">MAX(_xlfn._xlws.FILTER(Visits!U:U,Visits!E:E='User Engagement'!A81))</f>
        <v>#N/A</v>
      </c>
      <c r="G81">
        <f>COUNTIF(Visits!$E$2:$E$995,'User Engagement'!$A81)</f>
        <v>8</v>
      </c>
      <c r="H81">
        <f>COUNTIFS(Visits!$E$2:$E$995,'User Engagement'!$A82,Visits!$U$2:$U$995,"&gt;"&amp;($B$1-7))</f>
        <v>0</v>
      </c>
      <c r="I81">
        <f>COUNTIFS(Visits!$E$2:$E$995,'User Engagement'!$A81,Visits!$U$2:$U$995,"&gt;"&amp;($B$1-30))</f>
        <v>0</v>
      </c>
      <c r="J81">
        <f>COUNTIFS(Visits!$E$2:$E$995,$A81,Visits!$U$2:$U$995,"&gt;"&amp;($B$1-60))-I81</f>
        <v>2</v>
      </c>
      <c r="K81">
        <f>COUNTIFS(Visits!$V:$V,'New Dashboard'!$A$22,Visits!$E:$E,'User Engagement'!$A81)</f>
        <v>0</v>
      </c>
      <c r="L81">
        <f>COUNTIFS(Visits!$V:$V,'New Dashboard'!$A$23,Visits!$E:$E,'User Engagement'!$A81)</f>
        <v>2</v>
      </c>
      <c r="M81">
        <f>COUNTIFS(Visits!$V:$V,'New Dashboard'!$A$24,Visits!$E:$E,'User Engagement'!$A81)</f>
        <v>2</v>
      </c>
      <c r="N81">
        <f>COUNTIFS(Visits!$V:$V,'New Dashboard'!$A$25,Visits!$E:$E,'User Engagement'!$A81)</f>
        <v>0</v>
      </c>
      <c r="O81">
        <f t="shared" si="14"/>
        <v>0</v>
      </c>
      <c r="P81">
        <f t="shared" si="15"/>
        <v>0</v>
      </c>
      <c r="Q81">
        <f t="shared" si="13"/>
        <v>1</v>
      </c>
      <c r="R81">
        <f t="shared" si="10"/>
        <v>0</v>
      </c>
      <c r="S81" s="5">
        <f>SUMIF(Visits!$E$2:$E$89,'User Engagement'!$A81,Visits!$L$2:$L$89)</f>
        <v>35</v>
      </c>
      <c r="T81" s="5">
        <f>SUMIFS(Visits!$L$2:$L$89,Visits!$E$2:$E$89,'User Engagement'!$A81,Visits!$U$2:$U$89,"&gt;3/28/24")</f>
        <v>25</v>
      </c>
      <c r="U81" s="19">
        <f t="shared" si="11"/>
        <v>4.375</v>
      </c>
      <c r="V81" s="19" t="str">
        <f t="shared" si="12"/>
        <v>n/a</v>
      </c>
    </row>
    <row r="82" spans="1:22" ht="16" x14ac:dyDescent="0.2">
      <c r="A82" t="str">
        <f>Users!A80</f>
        <v>scottrgilbert@hotmail.com</v>
      </c>
      <c r="B82" s="29" t="str">
        <f>VLOOKUP(A82,Users!A:D,2,FALSE)</f>
        <v>Scott</v>
      </c>
      <c r="C82" s="29" t="str">
        <f>VLOOKUP(A82,Users!A:D,3,FALSE)</f>
        <v>Gilbert</v>
      </c>
      <c r="F82" s="1" t="e" cm="1" vm="1">
        <f t="array" ref="F82">MAX(_xlfn._xlws.FILTER(Visits!U:U,Visits!E:E='User Engagement'!A82))</f>
        <v>#VALUE!</v>
      </c>
      <c r="G82">
        <f>COUNTIF(Visits!$E$2:$E$995,'User Engagement'!$A82)</f>
        <v>0</v>
      </c>
      <c r="H82">
        <f>COUNTIFS(Visits!$E$2:$E$995,'User Engagement'!$A83,Visits!$U$2:$U$995,"&gt;"&amp;($B$1-7))</f>
        <v>0</v>
      </c>
      <c r="I82">
        <f>COUNTIFS(Visits!$E$2:$E$995,'User Engagement'!$A82,Visits!$U$2:$U$995,"&gt;"&amp;($B$1-30))</f>
        <v>0</v>
      </c>
      <c r="J82">
        <f>COUNTIFS(Visits!$E$2:$E$995,$A82,Visits!$U$2:$U$995,"&gt;"&amp;($B$1-60))-I82</f>
        <v>0</v>
      </c>
      <c r="K82">
        <f>COUNTIFS(Visits!$V:$V,'New Dashboard'!$A$22,Visits!$E:$E,'User Engagement'!$A82)</f>
        <v>0</v>
      </c>
      <c r="L82">
        <f>COUNTIFS(Visits!$V:$V,'New Dashboard'!$A$23,Visits!$E:$E,'User Engagement'!$A82)</f>
        <v>0</v>
      </c>
      <c r="M82">
        <f>COUNTIFS(Visits!$V:$V,'New Dashboard'!$A$24,Visits!$E:$E,'User Engagement'!$A82)</f>
        <v>0</v>
      </c>
      <c r="N82">
        <f>COUNTIFS(Visits!$V:$V,'New Dashboard'!$A$25,Visits!$E:$E,'User Engagement'!$A82)</f>
        <v>0</v>
      </c>
      <c r="O82">
        <f t="shared" si="14"/>
        <v>1</v>
      </c>
      <c r="P82">
        <f t="shared" si="15"/>
        <v>0</v>
      </c>
      <c r="Q82">
        <f t="shared" si="13"/>
        <v>0</v>
      </c>
      <c r="R82">
        <f t="shared" si="10"/>
        <v>0</v>
      </c>
      <c r="S82" s="5">
        <f>SUMIF(Visits!$E$2:$E$89,'User Engagement'!$A82,Visits!$L$2:$L$89)</f>
        <v>0</v>
      </c>
      <c r="T82" s="5">
        <f>SUMIFS(Visits!$L$2:$L$89,Visits!$E$2:$E$89,'User Engagement'!$A82,Visits!$U$2:$U$89,"&gt;3/28/24")</f>
        <v>0</v>
      </c>
      <c r="U82" s="19" t="e">
        <f t="shared" si="11"/>
        <v>#DIV/0!</v>
      </c>
      <c r="V82" s="19" t="str">
        <f t="shared" si="12"/>
        <v>n/a</v>
      </c>
    </row>
    <row r="83" spans="1:22" ht="16" x14ac:dyDescent="0.2">
      <c r="A83" t="str">
        <f>Users!A81</f>
        <v>kittyor.or@gmail.com</v>
      </c>
      <c r="B83" s="29" t="str">
        <f>VLOOKUP(A83,Users!A:D,2,FALSE)</f>
        <v>Serena</v>
      </c>
      <c r="C83" s="29" t="str">
        <f>VLOOKUP(A83,Users!A:D,3,FALSE)</f>
        <v>Or</v>
      </c>
      <c r="F83" s="1" t="e" cm="1">
        <f t="array" ref="F83">MAX(_xlfn._xlws.FILTER(Visits!U:U,Visits!E:E='User Engagement'!A83))</f>
        <v>#N/A</v>
      </c>
      <c r="G83">
        <f>COUNTIF(Visits!$E$2:$E$995,'User Engagement'!$A83)</f>
        <v>2</v>
      </c>
      <c r="H83">
        <f>COUNTIFS(Visits!$E$2:$E$995,'User Engagement'!$A84,Visits!$U$2:$U$995,"&gt;"&amp;($B$1-7))</f>
        <v>0</v>
      </c>
      <c r="I83">
        <f>COUNTIFS(Visits!$E$2:$E$995,'User Engagement'!$A83,Visits!$U$2:$U$995,"&gt;"&amp;($B$1-30))</f>
        <v>0</v>
      </c>
      <c r="J83">
        <f>COUNTIFS(Visits!$E$2:$E$995,$A83,Visits!$U$2:$U$995,"&gt;"&amp;($B$1-60))-I83</f>
        <v>1</v>
      </c>
      <c r="K83">
        <f>COUNTIFS(Visits!$V:$V,'New Dashboard'!$A$22,Visits!$E:$E,'User Engagement'!$A83)</f>
        <v>0</v>
      </c>
      <c r="L83">
        <f>COUNTIFS(Visits!$V:$V,'New Dashboard'!$A$23,Visits!$E:$E,'User Engagement'!$A83)</f>
        <v>1</v>
      </c>
      <c r="M83">
        <f>COUNTIFS(Visits!$V:$V,'New Dashboard'!$A$24,Visits!$E:$E,'User Engagement'!$A83)</f>
        <v>0</v>
      </c>
      <c r="N83">
        <f>COUNTIFS(Visits!$V:$V,'New Dashboard'!$A$25,Visits!$E:$E,'User Engagement'!$A83)</f>
        <v>0</v>
      </c>
      <c r="O83">
        <f t="shared" si="14"/>
        <v>0</v>
      </c>
      <c r="P83">
        <f t="shared" si="15"/>
        <v>0</v>
      </c>
      <c r="Q83">
        <f t="shared" si="13"/>
        <v>1</v>
      </c>
      <c r="R83">
        <f t="shared" si="10"/>
        <v>0</v>
      </c>
      <c r="S83" s="5">
        <f>SUMIF(Visits!$E$2:$E$89,'User Engagement'!$A83,Visits!$L$2:$L$89)</f>
        <v>5</v>
      </c>
      <c r="T83" s="5">
        <f>SUMIFS(Visits!$L$2:$L$89,Visits!$E$2:$E$89,'User Engagement'!$A83,Visits!$U$2:$U$89,"&gt;3/28/24")</f>
        <v>0</v>
      </c>
      <c r="U83" s="19">
        <f t="shared" si="11"/>
        <v>2.5</v>
      </c>
      <c r="V83" s="19" t="str">
        <f t="shared" si="12"/>
        <v>n/a</v>
      </c>
    </row>
    <row r="84" spans="1:22" ht="16" x14ac:dyDescent="0.2">
      <c r="A84" t="str">
        <f>Users!A82</f>
        <v>shaysteele2017@gmail.com</v>
      </c>
      <c r="B84" s="29" t="str">
        <f>VLOOKUP(A84,Users!A:D,2,FALSE)</f>
        <v>Shay</v>
      </c>
      <c r="C84" s="29" t="str">
        <f>VLOOKUP(A84,Users!A:D,3,FALSE)</f>
        <v>Steele</v>
      </c>
      <c r="F84" s="1" t="e" cm="1">
        <f t="array" ref="F84">MAX(_xlfn._xlws.FILTER(Visits!U:U,Visits!E:E='User Engagement'!A84))</f>
        <v>#N/A</v>
      </c>
      <c r="G84">
        <f>COUNTIF(Visits!$E$2:$E$995,'User Engagement'!$A84)</f>
        <v>6</v>
      </c>
      <c r="H84">
        <f>COUNTIFS(Visits!$E$2:$E$995,'User Engagement'!$A85,Visits!$U$2:$U$995,"&gt;"&amp;($B$1-7))</f>
        <v>0</v>
      </c>
      <c r="I84">
        <f>COUNTIFS(Visits!$E$2:$E$995,'User Engagement'!$A84,Visits!$U$2:$U$995,"&gt;"&amp;($B$1-30))</f>
        <v>2</v>
      </c>
      <c r="J84">
        <f>COUNTIFS(Visits!$E$2:$E$995,$A84,Visits!$U$2:$U$995,"&gt;"&amp;($B$1-60))-I84</f>
        <v>1</v>
      </c>
      <c r="K84">
        <f>COUNTIFS(Visits!$V:$V,'New Dashboard'!$A$22,Visits!$E:$E,'User Engagement'!$A84)</f>
        <v>2</v>
      </c>
      <c r="L84">
        <f>COUNTIFS(Visits!$V:$V,'New Dashboard'!$A$23,Visits!$E:$E,'User Engagement'!$A84)</f>
        <v>1</v>
      </c>
      <c r="M84">
        <f>COUNTIFS(Visits!$V:$V,'New Dashboard'!$A$24,Visits!$E:$E,'User Engagement'!$A84)</f>
        <v>0</v>
      </c>
      <c r="N84">
        <f>COUNTIFS(Visits!$V:$V,'New Dashboard'!$A$25,Visits!$E:$E,'User Engagement'!$A84)</f>
        <v>0</v>
      </c>
      <c r="O84">
        <f t="shared" si="14"/>
        <v>0</v>
      </c>
      <c r="P84">
        <f t="shared" si="15"/>
        <v>1</v>
      </c>
      <c r="Q84">
        <f t="shared" si="13"/>
        <v>1</v>
      </c>
      <c r="R84">
        <f t="shared" si="10"/>
        <v>0</v>
      </c>
      <c r="S84" s="5">
        <f>SUMIF(Visits!$E$2:$E$89,'User Engagement'!$A84,Visits!$L$2:$L$89)</f>
        <v>7.5</v>
      </c>
      <c r="T84" s="5">
        <f>SUMIFS(Visits!$L$2:$L$89,Visits!$E$2:$E$89,'User Engagement'!$A84,Visits!$U$2:$U$89,"&gt;3/28/24")</f>
        <v>0</v>
      </c>
      <c r="U84" s="19">
        <f t="shared" si="11"/>
        <v>1.25</v>
      </c>
      <c r="V84" s="19">
        <f t="shared" si="12"/>
        <v>0</v>
      </c>
    </row>
    <row r="85" spans="1:22" ht="16" x14ac:dyDescent="0.2">
      <c r="A85" t="str">
        <f>Users!A83</f>
        <v>shlimbc2@gmail.com</v>
      </c>
      <c r="B85" s="29" t="str">
        <f>VLOOKUP(A85,Users!A:D,2,FALSE)</f>
        <v>Shay</v>
      </c>
      <c r="C85" s="29" t="str">
        <f>VLOOKUP(A85,Users!A:D,3,FALSE)</f>
        <v>Lim</v>
      </c>
      <c r="F85" s="1" t="e" cm="1">
        <f t="array" ref="F85">MAX(_xlfn._xlws.FILTER(Visits!U:U,Visits!E:E='User Engagement'!A85))</f>
        <v>#N/A</v>
      </c>
      <c r="G85">
        <f>COUNTIF(Visits!$E$2:$E$995,'User Engagement'!$A85)</f>
        <v>2</v>
      </c>
      <c r="H85">
        <f>COUNTIFS(Visits!$E$2:$E$995,'User Engagement'!$A86,Visits!$U$2:$U$995,"&gt;"&amp;($B$1-7))</f>
        <v>0</v>
      </c>
      <c r="I85">
        <f>COUNTIFS(Visits!$E$2:$E$995,'User Engagement'!$A85,Visits!$U$2:$U$995,"&gt;"&amp;($B$1-30))</f>
        <v>0</v>
      </c>
      <c r="J85">
        <f>COUNTIFS(Visits!$E$2:$E$995,$A85,Visits!$U$2:$U$995,"&gt;"&amp;($B$1-60))-I85</f>
        <v>0</v>
      </c>
      <c r="K85">
        <f>COUNTIFS(Visits!$V:$V,'New Dashboard'!$A$22,Visits!$E:$E,'User Engagement'!$A85)</f>
        <v>0</v>
      </c>
      <c r="L85">
        <f>COUNTIFS(Visits!$V:$V,'New Dashboard'!$A$23,Visits!$E:$E,'User Engagement'!$A85)</f>
        <v>0</v>
      </c>
      <c r="M85">
        <f>COUNTIFS(Visits!$V:$V,'New Dashboard'!$A$24,Visits!$E:$E,'User Engagement'!$A85)</f>
        <v>0</v>
      </c>
      <c r="N85">
        <f>COUNTIFS(Visits!$V:$V,'New Dashboard'!$A$25,Visits!$E:$E,'User Engagement'!$A85)</f>
        <v>0</v>
      </c>
      <c r="O85">
        <f t="shared" si="14"/>
        <v>0</v>
      </c>
      <c r="P85">
        <f t="shared" si="15"/>
        <v>0</v>
      </c>
      <c r="Q85">
        <f t="shared" si="13"/>
        <v>0</v>
      </c>
      <c r="R85">
        <f t="shared" si="10"/>
        <v>0</v>
      </c>
      <c r="S85" s="5">
        <f>SUMIF(Visits!$E$2:$E$89,'User Engagement'!$A85,Visits!$L$2:$L$89)</f>
        <v>0</v>
      </c>
      <c r="T85" s="5">
        <f>SUMIFS(Visits!$L$2:$L$89,Visits!$E$2:$E$89,'User Engagement'!$A85,Visits!$U$2:$U$89,"&gt;3/28/24")</f>
        <v>0</v>
      </c>
      <c r="U85" s="19">
        <f t="shared" si="11"/>
        <v>0</v>
      </c>
      <c r="V85" s="19" t="str">
        <f t="shared" si="12"/>
        <v>n/a</v>
      </c>
    </row>
    <row r="86" spans="1:22" ht="16" x14ac:dyDescent="0.2">
      <c r="A86" t="str">
        <f>Users!A84</f>
        <v>scribu@gmail.com</v>
      </c>
      <c r="B86" s="29" t="str">
        <f>VLOOKUP(A86,Users!A:D,2,FALSE)</f>
        <v>Silviu</v>
      </c>
      <c r="C86" s="29" t="str">
        <f>VLOOKUP(A86,Users!A:D,3,FALSE)</f>
        <v>Burca</v>
      </c>
      <c r="F86" s="1" cm="1">
        <f t="array" ref="F86">MAX(_xlfn._xlws.FILTER(Visits!U:U,Visits!E:E='User Engagement'!A86))</f>
        <v>45381</v>
      </c>
      <c r="G86">
        <f>COUNTIF(Visits!$E$2:$E$995,'User Engagement'!$A86)</f>
        <v>1</v>
      </c>
      <c r="H86">
        <f>COUNTIFS(Visits!$E$2:$E$995,'User Engagement'!$A87,Visits!$U$2:$U$995,"&gt;"&amp;($B$1-7))</f>
        <v>0</v>
      </c>
      <c r="I86">
        <f>COUNTIFS(Visits!$E$2:$E$995,'User Engagement'!$A86,Visits!$U$2:$U$995,"&gt;"&amp;($B$1-30))</f>
        <v>0</v>
      </c>
      <c r="J86">
        <f>COUNTIFS(Visits!$E$2:$E$995,$A86,Visits!$U$2:$U$995,"&gt;"&amp;($B$1-60))-I86</f>
        <v>0</v>
      </c>
      <c r="K86">
        <f>COUNTIFS(Visits!$V:$V,'New Dashboard'!$A$22,Visits!$E:$E,'User Engagement'!$A86)</f>
        <v>0</v>
      </c>
      <c r="L86">
        <f>COUNTIFS(Visits!$V:$V,'New Dashboard'!$A$23,Visits!$E:$E,'User Engagement'!$A86)</f>
        <v>0</v>
      </c>
      <c r="M86">
        <f>COUNTIFS(Visits!$V:$V,'New Dashboard'!$A$24,Visits!$E:$E,'User Engagement'!$A86)</f>
        <v>0</v>
      </c>
      <c r="N86">
        <f>COUNTIFS(Visits!$V:$V,'New Dashboard'!$A$25,Visits!$E:$E,'User Engagement'!$A86)</f>
        <v>1</v>
      </c>
      <c r="O86">
        <f t="shared" si="14"/>
        <v>0</v>
      </c>
      <c r="P86">
        <f t="shared" si="15"/>
        <v>0</v>
      </c>
      <c r="Q86">
        <f t="shared" si="13"/>
        <v>0</v>
      </c>
      <c r="R86">
        <f t="shared" si="10"/>
        <v>0</v>
      </c>
      <c r="S86" s="5">
        <f>SUMIF(Visits!$E$2:$E$89,'User Engagement'!$A86,Visits!$L$2:$L$89)</f>
        <v>5</v>
      </c>
      <c r="T86" s="5">
        <f>SUMIFS(Visits!$L$2:$L$89,Visits!$E$2:$E$89,'User Engagement'!$A86,Visits!$U$2:$U$89,"&gt;3/28/24")</f>
        <v>5</v>
      </c>
      <c r="U86" s="19">
        <f t="shared" si="11"/>
        <v>5</v>
      </c>
      <c r="V86" s="19" t="str">
        <f t="shared" si="12"/>
        <v>n/a</v>
      </c>
    </row>
    <row r="87" spans="1:22" ht="16" x14ac:dyDescent="0.2">
      <c r="A87" t="str">
        <f>Users!A85</f>
        <v>simon.brk@gmail.com</v>
      </c>
      <c r="B87" s="29" t="str">
        <f>VLOOKUP(A87,Users!A:D,2,FALSE)</f>
        <v>Simon</v>
      </c>
      <c r="C87" s="29" t="str">
        <f>VLOOKUP(A87,Users!A:D,3,FALSE)</f>
        <v>Bourke</v>
      </c>
      <c r="F87" s="1" cm="1">
        <f t="array" ref="F87">MAX(_xlfn._xlws.FILTER(Visits!U:U,Visits!E:E='User Engagement'!A87))</f>
        <v>45445</v>
      </c>
      <c r="G87">
        <f>COUNTIF(Visits!$E$2:$E$995,'User Engagement'!$A87)</f>
        <v>1</v>
      </c>
      <c r="H87">
        <f>COUNTIFS(Visits!$E$2:$E$995,'User Engagement'!$A88,Visits!$U$2:$U$995,"&gt;"&amp;($B$1-7))</f>
        <v>0</v>
      </c>
      <c r="I87">
        <f>COUNTIFS(Visits!$E$2:$E$995,'User Engagement'!$A87,Visits!$U$2:$U$995,"&gt;"&amp;($B$1-30))</f>
        <v>1</v>
      </c>
      <c r="J87">
        <f>COUNTIFS(Visits!$E$2:$E$995,$A87,Visits!$U$2:$U$995,"&gt;"&amp;($B$1-60))-I87</f>
        <v>0</v>
      </c>
      <c r="K87">
        <f>COUNTIFS(Visits!$V:$V,'New Dashboard'!$A$22,Visits!$E:$E,'User Engagement'!$A87)</f>
        <v>1</v>
      </c>
      <c r="L87">
        <f>COUNTIFS(Visits!$V:$V,'New Dashboard'!$A$23,Visits!$E:$E,'User Engagement'!$A87)</f>
        <v>0</v>
      </c>
      <c r="M87">
        <f>COUNTIFS(Visits!$V:$V,'New Dashboard'!$A$24,Visits!$E:$E,'User Engagement'!$A87)</f>
        <v>0</v>
      </c>
      <c r="N87">
        <f>COUNTIFS(Visits!$V:$V,'New Dashboard'!$A$25,Visits!$E:$E,'User Engagement'!$A87)</f>
        <v>0</v>
      </c>
      <c r="O87">
        <f t="shared" si="14"/>
        <v>0</v>
      </c>
      <c r="P87">
        <f t="shared" si="15"/>
        <v>1</v>
      </c>
      <c r="Q87">
        <f t="shared" si="13"/>
        <v>0</v>
      </c>
      <c r="R87">
        <f t="shared" si="10"/>
        <v>0</v>
      </c>
      <c r="S87" s="5">
        <f>SUMIF(Visits!$E$2:$E$89,'User Engagement'!$A87,Visits!$L$2:$L$89)</f>
        <v>0</v>
      </c>
      <c r="T87" s="5">
        <f>SUMIFS(Visits!$L$2:$L$89,Visits!$E$2:$E$89,'User Engagement'!$A87,Visits!$U$2:$U$89,"&gt;3/28/24")</f>
        <v>0</v>
      </c>
      <c r="U87" s="19">
        <f t="shared" si="11"/>
        <v>0</v>
      </c>
      <c r="V87" s="19">
        <f t="shared" si="12"/>
        <v>0</v>
      </c>
    </row>
    <row r="88" spans="1:22" ht="16" x14ac:dyDescent="0.2">
      <c r="A88" t="str">
        <f>Users!A86</f>
        <v>simon88e@yahoo.com</v>
      </c>
      <c r="B88" s="29" t="str">
        <f>VLOOKUP(A88,Users!A:D,2,FALSE)</f>
        <v>Simona</v>
      </c>
      <c r="C88" s="29" t="str">
        <f>VLOOKUP(A88,Users!A:D,3,FALSE)</f>
        <v>Vicol</v>
      </c>
      <c r="F88" s="1" cm="1">
        <f t="array" ref="F88">MAX(_xlfn._xlws.FILTER(Visits!U:U,Visits!E:E='User Engagement'!A88))</f>
        <v>45381</v>
      </c>
      <c r="G88">
        <f>COUNTIF(Visits!$E$2:$E$995,'User Engagement'!$A88)</f>
        <v>1</v>
      </c>
      <c r="H88">
        <f>COUNTIFS(Visits!$E$2:$E$995,'User Engagement'!$A89,Visits!$U$2:$U$995,"&gt;"&amp;($B$1-7))</f>
        <v>0</v>
      </c>
      <c r="I88">
        <f>COUNTIFS(Visits!$E$2:$E$995,'User Engagement'!$A88,Visits!$U$2:$U$995,"&gt;"&amp;($B$1-30))</f>
        <v>0</v>
      </c>
      <c r="J88">
        <f>COUNTIFS(Visits!$E$2:$E$995,$A88,Visits!$U$2:$U$995,"&gt;"&amp;($B$1-60))-I88</f>
        <v>0</v>
      </c>
      <c r="K88">
        <f>COUNTIFS(Visits!$V:$V,'New Dashboard'!$A$22,Visits!$E:$E,'User Engagement'!$A88)</f>
        <v>0</v>
      </c>
      <c r="L88">
        <f>COUNTIFS(Visits!$V:$V,'New Dashboard'!$A$23,Visits!$E:$E,'User Engagement'!$A88)</f>
        <v>0</v>
      </c>
      <c r="M88">
        <f>COUNTIFS(Visits!$V:$V,'New Dashboard'!$A$24,Visits!$E:$E,'User Engagement'!$A88)</f>
        <v>0</v>
      </c>
      <c r="N88">
        <f>COUNTIFS(Visits!$V:$V,'New Dashboard'!$A$25,Visits!$E:$E,'User Engagement'!$A88)</f>
        <v>1</v>
      </c>
      <c r="O88">
        <f t="shared" si="14"/>
        <v>0</v>
      </c>
      <c r="P88">
        <f t="shared" si="15"/>
        <v>0</v>
      </c>
      <c r="Q88">
        <f t="shared" si="13"/>
        <v>0</v>
      </c>
      <c r="R88">
        <f t="shared" si="10"/>
        <v>0</v>
      </c>
      <c r="S88" s="5">
        <f>SUMIF(Visits!$E$2:$E$89,'User Engagement'!$A88,Visits!$L$2:$L$89)</f>
        <v>5</v>
      </c>
      <c r="T88" s="5">
        <f>SUMIFS(Visits!$L$2:$L$89,Visits!$E$2:$E$89,'User Engagement'!$A88,Visits!$U$2:$U$89,"&gt;3/28/24")</f>
        <v>5</v>
      </c>
      <c r="U88" s="19">
        <f t="shared" si="11"/>
        <v>5</v>
      </c>
      <c r="V88" s="19" t="str">
        <f t="shared" si="12"/>
        <v>n/a</v>
      </c>
    </row>
    <row r="89" spans="1:22" ht="16" x14ac:dyDescent="0.2">
      <c r="A89" t="str">
        <f>Users!A87</f>
        <v>sophia.shemlugu@gmail.com</v>
      </c>
      <c r="B89" s="29" t="str">
        <f>VLOOKUP(A89,Users!A:D,2,FALSE)</f>
        <v>Sophia</v>
      </c>
      <c r="C89" s="29" t="str">
        <f>VLOOKUP(A89,Users!A:D,3,FALSE)</f>
        <v>Shemlugu</v>
      </c>
      <c r="F89" s="1" cm="1">
        <f t="array" ref="F89">MAX(_xlfn._xlws.FILTER(Visits!U:U,Visits!E:E='User Engagement'!A89))</f>
        <v>45386</v>
      </c>
      <c r="G89">
        <f>COUNTIF(Visits!$E$2:$E$995,'User Engagement'!$A89)</f>
        <v>1</v>
      </c>
      <c r="H89">
        <f>COUNTIFS(Visits!$E$2:$E$995,'User Engagement'!$A90,Visits!$U$2:$U$995,"&gt;"&amp;($B$1-7))</f>
        <v>0</v>
      </c>
      <c r="I89">
        <f>COUNTIFS(Visits!$E$2:$E$995,'User Engagement'!$A89,Visits!$U$2:$U$995,"&gt;"&amp;($B$1-30))</f>
        <v>0</v>
      </c>
      <c r="J89">
        <f>COUNTIFS(Visits!$E$2:$E$995,$A89,Visits!$U$2:$U$995,"&gt;"&amp;($B$1-60))-I89</f>
        <v>0</v>
      </c>
      <c r="K89">
        <f>COUNTIFS(Visits!$V:$V,'New Dashboard'!$A$22,Visits!$E:$E,'User Engagement'!$A89)</f>
        <v>0</v>
      </c>
      <c r="L89">
        <f>COUNTIFS(Visits!$V:$V,'New Dashboard'!$A$23,Visits!$E:$E,'User Engagement'!$A89)</f>
        <v>0</v>
      </c>
      <c r="M89">
        <f>COUNTIFS(Visits!$V:$V,'New Dashboard'!$A$24,Visits!$E:$E,'User Engagement'!$A89)</f>
        <v>1</v>
      </c>
      <c r="N89">
        <f>COUNTIFS(Visits!$V:$V,'New Dashboard'!$A$25,Visits!$E:$E,'User Engagement'!$A89)</f>
        <v>0</v>
      </c>
      <c r="O89">
        <f t="shared" si="14"/>
        <v>0</v>
      </c>
      <c r="P89">
        <f t="shared" si="15"/>
        <v>0</v>
      </c>
      <c r="Q89">
        <f t="shared" si="13"/>
        <v>0</v>
      </c>
      <c r="R89">
        <f t="shared" si="10"/>
        <v>0</v>
      </c>
      <c r="S89" s="5">
        <f>SUMIF(Visits!$E$2:$E$89,'User Engagement'!$A89,Visits!$L$2:$L$89)</f>
        <v>15</v>
      </c>
      <c r="T89" s="5">
        <f>SUMIFS(Visits!$L$2:$L$89,Visits!$E$2:$E$89,'User Engagement'!$A89,Visits!$U$2:$U$89,"&gt;3/28/24")</f>
        <v>15</v>
      </c>
      <c r="U89" s="19">
        <f t="shared" si="11"/>
        <v>15</v>
      </c>
      <c r="V89" s="19" t="str">
        <f t="shared" si="12"/>
        <v>n/a</v>
      </c>
    </row>
    <row r="90" spans="1:22" ht="16" x14ac:dyDescent="0.2">
      <c r="A90" t="str">
        <f>Users!A88</f>
        <v>srivaths.s@gmail.com</v>
      </c>
      <c r="B90" s="29" t="str">
        <f>VLOOKUP(A90,Users!A:D,2,FALSE)</f>
        <v>Srivaths</v>
      </c>
      <c r="C90" s="29" t="str">
        <f>VLOOKUP(A90,Users!A:D,3,FALSE)</f>
        <v>Swaminathan</v>
      </c>
      <c r="F90" s="1" t="e" cm="1">
        <f t="array" ref="F90">MAX(_xlfn._xlws.FILTER(Visits!U:U,Visits!E:E='User Engagement'!A90))</f>
        <v>#N/A</v>
      </c>
      <c r="G90">
        <f>COUNTIF(Visits!$E$2:$E$995,'User Engagement'!$A90)</f>
        <v>3</v>
      </c>
      <c r="H90">
        <f>COUNTIFS(Visits!$E$2:$E$995,'User Engagement'!$A91,Visits!$U$2:$U$995,"&gt;"&amp;($B$1-7))</f>
        <v>0</v>
      </c>
      <c r="I90">
        <f>COUNTIFS(Visits!$E$2:$E$995,'User Engagement'!$A90,Visits!$U$2:$U$995,"&gt;"&amp;($B$1-30))</f>
        <v>0</v>
      </c>
      <c r="J90">
        <f>COUNTIFS(Visits!$E$2:$E$995,$A90,Visits!$U$2:$U$995,"&gt;"&amp;($B$1-60))-I90</f>
        <v>0</v>
      </c>
      <c r="K90">
        <f>COUNTIFS(Visits!$V:$V,'New Dashboard'!$A$22,Visits!$E:$E,'User Engagement'!$A90)</f>
        <v>0</v>
      </c>
      <c r="L90">
        <f>COUNTIFS(Visits!$V:$V,'New Dashboard'!$A$23,Visits!$E:$E,'User Engagement'!$A90)</f>
        <v>0</v>
      </c>
      <c r="M90">
        <f>COUNTIFS(Visits!$V:$V,'New Dashboard'!$A$24,Visits!$E:$E,'User Engagement'!$A90)</f>
        <v>1</v>
      </c>
      <c r="N90">
        <f>COUNTIFS(Visits!$V:$V,'New Dashboard'!$A$25,Visits!$E:$E,'User Engagement'!$A90)</f>
        <v>1</v>
      </c>
      <c r="O90">
        <f t="shared" si="14"/>
        <v>0</v>
      </c>
      <c r="P90">
        <f t="shared" si="15"/>
        <v>0</v>
      </c>
      <c r="Q90">
        <f t="shared" si="13"/>
        <v>0</v>
      </c>
      <c r="R90">
        <f t="shared" si="10"/>
        <v>0</v>
      </c>
      <c r="S90" s="5">
        <f>SUMIF(Visits!$E$2:$E$89,'User Engagement'!$A90,Visits!$L$2:$L$89)</f>
        <v>50</v>
      </c>
      <c r="T90" s="5">
        <f>SUMIFS(Visits!$L$2:$L$89,Visits!$E$2:$E$89,'User Engagement'!$A90,Visits!$U$2:$U$89,"&gt;3/28/24")</f>
        <v>10</v>
      </c>
      <c r="U90" s="19">
        <f t="shared" si="11"/>
        <v>16.666666666666668</v>
      </c>
      <c r="V90" s="19" t="str">
        <f t="shared" si="12"/>
        <v>n/a</v>
      </c>
    </row>
    <row r="91" spans="1:22" ht="16" x14ac:dyDescent="0.2">
      <c r="A91" t="str">
        <f>Users!A89</f>
        <v>susandjackson01@gmail.com</v>
      </c>
      <c r="B91" s="29" t="str">
        <f>VLOOKUP(A91,Users!A:D,2,FALSE)</f>
        <v>Susan</v>
      </c>
      <c r="C91" s="29" t="str">
        <f>VLOOKUP(A91,Users!A:D,3,FALSE)</f>
        <v>Durkan Jackson</v>
      </c>
      <c r="F91" s="1" cm="1">
        <f t="array" ref="F91">MAX(_xlfn._xlws.FILTER(Visits!U:U,Visits!E:E='User Engagement'!A91))</f>
        <v>45374</v>
      </c>
      <c r="G91">
        <f>COUNTIF(Visits!$E$2:$E$995,'User Engagement'!$A91)</f>
        <v>1</v>
      </c>
      <c r="H91">
        <f>COUNTIFS(Visits!$E$2:$E$995,'User Engagement'!$A92,Visits!$U$2:$U$995,"&gt;"&amp;($B$1-7))</f>
        <v>0</v>
      </c>
      <c r="I91">
        <f>COUNTIFS(Visits!$E$2:$E$995,'User Engagement'!$A91,Visits!$U$2:$U$995,"&gt;"&amp;($B$1-30))</f>
        <v>0</v>
      </c>
      <c r="J91">
        <f>COUNTIFS(Visits!$E$2:$E$995,$A91,Visits!$U$2:$U$995,"&gt;"&amp;($B$1-60))-I91</f>
        <v>0</v>
      </c>
      <c r="K91">
        <f>COUNTIFS(Visits!$V:$V,'New Dashboard'!$A$22,Visits!$E:$E,'User Engagement'!$A91)</f>
        <v>0</v>
      </c>
      <c r="L91">
        <f>COUNTIFS(Visits!$V:$V,'New Dashboard'!$A$23,Visits!$E:$E,'User Engagement'!$A91)</f>
        <v>0</v>
      </c>
      <c r="M91">
        <f>COUNTIFS(Visits!$V:$V,'New Dashboard'!$A$24,Visits!$E:$E,'User Engagement'!$A91)</f>
        <v>0</v>
      </c>
      <c r="N91">
        <f>COUNTIFS(Visits!$V:$V,'New Dashboard'!$A$25,Visits!$E:$E,'User Engagement'!$A91)</f>
        <v>1</v>
      </c>
      <c r="O91">
        <f t="shared" si="14"/>
        <v>0</v>
      </c>
      <c r="P91">
        <f t="shared" si="15"/>
        <v>0</v>
      </c>
      <c r="Q91">
        <f t="shared" si="13"/>
        <v>0</v>
      </c>
      <c r="R91">
        <f t="shared" si="10"/>
        <v>0</v>
      </c>
      <c r="S91" s="5">
        <f>SUMIF(Visits!$E$2:$E$89,'User Engagement'!$A91,Visits!$L$2:$L$89)</f>
        <v>40</v>
      </c>
      <c r="T91" s="5">
        <f>SUMIFS(Visits!$L$2:$L$89,Visits!$E$2:$E$89,'User Engagement'!$A91,Visits!$U$2:$U$89,"&gt;3/28/24")</f>
        <v>0</v>
      </c>
      <c r="U91" s="19">
        <f t="shared" si="11"/>
        <v>40</v>
      </c>
      <c r="V91" s="19" t="str">
        <f t="shared" si="12"/>
        <v>n/a</v>
      </c>
    </row>
    <row r="92" spans="1:22" ht="16" x14ac:dyDescent="0.2">
      <c r="A92" t="str">
        <f>Users!A90</f>
        <v>tatatamzzz@gmail.com</v>
      </c>
      <c r="B92" s="29" t="str">
        <f>VLOOKUP(A92,Users!A:D,2,FALSE)</f>
        <v>Tamara</v>
      </c>
      <c r="C92" s="29" t="str">
        <f>VLOOKUP(A92,Users!A:D,3,FALSE)</f>
        <v>Muñoz</v>
      </c>
      <c r="F92" s="1" t="e" cm="1">
        <f t="array" ref="F92">MAX(_xlfn._xlws.FILTER(Visits!U:U,Visits!E:E='User Engagement'!A92))</f>
        <v>#N/A</v>
      </c>
      <c r="G92">
        <f>COUNTIF(Visits!$E$2:$E$995,'User Engagement'!$A92)</f>
        <v>1</v>
      </c>
      <c r="H92">
        <f>COUNTIFS(Visits!$E$2:$E$995,'User Engagement'!$A93,Visits!$U$2:$U$995,"&gt;"&amp;($B$1-7))</f>
        <v>0</v>
      </c>
      <c r="I92">
        <f>COUNTIFS(Visits!$E$2:$E$995,'User Engagement'!$A92,Visits!$U$2:$U$995,"&gt;"&amp;($B$1-30))</f>
        <v>0</v>
      </c>
      <c r="J92">
        <f>COUNTIFS(Visits!$E$2:$E$995,$A92,Visits!$U$2:$U$995,"&gt;"&amp;($B$1-60))-I92</f>
        <v>0</v>
      </c>
      <c r="K92">
        <f>COUNTIFS(Visits!$V:$V,'New Dashboard'!$A$22,Visits!$E:$E,'User Engagement'!$A92)</f>
        <v>0</v>
      </c>
      <c r="L92">
        <f>COUNTIFS(Visits!$V:$V,'New Dashboard'!$A$23,Visits!$E:$E,'User Engagement'!$A92)</f>
        <v>0</v>
      </c>
      <c r="M92">
        <f>COUNTIFS(Visits!$V:$V,'New Dashboard'!$A$24,Visits!$E:$E,'User Engagement'!$A92)</f>
        <v>0</v>
      </c>
      <c r="N92">
        <f>COUNTIFS(Visits!$V:$V,'New Dashboard'!$A$25,Visits!$E:$E,'User Engagement'!$A92)</f>
        <v>0</v>
      </c>
      <c r="O92">
        <f t="shared" si="14"/>
        <v>0</v>
      </c>
      <c r="P92">
        <f t="shared" si="15"/>
        <v>0</v>
      </c>
      <c r="Q92">
        <f t="shared" si="13"/>
        <v>0</v>
      </c>
      <c r="R92">
        <f t="shared" si="10"/>
        <v>0</v>
      </c>
      <c r="S92" s="5">
        <f>SUMIF(Visits!$E$2:$E$89,'User Engagement'!$A92,Visits!$L$2:$L$89)</f>
        <v>0</v>
      </c>
      <c r="T92" s="5">
        <f>SUMIFS(Visits!$L$2:$L$89,Visits!$E$2:$E$89,'User Engagement'!$A92,Visits!$U$2:$U$89,"&gt;3/28/24")</f>
        <v>0</v>
      </c>
      <c r="U92" s="19">
        <f t="shared" si="11"/>
        <v>0</v>
      </c>
      <c r="V92" s="19" t="str">
        <f t="shared" si="12"/>
        <v>n/a</v>
      </c>
    </row>
    <row r="93" spans="1:22" ht="16" x14ac:dyDescent="0.2">
      <c r="A93" t="str">
        <f>Users!A91</f>
        <v>tamara.dews@lseg.com</v>
      </c>
      <c r="B93" s="29" t="str">
        <f>VLOOKUP(A93,Users!A:D,2,FALSE)</f>
        <v>Tamara</v>
      </c>
      <c r="C93" s="29" t="str">
        <f>VLOOKUP(A93,Users!A:D,3,FALSE)</f>
        <v>Dews</v>
      </c>
      <c r="F93" s="1" cm="1">
        <f t="array" ref="F93">MAX(_xlfn._xlws.FILTER(Visits!U:U,Visits!E:E='User Engagement'!A93))</f>
        <v>45437</v>
      </c>
      <c r="G93">
        <f>COUNTIF(Visits!$E$2:$E$995,'User Engagement'!$A93)</f>
        <v>1</v>
      </c>
      <c r="H93">
        <f>COUNTIFS(Visits!$E$2:$E$995,'User Engagement'!$A94,Visits!$U$2:$U$995,"&gt;"&amp;($B$1-7))</f>
        <v>0</v>
      </c>
      <c r="I93">
        <f>COUNTIFS(Visits!$E$2:$E$995,'User Engagement'!$A93,Visits!$U$2:$U$995,"&gt;"&amp;($B$1-30))</f>
        <v>0</v>
      </c>
      <c r="J93">
        <f>COUNTIFS(Visits!$E$2:$E$995,$A93,Visits!$U$2:$U$995,"&gt;"&amp;($B$1-60))-I93</f>
        <v>1</v>
      </c>
      <c r="K93">
        <f>COUNTIFS(Visits!$V:$V,'New Dashboard'!$A$22,Visits!$E:$E,'User Engagement'!$A93)</f>
        <v>0</v>
      </c>
      <c r="L93">
        <f>COUNTIFS(Visits!$V:$V,'New Dashboard'!$A$23,Visits!$E:$E,'User Engagement'!$A93)</f>
        <v>1</v>
      </c>
      <c r="M93">
        <f>COUNTIFS(Visits!$V:$V,'New Dashboard'!$A$24,Visits!$E:$E,'User Engagement'!$A93)</f>
        <v>0</v>
      </c>
      <c r="N93">
        <f>COUNTIFS(Visits!$V:$V,'New Dashboard'!$A$25,Visits!$E:$E,'User Engagement'!$A93)</f>
        <v>0</v>
      </c>
      <c r="O93">
        <f t="shared" si="14"/>
        <v>0</v>
      </c>
      <c r="P93">
        <f t="shared" si="15"/>
        <v>0</v>
      </c>
      <c r="Q93">
        <f t="shared" si="13"/>
        <v>1</v>
      </c>
      <c r="R93">
        <f t="shared" si="10"/>
        <v>0</v>
      </c>
      <c r="S93" s="5">
        <f>SUMIF(Visits!$E$2:$E$89,'User Engagement'!$A93,Visits!$L$2:$L$89)</f>
        <v>0</v>
      </c>
      <c r="T93" s="5">
        <f>SUMIFS(Visits!$L$2:$L$89,Visits!$E$2:$E$89,'User Engagement'!$A93,Visits!$U$2:$U$89,"&gt;3/28/24")</f>
        <v>0</v>
      </c>
      <c r="U93" s="19">
        <f t="shared" si="11"/>
        <v>0</v>
      </c>
      <c r="V93" s="19" t="str">
        <f t="shared" si="12"/>
        <v>n/a</v>
      </c>
    </row>
    <row r="94" spans="1:22" ht="16" x14ac:dyDescent="0.2">
      <c r="A94" t="str">
        <f>Users!A92</f>
        <v>sethi.tanvi@gmail.com</v>
      </c>
      <c r="B94" s="29" t="str">
        <f>VLOOKUP(A94,Users!A:D,2,FALSE)</f>
        <v>Tanvi</v>
      </c>
      <c r="C94" s="29" t="str">
        <f>VLOOKUP(A94,Users!A:D,3,FALSE)</f>
        <v>Sethi</v>
      </c>
      <c r="F94" s="1" cm="1">
        <f t="array" ref="F94">MAX(_xlfn._xlws.FILTER(Visits!U:U,Visits!E:E='User Engagement'!A94))</f>
        <v>45457</v>
      </c>
      <c r="G94">
        <f>COUNTIF(Visits!$E$2:$E$995,'User Engagement'!$A94)</f>
        <v>6</v>
      </c>
      <c r="H94">
        <f>COUNTIFS(Visits!$E$2:$E$995,'User Engagement'!$A95,Visits!$U$2:$U$995,"&gt;"&amp;($B$1-7))</f>
        <v>0</v>
      </c>
      <c r="I94">
        <f>COUNTIFS(Visits!$E$2:$E$995,'User Engagement'!$A94,Visits!$U$2:$U$995,"&gt;"&amp;($B$1-30))</f>
        <v>2</v>
      </c>
      <c r="J94">
        <f>COUNTIFS(Visits!$E$2:$E$995,$A94,Visits!$U$2:$U$995,"&gt;"&amp;($B$1-60))-I94</f>
        <v>2</v>
      </c>
      <c r="K94">
        <f>COUNTIFS(Visits!$V:$V,'New Dashboard'!$A$22,Visits!$E:$E,'User Engagement'!$A94)</f>
        <v>2</v>
      </c>
      <c r="L94">
        <f>COUNTIFS(Visits!$V:$V,'New Dashboard'!$A$23,Visits!$E:$E,'User Engagement'!$A94)</f>
        <v>2</v>
      </c>
      <c r="M94">
        <f>COUNTIFS(Visits!$V:$V,'New Dashboard'!$A$24,Visits!$E:$E,'User Engagement'!$A94)</f>
        <v>1</v>
      </c>
      <c r="N94">
        <f>COUNTIFS(Visits!$V:$V,'New Dashboard'!$A$25,Visits!$E:$E,'User Engagement'!$A94)</f>
        <v>1</v>
      </c>
      <c r="O94">
        <f t="shared" si="14"/>
        <v>0</v>
      </c>
      <c r="P94">
        <f t="shared" si="15"/>
        <v>1</v>
      </c>
      <c r="Q94">
        <f t="shared" si="13"/>
        <v>1</v>
      </c>
      <c r="R94">
        <f t="shared" si="10"/>
        <v>0</v>
      </c>
      <c r="S94" s="5">
        <f>SUMIF(Visits!$E$2:$E$89,'User Engagement'!$A94,Visits!$L$2:$L$89)</f>
        <v>20</v>
      </c>
      <c r="T94" s="5">
        <f>SUMIFS(Visits!$L$2:$L$89,Visits!$E$2:$E$89,'User Engagement'!$A94,Visits!$U$2:$U$89,"&gt;3/28/24")</f>
        <v>20</v>
      </c>
      <c r="U94" s="19">
        <f t="shared" si="11"/>
        <v>3.3333333333333335</v>
      </c>
      <c r="V94" s="19">
        <f t="shared" si="12"/>
        <v>10</v>
      </c>
    </row>
    <row r="95" spans="1:22" ht="16" x14ac:dyDescent="0.2">
      <c r="A95" t="str">
        <f>Users!A93</f>
        <v>teodor.rd27@gmail.com</v>
      </c>
      <c r="B95" s="29" t="str">
        <f>VLOOKUP(A95,Users!A:D,2,FALSE)</f>
        <v>Teodor</v>
      </c>
      <c r="C95" s="29" t="str">
        <f>VLOOKUP(A95,Users!A:D,3,FALSE)</f>
        <v>Radu</v>
      </c>
      <c r="F95" s="1" t="e" cm="1">
        <f t="array" ref="F95">MAX(_xlfn._xlws.FILTER(Visits!U:U,Visits!E:E='User Engagement'!A95))</f>
        <v>#N/A</v>
      </c>
      <c r="G95">
        <f>COUNTIF(Visits!$E$2:$E$995,'User Engagement'!$A95)</f>
        <v>1</v>
      </c>
      <c r="H95">
        <f>COUNTIFS(Visits!$E$2:$E$995,'User Engagement'!$A96,Visits!$U$2:$U$995,"&gt;"&amp;($B$1-7))</f>
        <v>0</v>
      </c>
      <c r="I95">
        <f>COUNTIFS(Visits!$E$2:$E$995,'User Engagement'!$A95,Visits!$U$2:$U$995,"&gt;"&amp;($B$1-30))</f>
        <v>0</v>
      </c>
      <c r="J95">
        <f>COUNTIFS(Visits!$E$2:$E$995,$A95,Visits!$U$2:$U$995,"&gt;"&amp;($B$1-60))-I95</f>
        <v>0</v>
      </c>
      <c r="K95">
        <f>COUNTIFS(Visits!$V:$V,'New Dashboard'!$A$22,Visits!$E:$E,'User Engagement'!$A95)</f>
        <v>0</v>
      </c>
      <c r="L95">
        <f>COUNTIFS(Visits!$V:$V,'New Dashboard'!$A$23,Visits!$E:$E,'User Engagement'!$A95)</f>
        <v>0</v>
      </c>
      <c r="M95">
        <f>COUNTIFS(Visits!$V:$V,'New Dashboard'!$A$24,Visits!$E:$E,'User Engagement'!$A95)</f>
        <v>0</v>
      </c>
      <c r="N95">
        <f>COUNTIFS(Visits!$V:$V,'New Dashboard'!$A$25,Visits!$E:$E,'User Engagement'!$A95)</f>
        <v>0</v>
      </c>
      <c r="O95">
        <f t="shared" si="14"/>
        <v>0</v>
      </c>
      <c r="P95">
        <f t="shared" si="15"/>
        <v>0</v>
      </c>
      <c r="Q95">
        <f t="shared" si="13"/>
        <v>0</v>
      </c>
      <c r="R95">
        <f t="shared" si="10"/>
        <v>0</v>
      </c>
      <c r="S95" s="5">
        <f>SUMIF(Visits!$E$2:$E$89,'User Engagement'!$A95,Visits!$L$2:$L$89)</f>
        <v>0</v>
      </c>
      <c r="T95" s="5">
        <f>SUMIFS(Visits!$L$2:$L$89,Visits!$E$2:$E$89,'User Engagement'!$A95,Visits!$U$2:$U$89,"&gt;3/28/24")</f>
        <v>0</v>
      </c>
      <c r="U95" s="19">
        <f t="shared" si="11"/>
        <v>0</v>
      </c>
      <c r="V95" s="19" t="str">
        <f t="shared" si="12"/>
        <v>n/a</v>
      </c>
    </row>
    <row r="96" spans="1:22" ht="16" x14ac:dyDescent="0.2">
      <c r="A96" t="str">
        <f>Users!A94</f>
        <v>yangtianqi2023@163.com</v>
      </c>
      <c r="B96" s="29" t="str">
        <f>VLOOKUP(A96,Users!A:D,2,FALSE)</f>
        <v>Tianqi</v>
      </c>
      <c r="C96" s="29" t="str">
        <f>VLOOKUP(A96,Users!A:D,3,FALSE)</f>
        <v>Yang</v>
      </c>
      <c r="F96" s="1" t="e" cm="1">
        <f t="array" ref="F96">MAX(_xlfn._xlws.FILTER(Visits!U:U,Visits!E:E='User Engagement'!A96))</f>
        <v>#N/A</v>
      </c>
      <c r="G96">
        <f>COUNTIF(Visits!$E$2:$E$995,'User Engagement'!$A96)</f>
        <v>1</v>
      </c>
      <c r="H96">
        <f>COUNTIFS(Visits!$E$2:$E$995,'User Engagement'!$A97,Visits!$U$2:$U$995,"&gt;"&amp;($B$1-7))</f>
        <v>0</v>
      </c>
      <c r="I96">
        <f>COUNTIFS(Visits!$E$2:$E$995,'User Engagement'!$A96,Visits!$U$2:$U$995,"&gt;"&amp;($B$1-30))</f>
        <v>0</v>
      </c>
      <c r="J96">
        <f>COUNTIFS(Visits!$E$2:$E$995,$A96,Visits!$U$2:$U$995,"&gt;"&amp;($B$1-60))-I96</f>
        <v>0</v>
      </c>
      <c r="K96">
        <f>COUNTIFS(Visits!$V:$V,'New Dashboard'!$A$22,Visits!$E:$E,'User Engagement'!$A96)</f>
        <v>0</v>
      </c>
      <c r="L96">
        <f>COUNTIFS(Visits!$V:$V,'New Dashboard'!$A$23,Visits!$E:$E,'User Engagement'!$A96)</f>
        <v>0</v>
      </c>
      <c r="M96">
        <f>COUNTIFS(Visits!$V:$V,'New Dashboard'!$A$24,Visits!$E:$E,'User Engagement'!$A96)</f>
        <v>0</v>
      </c>
      <c r="N96">
        <f>COUNTIFS(Visits!$V:$V,'New Dashboard'!$A$25,Visits!$E:$E,'User Engagement'!$A96)</f>
        <v>0</v>
      </c>
      <c r="O96">
        <f t="shared" si="14"/>
        <v>0</v>
      </c>
      <c r="P96">
        <f t="shared" si="15"/>
        <v>0</v>
      </c>
      <c r="Q96">
        <f t="shared" si="13"/>
        <v>0</v>
      </c>
      <c r="R96">
        <f t="shared" si="10"/>
        <v>0</v>
      </c>
      <c r="S96" s="5">
        <f>SUMIF(Visits!$E$2:$E$89,'User Engagement'!$A96,Visits!$L$2:$L$89)</f>
        <v>0</v>
      </c>
      <c r="T96" s="5">
        <f>SUMIFS(Visits!$L$2:$L$89,Visits!$E$2:$E$89,'User Engagement'!$A96,Visits!$U$2:$U$89,"&gt;3/28/24")</f>
        <v>0</v>
      </c>
      <c r="U96" s="19">
        <f t="shared" si="11"/>
        <v>0</v>
      </c>
      <c r="V96" s="19" t="str">
        <f t="shared" si="12"/>
        <v>n/a</v>
      </c>
    </row>
    <row r="97" spans="1:22" ht="16" x14ac:dyDescent="0.2">
      <c r="A97" t="str">
        <f>Users!A95</f>
        <v>tomhsaville@hotmail.co.uk</v>
      </c>
      <c r="B97" s="29" t="str">
        <f>VLOOKUP(A97,Users!A:D,2,FALSE)</f>
        <v>Tom</v>
      </c>
      <c r="C97" s="29" t="str">
        <f>VLOOKUP(A97,Users!A:D,3,FALSE)</f>
        <v>Saville</v>
      </c>
      <c r="F97" s="1" t="e" cm="1">
        <f t="array" ref="F97">MAX(_xlfn._xlws.FILTER(Visits!U:U,Visits!E:E='User Engagement'!A97))</f>
        <v>#N/A</v>
      </c>
      <c r="G97">
        <f>COUNTIF(Visits!$E$2:$E$995,'User Engagement'!$A97)</f>
        <v>2</v>
      </c>
      <c r="H97">
        <f>COUNTIFS(Visits!$E$2:$E$995,'User Engagement'!$A98,Visits!$U$2:$U$995,"&gt;"&amp;($B$1-7))</f>
        <v>0</v>
      </c>
      <c r="I97">
        <f>COUNTIFS(Visits!$E$2:$E$995,'User Engagement'!$A97,Visits!$U$2:$U$995,"&gt;"&amp;($B$1-30))</f>
        <v>0</v>
      </c>
      <c r="J97">
        <f>COUNTIFS(Visits!$E$2:$E$995,$A97,Visits!$U$2:$U$995,"&gt;"&amp;($B$1-60))-I97</f>
        <v>0</v>
      </c>
      <c r="K97">
        <f>COUNTIFS(Visits!$V:$V,'New Dashboard'!$A$22,Visits!$E:$E,'User Engagement'!$A97)</f>
        <v>0</v>
      </c>
      <c r="L97">
        <f>COUNTIFS(Visits!$V:$V,'New Dashboard'!$A$23,Visits!$E:$E,'User Engagement'!$A97)</f>
        <v>0</v>
      </c>
      <c r="M97">
        <f>COUNTIFS(Visits!$V:$V,'New Dashboard'!$A$24,Visits!$E:$E,'User Engagement'!$A97)</f>
        <v>0</v>
      </c>
      <c r="N97">
        <f>COUNTIFS(Visits!$V:$V,'New Dashboard'!$A$25,Visits!$E:$E,'User Engagement'!$A97)</f>
        <v>0</v>
      </c>
      <c r="O97">
        <f t="shared" si="14"/>
        <v>0</v>
      </c>
      <c r="P97">
        <f t="shared" si="15"/>
        <v>0</v>
      </c>
      <c r="Q97">
        <f t="shared" si="13"/>
        <v>0</v>
      </c>
      <c r="R97">
        <f t="shared" si="10"/>
        <v>0</v>
      </c>
      <c r="S97" s="5">
        <f>SUMIF(Visits!$E$2:$E$89,'User Engagement'!$A97,Visits!$L$2:$L$89)</f>
        <v>27</v>
      </c>
      <c r="T97" s="5">
        <f>SUMIFS(Visits!$L$2:$L$89,Visits!$E$2:$E$89,'User Engagement'!$A97,Visits!$U$2:$U$89,"&gt;3/28/24")</f>
        <v>0</v>
      </c>
      <c r="U97" s="19">
        <f t="shared" si="11"/>
        <v>13.5</v>
      </c>
      <c r="V97" s="19" t="str">
        <f t="shared" si="12"/>
        <v>n/a</v>
      </c>
    </row>
    <row r="98" spans="1:22" ht="16" x14ac:dyDescent="0.2">
      <c r="A98" t="str">
        <f>Users!A96</f>
        <v>wil_akanno@hotmail.com</v>
      </c>
      <c r="B98" s="29" t="str">
        <f>VLOOKUP(A98,Users!A:D,2,FALSE)</f>
        <v>Wil</v>
      </c>
      <c r="C98" s="29" t="str">
        <f>VLOOKUP(A98,Users!A:D,3,FALSE)</f>
        <v>Akanno</v>
      </c>
      <c r="F98" s="1" cm="1">
        <f t="array" ref="F98">MAX(_xlfn._xlws.FILTER(Visits!U:U,Visits!E:E='User Engagement'!A98))</f>
        <v>45445</v>
      </c>
      <c r="G98">
        <f>COUNTIF(Visits!$E$2:$E$995,'User Engagement'!$A98)</f>
        <v>1</v>
      </c>
      <c r="H98">
        <f>COUNTIFS(Visits!$E$2:$E$995,'User Engagement'!$A99,Visits!$U$2:$U$995,"&gt;"&amp;($B$1-7))</f>
        <v>0</v>
      </c>
      <c r="I98">
        <f>COUNTIFS(Visits!$E$2:$E$995,'User Engagement'!$A98,Visits!$U$2:$U$995,"&gt;"&amp;($B$1-30))</f>
        <v>1</v>
      </c>
      <c r="J98">
        <f>COUNTIFS(Visits!$E$2:$E$995,$A98,Visits!$U$2:$U$995,"&gt;"&amp;($B$1-60))-I98</f>
        <v>0</v>
      </c>
      <c r="K98">
        <f>COUNTIFS(Visits!$V:$V,'New Dashboard'!$A$22,Visits!$E:$E,'User Engagement'!$A98)</f>
        <v>1</v>
      </c>
      <c r="L98">
        <f>COUNTIFS(Visits!$V:$V,'New Dashboard'!$A$23,Visits!$E:$E,'User Engagement'!$A98)</f>
        <v>0</v>
      </c>
      <c r="M98">
        <f>COUNTIFS(Visits!$V:$V,'New Dashboard'!$A$24,Visits!$E:$E,'User Engagement'!$A98)</f>
        <v>0</v>
      </c>
      <c r="N98">
        <f>COUNTIFS(Visits!$V:$V,'New Dashboard'!$A$25,Visits!$E:$E,'User Engagement'!$A98)</f>
        <v>0</v>
      </c>
      <c r="O98">
        <f t="shared" si="14"/>
        <v>0</v>
      </c>
      <c r="P98">
        <f t="shared" si="15"/>
        <v>1</v>
      </c>
      <c r="Q98">
        <f t="shared" si="13"/>
        <v>0</v>
      </c>
      <c r="R98">
        <f t="shared" si="10"/>
        <v>0</v>
      </c>
      <c r="S98" s="5">
        <f>SUMIF(Visits!$E$2:$E$89,'User Engagement'!$A98,Visits!$L$2:$L$89)</f>
        <v>0</v>
      </c>
      <c r="T98" s="5">
        <f>SUMIFS(Visits!$L$2:$L$89,Visits!$E$2:$E$89,'User Engagement'!$A98,Visits!$U$2:$U$89,"&gt;3/28/24")</f>
        <v>0</v>
      </c>
      <c r="U98" s="19">
        <f t="shared" si="11"/>
        <v>0</v>
      </c>
      <c r="V98" s="19">
        <f t="shared" si="12"/>
        <v>0</v>
      </c>
    </row>
    <row r="99" spans="1:22" ht="16" x14ac:dyDescent="0.2">
      <c r="A99" t="str">
        <f>Users!A97</f>
        <v>win.man@icloud.com</v>
      </c>
      <c r="B99" s="29" t="str">
        <f>VLOOKUP(A99,Users!A:D,2,FALSE)</f>
        <v>Win</v>
      </c>
      <c r="C99" s="29" t="str">
        <f>VLOOKUP(A99,Users!A:D,3,FALSE)</f>
        <v>Man</v>
      </c>
      <c r="F99" s="1" t="e" cm="1">
        <f t="array" ref="F99">MAX(_xlfn._xlws.FILTER(Visits!U:U,Visits!E:E='User Engagement'!A99))</f>
        <v>#N/A</v>
      </c>
      <c r="G99">
        <f>COUNTIF(Visits!$E$2:$E$995,'User Engagement'!$A99)</f>
        <v>2</v>
      </c>
      <c r="H99">
        <f>COUNTIFS(Visits!$E$2:$E$995,'User Engagement'!$A100,Visits!$U$2:$U$995,"&gt;"&amp;($B$1-7))</f>
        <v>0</v>
      </c>
      <c r="I99">
        <f>COUNTIFS(Visits!$E$2:$E$995,'User Engagement'!$A99,Visits!$U$2:$U$995,"&gt;"&amp;($B$1-30))</f>
        <v>0</v>
      </c>
      <c r="J99">
        <f>COUNTIFS(Visits!$E$2:$E$995,$A99,Visits!$U$2:$U$995,"&gt;"&amp;($B$1-60))-I99</f>
        <v>1</v>
      </c>
      <c r="K99">
        <f>COUNTIFS(Visits!$V:$V,'New Dashboard'!$A$22,Visits!$E:$E,'User Engagement'!$A99)</f>
        <v>0</v>
      </c>
      <c r="L99">
        <f>COUNTIFS(Visits!$V:$V,'New Dashboard'!$A$23,Visits!$E:$E,'User Engagement'!$A99)</f>
        <v>1</v>
      </c>
      <c r="M99">
        <f>COUNTIFS(Visits!$V:$V,'New Dashboard'!$A$24,Visits!$E:$E,'User Engagement'!$A99)</f>
        <v>0</v>
      </c>
      <c r="N99">
        <f>COUNTIFS(Visits!$V:$V,'New Dashboard'!$A$25,Visits!$E:$E,'User Engagement'!$A99)</f>
        <v>0</v>
      </c>
      <c r="O99">
        <f t="shared" si="14"/>
        <v>0</v>
      </c>
      <c r="P99">
        <f t="shared" si="15"/>
        <v>0</v>
      </c>
      <c r="Q99">
        <f t="shared" si="13"/>
        <v>1</v>
      </c>
      <c r="R99">
        <f t="shared" si="10"/>
        <v>0</v>
      </c>
      <c r="S99" s="5">
        <f>SUMIF(Visits!$E$2:$E$89,'User Engagement'!$A99,Visits!$L$2:$L$89)</f>
        <v>15</v>
      </c>
      <c r="T99" s="5">
        <f>SUMIFS(Visits!$L$2:$L$89,Visits!$E$2:$E$89,'User Engagement'!$A99,Visits!$U$2:$U$89,"&gt;3/28/24")</f>
        <v>0</v>
      </c>
      <c r="U99" s="19">
        <f t="shared" si="11"/>
        <v>7.5</v>
      </c>
      <c r="V99" s="19" t="str">
        <f t="shared" si="12"/>
        <v>n/a</v>
      </c>
    </row>
    <row r="100" spans="1:22" ht="16" x14ac:dyDescent="0.2">
      <c r="A100" t="str">
        <f>Users!A98</f>
        <v>yyasemin.mermer@gmail.com</v>
      </c>
      <c r="B100" s="29" t="str">
        <f>VLOOKUP(A100,Users!A:D,2,FALSE)</f>
        <v>Yasemin</v>
      </c>
      <c r="C100" s="29" t="str">
        <f>VLOOKUP(A100,Users!A:D,3,FALSE)</f>
        <v>Mermer</v>
      </c>
      <c r="F100" s="1" t="e" cm="1">
        <f t="array" ref="F100">MAX(_xlfn._xlws.FILTER(Visits!U:U,Visits!E:E='User Engagement'!A100))</f>
        <v>#N/A</v>
      </c>
      <c r="G100">
        <f>COUNTIF(Visits!$E$2:$E$995,'User Engagement'!$A100)</f>
        <v>1</v>
      </c>
      <c r="H100">
        <f>COUNTIFS(Visits!$E$2:$E$995,'User Engagement'!$A101,Visits!$U$2:$U$995,"&gt;"&amp;($B$1-7))</f>
        <v>0</v>
      </c>
      <c r="I100">
        <f>COUNTIFS(Visits!$E$2:$E$995,'User Engagement'!$A100,Visits!$U$2:$U$995,"&gt;"&amp;($B$1-30))</f>
        <v>0</v>
      </c>
      <c r="J100">
        <f>COUNTIFS(Visits!$E$2:$E$995,$A100,Visits!$U$2:$U$995,"&gt;"&amp;($B$1-60))-I100</f>
        <v>0</v>
      </c>
      <c r="K100">
        <f>COUNTIFS(Visits!$V:$V,'New Dashboard'!$A$22,Visits!$E:$E,'User Engagement'!$A100)</f>
        <v>0</v>
      </c>
      <c r="L100">
        <f>COUNTIFS(Visits!$V:$V,'New Dashboard'!$A$23,Visits!$E:$E,'User Engagement'!$A100)</f>
        <v>0</v>
      </c>
      <c r="M100">
        <f>COUNTIFS(Visits!$V:$V,'New Dashboard'!$A$24,Visits!$E:$E,'User Engagement'!$A100)</f>
        <v>0</v>
      </c>
      <c r="N100">
        <f>COUNTIFS(Visits!$V:$V,'New Dashboard'!$A$25,Visits!$E:$E,'User Engagement'!$A100)</f>
        <v>0</v>
      </c>
      <c r="O100">
        <f t="shared" si="14"/>
        <v>0</v>
      </c>
      <c r="P100">
        <f t="shared" si="15"/>
        <v>0</v>
      </c>
      <c r="Q100">
        <f t="shared" si="13"/>
        <v>0</v>
      </c>
      <c r="R100">
        <f t="shared" si="10"/>
        <v>0</v>
      </c>
      <c r="S100" s="5">
        <f>SUMIF(Visits!$E$2:$E$89,'User Engagement'!$A100,Visits!$L$2:$L$89)</f>
        <v>15</v>
      </c>
      <c r="T100" s="5">
        <f>SUMIFS(Visits!$L$2:$L$89,Visits!$E$2:$E$89,'User Engagement'!$A100,Visits!$U$2:$U$89,"&gt;3/28/24")</f>
        <v>0</v>
      </c>
      <c r="U100" s="19">
        <f t="shared" si="11"/>
        <v>15</v>
      </c>
      <c r="V100" s="19" t="str">
        <f t="shared" si="12"/>
        <v>n/a</v>
      </c>
    </row>
    <row r="101" spans="1:22" ht="16" x14ac:dyDescent="0.2">
      <c r="A101" t="str">
        <f>Users!A99</f>
        <v>yskinoue0127@gmail.com</v>
      </c>
      <c r="B101" s="29" t="str">
        <f>VLOOKUP(A101,Users!A:D,2,FALSE)</f>
        <v>Yusuke</v>
      </c>
      <c r="C101" s="29" t="str">
        <f>VLOOKUP(A101,Users!A:D,3,FALSE)</f>
        <v>Inoue</v>
      </c>
      <c r="F101" s="1" t="e" cm="1">
        <f t="array" ref="F101">MAX(_xlfn._xlws.FILTER(Visits!U:U,Visits!E:E='User Engagement'!A101))</f>
        <v>#N/A</v>
      </c>
      <c r="G101">
        <f>COUNTIF(Visits!$E$2:$E$995,'User Engagement'!$A101)</f>
        <v>2</v>
      </c>
      <c r="H101">
        <f>COUNTIFS(Visits!$E$2:$E$995,'User Engagement'!$A102,Visits!$U$2:$U$995,"&gt;"&amp;($B$1-7))</f>
        <v>0</v>
      </c>
      <c r="I101">
        <f>COUNTIFS(Visits!$E$2:$E$995,'User Engagement'!$A101,Visits!$U$2:$U$995,"&gt;"&amp;($B$1-30))</f>
        <v>0</v>
      </c>
      <c r="J101">
        <f>COUNTIFS(Visits!$E$2:$E$995,$A101,Visits!$U$2:$U$995,"&gt;"&amp;($B$1-60))-I101</f>
        <v>1</v>
      </c>
      <c r="K101">
        <f>COUNTIFS(Visits!$V:$V,'New Dashboard'!$A$22,Visits!$E:$E,'User Engagement'!$A101)</f>
        <v>0</v>
      </c>
      <c r="L101">
        <f>COUNTIFS(Visits!$V:$V,'New Dashboard'!$A$23,Visits!$E:$E,'User Engagement'!$A101)</f>
        <v>1</v>
      </c>
      <c r="M101">
        <f>COUNTIFS(Visits!$V:$V,'New Dashboard'!$A$24,Visits!$E:$E,'User Engagement'!$A101)</f>
        <v>0</v>
      </c>
      <c r="N101">
        <f>COUNTIFS(Visits!$V:$V,'New Dashboard'!$A$25,Visits!$E:$E,'User Engagement'!$A101)</f>
        <v>0</v>
      </c>
      <c r="O101">
        <f t="shared" si="14"/>
        <v>0</v>
      </c>
      <c r="P101">
        <f t="shared" si="15"/>
        <v>0</v>
      </c>
      <c r="Q101">
        <f t="shared" si="13"/>
        <v>1</v>
      </c>
      <c r="R101">
        <f t="shared" si="10"/>
        <v>0</v>
      </c>
      <c r="S101" s="5">
        <f>SUMIF(Visits!$E$2:$E$89,'User Engagement'!$A101,Visits!$L$2:$L$89)</f>
        <v>0</v>
      </c>
      <c r="T101" s="5">
        <f>SUMIFS(Visits!$L$2:$L$89,Visits!$E$2:$E$89,'User Engagement'!$A101,Visits!$U$2:$U$89,"&gt;3/28/24")</f>
        <v>0</v>
      </c>
      <c r="U101" s="19">
        <f t="shared" si="11"/>
        <v>0</v>
      </c>
      <c r="V101" s="19" t="str">
        <f t="shared" si="12"/>
        <v>n/a</v>
      </c>
    </row>
    <row r="102" spans="1:22" ht="16" x14ac:dyDescent="0.2">
      <c r="A102" t="str">
        <f>Users!A100</f>
        <v>zinab.rama@gmail.com</v>
      </c>
      <c r="B102" s="29" t="str">
        <f>VLOOKUP(A102,Users!A:D,2,FALSE)</f>
        <v>Zinab</v>
      </c>
      <c r="C102" s="29" t="str">
        <f>VLOOKUP(A102,Users!A:D,3,FALSE)</f>
        <v>Al Ramathany</v>
      </c>
      <c r="F102" s="1" t="e" cm="1">
        <f t="array" ref="F102">MAX(_xlfn._xlws.FILTER(Visits!U:U,Visits!E:E='User Engagement'!A102))</f>
        <v>#N/A</v>
      </c>
      <c r="G102">
        <f>COUNTIF(Visits!$E$2:$E$995,'User Engagement'!$A102)</f>
        <v>2</v>
      </c>
      <c r="H102">
        <f>COUNTIFS(Visits!$E$2:$E$995,'User Engagement'!$A103,Visits!$U$2:$U$995,"&gt;"&amp;($B$1-7))</f>
        <v>0</v>
      </c>
      <c r="I102">
        <f>COUNTIFS(Visits!$E$2:$E$995,'User Engagement'!$A102,Visits!$U$2:$U$995,"&gt;"&amp;($B$1-30))</f>
        <v>0</v>
      </c>
      <c r="J102">
        <f>COUNTIFS(Visits!$E$2:$E$995,$A102,Visits!$U$2:$U$995,"&gt;"&amp;($B$1-60))-I102</f>
        <v>0</v>
      </c>
      <c r="K102">
        <f>COUNTIFS(Visits!$V:$V,'New Dashboard'!$A$22,Visits!$E:$E,'User Engagement'!$A102)</f>
        <v>0</v>
      </c>
      <c r="L102">
        <f>COUNTIFS(Visits!$V:$V,'New Dashboard'!$A$23,Visits!$E:$E,'User Engagement'!$A102)</f>
        <v>0</v>
      </c>
      <c r="M102">
        <f>COUNTIFS(Visits!$V:$V,'New Dashboard'!$A$24,Visits!$E:$E,'User Engagement'!$A102)</f>
        <v>0</v>
      </c>
      <c r="N102">
        <f>COUNTIFS(Visits!$V:$V,'New Dashboard'!$A$25,Visits!$E:$E,'User Engagement'!$A102)</f>
        <v>0</v>
      </c>
      <c r="O102">
        <f t="shared" si="14"/>
        <v>0</v>
      </c>
      <c r="P102">
        <f t="shared" si="15"/>
        <v>0</v>
      </c>
      <c r="Q102">
        <f t="shared" si="13"/>
        <v>0</v>
      </c>
      <c r="R102">
        <f t="shared" si="10"/>
        <v>0</v>
      </c>
      <c r="S102" s="5">
        <f>SUMIF(Visits!$E$2:$E$89,'User Engagement'!$A102,Visits!$L$2:$L$89)</f>
        <v>15</v>
      </c>
      <c r="T102" s="5">
        <f>SUMIFS(Visits!$L$2:$L$89,Visits!$E$2:$E$89,'User Engagement'!$A102,Visits!$U$2:$U$89,"&gt;3/28/24")</f>
        <v>0</v>
      </c>
      <c r="U102" s="19">
        <f t="shared" si="11"/>
        <v>7.5</v>
      </c>
      <c r="V102" s="19" t="str">
        <f t="shared" si="12"/>
        <v>n/a</v>
      </c>
    </row>
    <row r="103" spans="1:22" ht="16" x14ac:dyDescent="0.2">
      <c r="A103" t="str">
        <f>Users!A101</f>
        <v>Shulliclintondavis@gmail.com</v>
      </c>
      <c r="B103" s="29" t="str">
        <f>VLOOKUP(A103,Users!A:D,2,FALSE)</f>
        <v>Shulli</v>
      </c>
      <c r="C103" s="29" t="str">
        <f>VLOOKUP(A103,Users!A:D,3,FALSE)</f>
        <v>Clinton-Davis</v>
      </c>
      <c r="F103" s="1" t="e" cm="1" vm="1">
        <f t="array" ref="F103">MAX(_xlfn._xlws.FILTER(Visits!U:U,Visits!E:E='User Engagement'!A103))</f>
        <v>#VALUE!</v>
      </c>
      <c r="G103">
        <f>COUNTIF(Visits!$E$2:$E$995,'User Engagement'!$A103)</f>
        <v>0</v>
      </c>
      <c r="H103">
        <f>COUNTIFS(Visits!$E$2:$E$995,'User Engagement'!$A104,Visits!$U$2:$U$995,"&gt;"&amp;($B$1-7))</f>
        <v>0</v>
      </c>
      <c r="I103">
        <f>COUNTIFS(Visits!$E$2:$E$995,'User Engagement'!$A103,Visits!$U$2:$U$995,"&gt;"&amp;($B$1-30))</f>
        <v>0</v>
      </c>
      <c r="J103">
        <f>COUNTIFS(Visits!$E$2:$E$995,$A103,Visits!$U$2:$U$995,"&gt;"&amp;($B$1-60))-I103</f>
        <v>0</v>
      </c>
      <c r="K103">
        <f>COUNTIFS(Visits!$V:$V,'New Dashboard'!$A$22,Visits!$E:$E,'User Engagement'!$A103)</f>
        <v>0</v>
      </c>
      <c r="L103">
        <f>COUNTIFS(Visits!$V:$V,'New Dashboard'!$A$23,Visits!$E:$E,'User Engagement'!$A103)</f>
        <v>0</v>
      </c>
      <c r="M103">
        <f>COUNTIFS(Visits!$V:$V,'New Dashboard'!$A$24,Visits!$E:$E,'User Engagement'!$A103)</f>
        <v>0</v>
      </c>
      <c r="N103">
        <f>COUNTIFS(Visits!$V:$V,'New Dashboard'!$A$25,Visits!$E:$E,'User Engagement'!$A103)</f>
        <v>0</v>
      </c>
      <c r="O103">
        <f t="shared" si="14"/>
        <v>1</v>
      </c>
      <c r="P103">
        <f t="shared" si="15"/>
        <v>0</v>
      </c>
      <c r="Q103">
        <f t="shared" si="13"/>
        <v>0</v>
      </c>
      <c r="R103">
        <f t="shared" si="10"/>
        <v>0</v>
      </c>
      <c r="S103" s="5">
        <f>SUMIF(Visits!$E$2:$E$89,'User Engagement'!$A103,Visits!$L$2:$L$89)</f>
        <v>0</v>
      </c>
      <c r="T103" s="5">
        <f>SUMIFS(Visits!$L$2:$L$89,Visits!$E$2:$E$89,'User Engagement'!$A103,Visits!$U$2:$U$89,"&gt;3/28/24")</f>
        <v>0</v>
      </c>
      <c r="U103" s="19" t="e">
        <f t="shared" si="11"/>
        <v>#DIV/0!</v>
      </c>
      <c r="V103" s="19" t="str">
        <f t="shared" si="12"/>
        <v>n/a</v>
      </c>
    </row>
    <row r="104" spans="1:22" ht="16" x14ac:dyDescent="0.2">
      <c r="A104" t="str">
        <f>Users!A102</f>
        <v>u.gaukhar@gmail.com</v>
      </c>
      <c r="B104" s="29" t="str">
        <f>VLOOKUP(A104,Users!A:D,2,FALSE)</f>
        <v>Gaukhar</v>
      </c>
      <c r="C104" s="29" t="str">
        <f>VLOOKUP(A104,Users!A:D,3,FALSE)</f>
        <v>Uskenbayeva</v>
      </c>
      <c r="F104" s="1" t="e" cm="1" vm="1">
        <f t="array" ref="F104">MAX(_xlfn._xlws.FILTER(Visits!U:U,Visits!E:E='User Engagement'!A104))</f>
        <v>#VALUE!</v>
      </c>
      <c r="G104">
        <f>COUNTIF(Visits!$E$2:$E$995,'User Engagement'!$A104)</f>
        <v>0</v>
      </c>
      <c r="H104">
        <f>COUNTIFS(Visits!$E$2:$E$995,'User Engagement'!$A105,Visits!$U$2:$U$995,"&gt;"&amp;($B$1-7))</f>
        <v>0</v>
      </c>
      <c r="I104">
        <f>COUNTIFS(Visits!$E$2:$E$995,'User Engagement'!$A104,Visits!$U$2:$U$995,"&gt;"&amp;($B$1-30))</f>
        <v>0</v>
      </c>
      <c r="J104">
        <f>COUNTIFS(Visits!$E$2:$E$995,$A104,Visits!$U$2:$U$995,"&gt;"&amp;($B$1-60))-I104</f>
        <v>0</v>
      </c>
      <c r="K104">
        <f>COUNTIFS(Visits!$V:$V,'New Dashboard'!$A$22,Visits!$E:$E,'User Engagement'!$A104)</f>
        <v>0</v>
      </c>
      <c r="L104">
        <f>COUNTIFS(Visits!$V:$V,'New Dashboard'!$A$23,Visits!$E:$E,'User Engagement'!$A104)</f>
        <v>0</v>
      </c>
      <c r="M104">
        <f>COUNTIFS(Visits!$V:$V,'New Dashboard'!$A$24,Visits!$E:$E,'User Engagement'!$A104)</f>
        <v>0</v>
      </c>
      <c r="N104">
        <f>COUNTIFS(Visits!$V:$V,'New Dashboard'!$A$25,Visits!$E:$E,'User Engagement'!$A104)</f>
        <v>0</v>
      </c>
      <c r="O104">
        <f t="shared" si="14"/>
        <v>1</v>
      </c>
      <c r="P104">
        <f t="shared" si="15"/>
        <v>0</v>
      </c>
      <c r="Q104">
        <f t="shared" si="13"/>
        <v>0</v>
      </c>
      <c r="R104">
        <f t="shared" si="10"/>
        <v>0</v>
      </c>
      <c r="S104" s="5">
        <f>SUMIF(Visits!$E$2:$E$89,'User Engagement'!$A104,Visits!$L$2:$L$89)</f>
        <v>0</v>
      </c>
      <c r="T104" s="5">
        <f>SUMIFS(Visits!$L$2:$L$89,Visits!$E$2:$E$89,'User Engagement'!$A104,Visits!$U$2:$U$89,"&gt;3/28/24")</f>
        <v>0</v>
      </c>
      <c r="U104" s="19" t="e">
        <f t="shared" si="11"/>
        <v>#DIV/0!</v>
      </c>
      <c r="V104" s="19" t="str">
        <f t="shared" si="12"/>
        <v>n/a</v>
      </c>
    </row>
    <row r="105" spans="1:22" ht="16" x14ac:dyDescent="0.2">
      <c r="A105" t="str">
        <f>Users!A103</f>
        <v>Angelov.Konstantin@gmail.com</v>
      </c>
      <c r="B105" s="29" t="str">
        <f>VLOOKUP(A105,Users!A:D,2,FALSE)</f>
        <v>Konstantin</v>
      </c>
      <c r="C105" s="29" t="str">
        <f>VLOOKUP(A105,Users!A:D,3,FALSE)</f>
        <v>Angelov</v>
      </c>
      <c r="F105" s="1" t="e" cm="1" vm="1">
        <f t="array" ref="F105">MAX(_xlfn._xlws.FILTER(Visits!U:U,Visits!E:E='User Engagement'!A105))</f>
        <v>#VALUE!</v>
      </c>
      <c r="G105">
        <f>COUNTIF(Visits!$E$2:$E$995,'User Engagement'!$A105)</f>
        <v>0</v>
      </c>
      <c r="H105">
        <f>COUNTIFS(Visits!$E$2:$E$995,'User Engagement'!$A106,Visits!$U$2:$U$995,"&gt;"&amp;($B$1-7))</f>
        <v>0</v>
      </c>
      <c r="I105">
        <f>COUNTIFS(Visits!$E$2:$E$995,'User Engagement'!$A105,Visits!$U$2:$U$995,"&gt;"&amp;($B$1-30))</f>
        <v>0</v>
      </c>
      <c r="J105">
        <f>COUNTIFS(Visits!$E$2:$E$995,$A105,Visits!$U$2:$U$995,"&gt;"&amp;($B$1-60))-I105</f>
        <v>0</v>
      </c>
      <c r="K105">
        <f>COUNTIFS(Visits!$V:$V,'New Dashboard'!$A$22,Visits!$E:$E,'User Engagement'!$A105)</f>
        <v>0</v>
      </c>
      <c r="L105">
        <f>COUNTIFS(Visits!$V:$V,'New Dashboard'!$A$23,Visits!$E:$E,'User Engagement'!$A105)</f>
        <v>0</v>
      </c>
      <c r="M105">
        <f>COUNTIFS(Visits!$V:$V,'New Dashboard'!$A$24,Visits!$E:$E,'User Engagement'!$A105)</f>
        <v>0</v>
      </c>
      <c r="N105">
        <f>COUNTIFS(Visits!$V:$V,'New Dashboard'!$A$25,Visits!$E:$E,'User Engagement'!$A105)</f>
        <v>0</v>
      </c>
      <c r="O105">
        <f t="shared" si="14"/>
        <v>1</v>
      </c>
      <c r="P105">
        <f t="shared" si="15"/>
        <v>0</v>
      </c>
      <c r="Q105">
        <f t="shared" si="13"/>
        <v>0</v>
      </c>
      <c r="R105">
        <f t="shared" si="10"/>
        <v>0</v>
      </c>
      <c r="S105" s="5">
        <f>SUMIF(Visits!$E$2:$E$89,'User Engagement'!$A105,Visits!$L$2:$L$89)</f>
        <v>0</v>
      </c>
      <c r="T105" s="5">
        <f>SUMIFS(Visits!$L$2:$L$89,Visits!$E$2:$E$89,'User Engagement'!$A105,Visits!$U$2:$U$89,"&gt;3/28/24")</f>
        <v>0</v>
      </c>
      <c r="U105" s="19" t="e">
        <f t="shared" si="11"/>
        <v>#DIV/0!</v>
      </c>
      <c r="V105" s="19" t="str">
        <f t="shared" si="12"/>
        <v>n/a</v>
      </c>
    </row>
    <row r="106" spans="1:22" ht="16" x14ac:dyDescent="0.2">
      <c r="A106" t="str">
        <f>Users!A104</f>
        <v>kezheneva@gmail.com</v>
      </c>
      <c r="B106" s="29" t="str">
        <f>VLOOKUP(A106,Users!A:D,2,FALSE)</f>
        <v>Zauresh</v>
      </c>
      <c r="C106" s="29" t="str">
        <f>VLOOKUP(A106,Users!A:D,3,FALSE)</f>
        <v>Kezheneva</v>
      </c>
      <c r="F106" s="1" t="e" cm="1" vm="1">
        <f t="array" ref="F106">MAX(_xlfn._xlws.FILTER(Visits!U:U,Visits!E:E='User Engagement'!A106))</f>
        <v>#VALUE!</v>
      </c>
      <c r="G106">
        <f>COUNTIF(Visits!$E$2:$E$995,'User Engagement'!$A106)</f>
        <v>0</v>
      </c>
      <c r="H106">
        <f>COUNTIFS(Visits!$E$2:$E$995,'User Engagement'!$A107,Visits!$U$2:$U$995,"&gt;"&amp;($B$1-7))</f>
        <v>0</v>
      </c>
      <c r="I106">
        <f>COUNTIFS(Visits!$E$2:$E$995,'User Engagement'!$A106,Visits!$U$2:$U$995,"&gt;"&amp;($B$1-30))</f>
        <v>0</v>
      </c>
      <c r="J106">
        <f>COUNTIFS(Visits!$E$2:$E$995,$A106,Visits!$U$2:$U$995,"&gt;"&amp;($B$1-60))-I106</f>
        <v>0</v>
      </c>
      <c r="K106">
        <f>COUNTIFS(Visits!$V:$V,'New Dashboard'!$A$22,Visits!$E:$E,'User Engagement'!$A106)</f>
        <v>0</v>
      </c>
      <c r="L106">
        <f>COUNTIFS(Visits!$V:$V,'New Dashboard'!$A$23,Visits!$E:$E,'User Engagement'!$A106)</f>
        <v>0</v>
      </c>
      <c r="M106">
        <f>COUNTIFS(Visits!$V:$V,'New Dashboard'!$A$24,Visits!$E:$E,'User Engagement'!$A106)</f>
        <v>0</v>
      </c>
      <c r="N106">
        <f>COUNTIFS(Visits!$V:$V,'New Dashboard'!$A$25,Visits!$E:$E,'User Engagement'!$A106)</f>
        <v>0</v>
      </c>
      <c r="O106">
        <f t="shared" si="14"/>
        <v>1</v>
      </c>
      <c r="P106">
        <f t="shared" si="15"/>
        <v>0</v>
      </c>
      <c r="Q106">
        <f t="shared" si="13"/>
        <v>0</v>
      </c>
      <c r="R106">
        <f t="shared" si="10"/>
        <v>0</v>
      </c>
      <c r="S106" s="5">
        <f>SUMIF(Visits!$E$2:$E$89,'User Engagement'!$A106,Visits!$L$2:$L$89)</f>
        <v>0</v>
      </c>
      <c r="T106" s="5">
        <f>SUMIFS(Visits!$L$2:$L$89,Visits!$E$2:$E$89,'User Engagement'!$A106,Visits!$U$2:$U$89,"&gt;3/28/24")</f>
        <v>0</v>
      </c>
      <c r="U106" s="19" t="e">
        <f t="shared" si="11"/>
        <v>#DIV/0!</v>
      </c>
      <c r="V106" s="19" t="str">
        <f t="shared" si="12"/>
        <v>n/a</v>
      </c>
    </row>
    <row r="107" spans="1:22" ht="16" x14ac:dyDescent="0.2">
      <c r="A107">
        <f>Users!A105</f>
        <v>0</v>
      </c>
      <c r="B107" s="29" t="e">
        <f>VLOOKUP(A107,Users!A:D,2,FALSE)</f>
        <v>#N/A</v>
      </c>
      <c r="C107" s="29" t="e">
        <f>VLOOKUP(A107,Users!A:D,3,FALSE)</f>
        <v>#N/A</v>
      </c>
      <c r="F107" s="1" cm="1">
        <f t="array" ref="F107">MAX(_xlfn._xlws.FILTER(Visits!U:U,Visits!E:E='User Engagement'!A107))</f>
        <v>0</v>
      </c>
      <c r="G107">
        <f>COUNTIF(Visits!$E$2:$E$995,'User Engagement'!$A107)</f>
        <v>0</v>
      </c>
      <c r="H107">
        <f>COUNTIFS(Visits!$E$2:$E$995,'User Engagement'!$A108,Visits!$U$2:$U$995,"&gt;"&amp;($B$1-7))</f>
        <v>0</v>
      </c>
      <c r="I107">
        <f>COUNTIFS(Visits!$E$2:$E$995,'User Engagement'!$A107,Visits!$U$2:$U$995,"&gt;"&amp;($B$1-30))</f>
        <v>0</v>
      </c>
      <c r="J107">
        <f>COUNTIFS(Visits!$E$2:$E$995,$A107,Visits!$U$2:$U$995,"&gt;"&amp;($B$1-60))-I107</f>
        <v>0</v>
      </c>
      <c r="K107">
        <f>COUNTIFS(Visits!$V:$V,'New Dashboard'!$A$22,Visits!$E:$E,'User Engagement'!$A107)</f>
        <v>0</v>
      </c>
      <c r="L107">
        <f>COUNTIFS(Visits!$V:$V,'New Dashboard'!$A$23,Visits!$E:$E,'User Engagement'!$A107)</f>
        <v>0</v>
      </c>
      <c r="M107">
        <f>COUNTIFS(Visits!$V:$V,'New Dashboard'!$A$24,Visits!$E:$E,'User Engagement'!$A107)</f>
        <v>0</v>
      </c>
      <c r="N107">
        <f>COUNTIFS(Visits!$V:$V,'New Dashboard'!$A$25,Visits!$E:$E,'User Engagement'!$A107)</f>
        <v>0</v>
      </c>
      <c r="O107">
        <f t="shared" si="14"/>
        <v>1</v>
      </c>
      <c r="P107">
        <f t="shared" si="15"/>
        <v>0</v>
      </c>
      <c r="Q107">
        <f t="shared" si="13"/>
        <v>0</v>
      </c>
      <c r="R107">
        <f t="shared" si="10"/>
        <v>0</v>
      </c>
      <c r="S107" s="5">
        <f>SUMIF(Visits!$E$2:$E$89,'User Engagement'!$A107,Visits!$L$2:$L$89)</f>
        <v>0</v>
      </c>
      <c r="T107" s="5">
        <f>SUMIFS(Visits!$L$2:$L$89,Visits!$E$2:$E$89,'User Engagement'!$A107,Visits!$U$2:$U$89,"&gt;3/28/24")</f>
        <v>0</v>
      </c>
      <c r="U107" s="19" t="e">
        <f t="shared" si="11"/>
        <v>#DIV/0!</v>
      </c>
      <c r="V107" s="19" t="str">
        <f t="shared" si="12"/>
        <v>n/a</v>
      </c>
    </row>
    <row r="108" spans="1:22" ht="16" x14ac:dyDescent="0.2">
      <c r="A108">
        <f>Users!A106</f>
        <v>0</v>
      </c>
      <c r="B108" s="29" t="e">
        <f>VLOOKUP(A108,Users!A:D,2,FALSE)</f>
        <v>#N/A</v>
      </c>
      <c r="C108" s="29" t="e">
        <f>VLOOKUP(A108,Users!A:D,3,FALSE)</f>
        <v>#N/A</v>
      </c>
      <c r="F108" s="1" cm="1">
        <f t="array" ref="F108">MAX(_xlfn._xlws.FILTER(Visits!U:U,Visits!E:E='User Engagement'!A108))</f>
        <v>0</v>
      </c>
      <c r="G108">
        <f>COUNTIF(Visits!$E$2:$E$995,'User Engagement'!$A108)</f>
        <v>0</v>
      </c>
      <c r="H108">
        <f>COUNTIFS(Visits!$E$2:$E$995,'User Engagement'!$A109,Visits!$U$2:$U$995,"&gt;"&amp;($B$1-7))</f>
        <v>0</v>
      </c>
      <c r="I108">
        <f>COUNTIFS(Visits!$E$2:$E$995,'User Engagement'!$A108,Visits!$U$2:$U$995,"&gt;"&amp;($B$1-30))</f>
        <v>0</v>
      </c>
      <c r="J108">
        <f>COUNTIFS(Visits!$E$2:$E$995,$A108,Visits!$U$2:$U$995,"&gt;"&amp;($B$1-60))-I108</f>
        <v>0</v>
      </c>
      <c r="K108">
        <f>COUNTIFS(Visits!$V:$V,'New Dashboard'!$A$22,Visits!$E:$E,'User Engagement'!$A108)</f>
        <v>0</v>
      </c>
      <c r="L108">
        <f>COUNTIFS(Visits!$V:$V,'New Dashboard'!$A$23,Visits!$E:$E,'User Engagement'!$A108)</f>
        <v>0</v>
      </c>
      <c r="M108">
        <f>COUNTIFS(Visits!$V:$V,'New Dashboard'!$A$24,Visits!$E:$E,'User Engagement'!$A108)</f>
        <v>0</v>
      </c>
      <c r="N108">
        <f>COUNTIFS(Visits!$V:$V,'New Dashboard'!$A$25,Visits!$E:$E,'User Engagement'!$A108)</f>
        <v>0</v>
      </c>
      <c r="O108">
        <f t="shared" si="14"/>
        <v>1</v>
      </c>
      <c r="P108">
        <f t="shared" si="15"/>
        <v>0</v>
      </c>
      <c r="Q108">
        <f t="shared" si="13"/>
        <v>0</v>
      </c>
      <c r="R108">
        <f t="shared" si="10"/>
        <v>0</v>
      </c>
      <c r="S108" s="5">
        <f>SUMIF(Visits!$E$2:$E$89,'User Engagement'!$A108,Visits!$L$2:$L$89)</f>
        <v>0</v>
      </c>
      <c r="T108" s="5">
        <f>SUMIFS(Visits!$L$2:$L$89,Visits!$E$2:$E$89,'User Engagement'!$A108,Visits!$U$2:$U$89,"&gt;3/28/24")</f>
        <v>0</v>
      </c>
      <c r="U108" s="19" t="e">
        <f t="shared" si="11"/>
        <v>#DIV/0!</v>
      </c>
      <c r="V108" s="19" t="str">
        <f t="shared" si="12"/>
        <v>n/a</v>
      </c>
    </row>
    <row r="109" spans="1:22" ht="16" x14ac:dyDescent="0.2">
      <c r="A109">
        <f>Users!A107</f>
        <v>0</v>
      </c>
      <c r="B109" s="29" t="e">
        <f>VLOOKUP(A109,Users!A:D,2,FALSE)</f>
        <v>#N/A</v>
      </c>
      <c r="C109" s="29" t="e">
        <f>VLOOKUP(A109,Users!A:D,3,FALSE)</f>
        <v>#N/A</v>
      </c>
      <c r="F109" s="1" cm="1">
        <f t="array" ref="F109">MAX(_xlfn._xlws.FILTER(Visits!U:U,Visits!E:E='User Engagement'!A109))</f>
        <v>0</v>
      </c>
      <c r="G109">
        <f>COUNTIF(Visits!$E$2:$E$995,'User Engagement'!$A109)</f>
        <v>0</v>
      </c>
      <c r="H109">
        <f>COUNTIFS(Visits!$E$2:$E$995,'User Engagement'!$A110,Visits!$U$2:$U$995,"&gt;"&amp;($B$1-7))</f>
        <v>0</v>
      </c>
      <c r="I109">
        <f>COUNTIFS(Visits!$E$2:$E$995,'User Engagement'!$A109,Visits!$U$2:$U$995,"&gt;"&amp;($B$1-30))</f>
        <v>0</v>
      </c>
      <c r="J109">
        <f>COUNTIFS(Visits!$E$2:$E$995,$A109,Visits!$U$2:$U$995,"&gt;"&amp;($B$1-60))-I109</f>
        <v>0</v>
      </c>
      <c r="K109">
        <f>COUNTIFS(Visits!$V:$V,'New Dashboard'!$A$22,Visits!$E:$E,'User Engagement'!$A109)</f>
        <v>0</v>
      </c>
      <c r="L109">
        <f>COUNTIFS(Visits!$V:$V,'New Dashboard'!$A$23,Visits!$E:$E,'User Engagement'!$A109)</f>
        <v>0</v>
      </c>
      <c r="M109">
        <f>COUNTIFS(Visits!$V:$V,'New Dashboard'!$A$24,Visits!$E:$E,'User Engagement'!$A109)</f>
        <v>0</v>
      </c>
      <c r="N109">
        <f>COUNTIFS(Visits!$V:$V,'New Dashboard'!$A$25,Visits!$E:$E,'User Engagement'!$A109)</f>
        <v>0</v>
      </c>
      <c r="O109">
        <f t="shared" si="14"/>
        <v>1</v>
      </c>
      <c r="P109">
        <f t="shared" si="15"/>
        <v>0</v>
      </c>
      <c r="Q109">
        <f t="shared" si="13"/>
        <v>0</v>
      </c>
      <c r="R109">
        <f t="shared" si="10"/>
        <v>0</v>
      </c>
      <c r="S109" s="5">
        <f>SUMIF(Visits!$E$2:$E$89,'User Engagement'!$A109,Visits!$L$2:$L$89)</f>
        <v>0</v>
      </c>
      <c r="T109" s="5">
        <f>SUMIFS(Visits!$L$2:$L$89,Visits!$E$2:$E$89,'User Engagement'!$A109,Visits!$U$2:$U$89,"&gt;3/28/24")</f>
        <v>0</v>
      </c>
      <c r="U109" s="19" t="e">
        <f t="shared" si="11"/>
        <v>#DIV/0!</v>
      </c>
      <c r="V109" s="19" t="str">
        <f t="shared" si="12"/>
        <v>n/a</v>
      </c>
    </row>
    <row r="110" spans="1:22" ht="16" x14ac:dyDescent="0.2">
      <c r="A110">
        <f>Users!A108</f>
        <v>0</v>
      </c>
      <c r="B110" s="29" t="e">
        <f>VLOOKUP(A110,Users!A:D,2,FALSE)</f>
        <v>#N/A</v>
      </c>
      <c r="C110" s="29" t="e">
        <f>VLOOKUP(A110,Users!A:D,3,FALSE)</f>
        <v>#N/A</v>
      </c>
      <c r="F110" s="1" cm="1">
        <f t="array" ref="F110">MAX(_xlfn._xlws.FILTER(Visits!U:U,Visits!E:E='User Engagement'!A110))</f>
        <v>0</v>
      </c>
      <c r="G110">
        <f>COUNTIF(Visits!$E$2:$E$995,'User Engagement'!$A110)</f>
        <v>0</v>
      </c>
      <c r="H110">
        <f>COUNTIFS(Visits!$E$2:$E$995,'User Engagement'!$A111,Visits!$U$2:$U$995,"&gt;"&amp;($B$1-7))</f>
        <v>0</v>
      </c>
      <c r="I110">
        <f>COUNTIFS(Visits!$E$2:$E$995,'User Engagement'!$A110,Visits!$U$2:$U$995,"&gt;"&amp;($B$1-30))</f>
        <v>0</v>
      </c>
      <c r="J110">
        <f>COUNTIFS(Visits!$E$2:$E$995,$A110,Visits!$U$2:$U$995,"&gt;"&amp;($B$1-60))-I110</f>
        <v>0</v>
      </c>
      <c r="K110">
        <f>COUNTIFS(Visits!$V:$V,'New Dashboard'!$A$22,Visits!$E:$E,'User Engagement'!$A110)</f>
        <v>0</v>
      </c>
      <c r="L110">
        <f>COUNTIFS(Visits!$V:$V,'New Dashboard'!$A$23,Visits!$E:$E,'User Engagement'!$A110)</f>
        <v>0</v>
      </c>
      <c r="M110">
        <f>COUNTIFS(Visits!$V:$V,'New Dashboard'!$A$24,Visits!$E:$E,'User Engagement'!$A110)</f>
        <v>0</v>
      </c>
      <c r="N110">
        <f>COUNTIFS(Visits!$V:$V,'New Dashboard'!$A$25,Visits!$E:$E,'User Engagement'!$A110)</f>
        <v>0</v>
      </c>
      <c r="O110">
        <f t="shared" si="14"/>
        <v>1</v>
      </c>
      <c r="P110">
        <f t="shared" si="15"/>
        <v>0</v>
      </c>
      <c r="Q110">
        <f t="shared" si="13"/>
        <v>0</v>
      </c>
      <c r="R110">
        <f t="shared" si="10"/>
        <v>0</v>
      </c>
      <c r="S110" s="5">
        <f>SUMIF(Visits!$E$2:$E$89,'User Engagement'!$A110,Visits!$L$2:$L$89)</f>
        <v>0</v>
      </c>
      <c r="T110" s="5">
        <f>SUMIFS(Visits!$L$2:$L$89,Visits!$E$2:$E$89,'User Engagement'!$A110,Visits!$U$2:$U$89,"&gt;3/28/24")</f>
        <v>0</v>
      </c>
      <c r="U110" s="19" t="e">
        <f t="shared" si="11"/>
        <v>#DIV/0!</v>
      </c>
      <c r="V110" s="19" t="str">
        <f t="shared" si="12"/>
        <v>n/a</v>
      </c>
    </row>
    <row r="111" spans="1:22" ht="16" x14ac:dyDescent="0.2">
      <c r="A111">
        <f>Users!A109</f>
        <v>0</v>
      </c>
      <c r="B111" s="29" t="e">
        <f>VLOOKUP(A111,Users!A:D,2,FALSE)</f>
        <v>#N/A</v>
      </c>
      <c r="C111" s="29" t="e">
        <f>VLOOKUP(A111,Users!A:D,3,FALSE)</f>
        <v>#N/A</v>
      </c>
      <c r="F111" s="1" cm="1">
        <f t="array" ref="F111">MAX(_xlfn._xlws.FILTER(Visits!U:U,Visits!E:E='User Engagement'!A111))</f>
        <v>0</v>
      </c>
      <c r="G111">
        <f>COUNTIF(Visits!$E$2:$E$995,'User Engagement'!$A111)</f>
        <v>0</v>
      </c>
      <c r="H111">
        <f>COUNTIFS(Visits!$E$2:$E$995,'User Engagement'!$A112,Visits!$U$2:$U$995,"&gt;"&amp;($B$1-7))</f>
        <v>0</v>
      </c>
      <c r="I111">
        <f>COUNTIFS(Visits!$E$2:$E$995,'User Engagement'!$A111,Visits!$U$2:$U$995,"&gt;"&amp;($B$1-30))</f>
        <v>0</v>
      </c>
      <c r="J111">
        <f>COUNTIFS(Visits!$E$2:$E$995,$A111,Visits!$U$2:$U$995,"&gt;"&amp;($B$1-60))-I111</f>
        <v>0</v>
      </c>
      <c r="K111">
        <f>COUNTIFS(Visits!$V:$V,'New Dashboard'!$A$22,Visits!$E:$E,'User Engagement'!$A111)</f>
        <v>0</v>
      </c>
      <c r="L111">
        <f>COUNTIFS(Visits!$V:$V,'New Dashboard'!$A$23,Visits!$E:$E,'User Engagement'!$A111)</f>
        <v>0</v>
      </c>
      <c r="M111">
        <f>COUNTIFS(Visits!$V:$V,'New Dashboard'!$A$24,Visits!$E:$E,'User Engagement'!$A111)</f>
        <v>0</v>
      </c>
      <c r="N111">
        <f>COUNTIFS(Visits!$V:$V,'New Dashboard'!$A$25,Visits!$E:$E,'User Engagement'!$A111)</f>
        <v>0</v>
      </c>
      <c r="O111">
        <f t="shared" si="14"/>
        <v>1</v>
      </c>
      <c r="P111">
        <f t="shared" si="15"/>
        <v>0</v>
      </c>
      <c r="Q111">
        <f t="shared" si="13"/>
        <v>0</v>
      </c>
      <c r="R111">
        <f t="shared" si="10"/>
        <v>0</v>
      </c>
      <c r="S111" s="5">
        <f>SUMIF(Visits!$E$2:$E$89,'User Engagement'!$A111,Visits!$L$2:$L$89)</f>
        <v>0</v>
      </c>
      <c r="T111" s="5">
        <f>SUMIFS(Visits!$L$2:$L$89,Visits!$E$2:$E$89,'User Engagement'!$A111,Visits!$U$2:$U$89,"&gt;3/28/24")</f>
        <v>0</v>
      </c>
      <c r="U111" s="19" t="e">
        <f t="shared" si="11"/>
        <v>#DIV/0!</v>
      </c>
      <c r="V111" s="19" t="str">
        <f t="shared" si="12"/>
        <v>n/a</v>
      </c>
    </row>
    <row r="112" spans="1:22" ht="16" x14ac:dyDescent="0.2">
      <c r="A112">
        <f>Users!A110</f>
        <v>0</v>
      </c>
      <c r="B112" s="29" t="e">
        <f>VLOOKUP(A112,Users!A:D,2,FALSE)</f>
        <v>#N/A</v>
      </c>
      <c r="C112" s="29" t="e">
        <f>VLOOKUP(A112,Users!A:D,3,FALSE)</f>
        <v>#N/A</v>
      </c>
      <c r="F112" s="1" cm="1">
        <f t="array" ref="F112">MAX(_xlfn._xlws.FILTER(Visits!U:U,Visits!E:E='User Engagement'!A112))</f>
        <v>0</v>
      </c>
      <c r="G112">
        <f>COUNTIF(Visits!$E$2:$E$995,'User Engagement'!$A112)</f>
        <v>0</v>
      </c>
      <c r="H112">
        <f>COUNTIFS(Visits!$E$2:$E$995,'User Engagement'!$A113,Visits!$U$2:$U$995,"&gt;"&amp;($B$1-7))</f>
        <v>0</v>
      </c>
      <c r="I112">
        <f>COUNTIFS(Visits!$E$2:$E$995,'User Engagement'!$A112,Visits!$U$2:$U$995,"&gt;"&amp;($B$1-30))</f>
        <v>0</v>
      </c>
      <c r="J112">
        <f>COUNTIFS(Visits!$E$2:$E$995,$A112,Visits!$U$2:$U$995,"&gt;"&amp;($B$1-60))-I112</f>
        <v>0</v>
      </c>
      <c r="K112">
        <f>COUNTIFS(Visits!$V:$V,'New Dashboard'!$A$22,Visits!$E:$E,'User Engagement'!$A112)</f>
        <v>0</v>
      </c>
      <c r="L112">
        <f>COUNTIFS(Visits!$V:$V,'New Dashboard'!$A$23,Visits!$E:$E,'User Engagement'!$A112)</f>
        <v>0</v>
      </c>
      <c r="M112">
        <f>COUNTIFS(Visits!$V:$V,'New Dashboard'!$A$24,Visits!$E:$E,'User Engagement'!$A112)</f>
        <v>0</v>
      </c>
      <c r="N112">
        <f>COUNTIFS(Visits!$V:$V,'New Dashboard'!$A$25,Visits!$E:$E,'User Engagement'!$A112)</f>
        <v>0</v>
      </c>
      <c r="O112">
        <f t="shared" si="14"/>
        <v>1</v>
      </c>
      <c r="P112">
        <f t="shared" si="15"/>
        <v>0</v>
      </c>
      <c r="Q112">
        <f t="shared" si="13"/>
        <v>0</v>
      </c>
      <c r="R112">
        <f t="shared" si="10"/>
        <v>0</v>
      </c>
      <c r="S112" s="5">
        <f>SUMIF(Visits!$E$2:$E$89,'User Engagement'!$A112,Visits!$L$2:$L$89)</f>
        <v>0</v>
      </c>
      <c r="T112" s="5">
        <f>SUMIFS(Visits!$L$2:$L$89,Visits!$E$2:$E$89,'User Engagement'!$A112,Visits!$U$2:$U$89,"&gt;3/28/24")</f>
        <v>0</v>
      </c>
      <c r="U112" s="19" t="e">
        <f t="shared" si="11"/>
        <v>#DIV/0!</v>
      </c>
      <c r="V112" s="19" t="str">
        <f t="shared" si="12"/>
        <v>n/a</v>
      </c>
    </row>
    <row r="113" spans="1:22" ht="16" x14ac:dyDescent="0.2">
      <c r="A113">
        <f>Users!A111</f>
        <v>0</v>
      </c>
      <c r="B113" s="29" t="e">
        <f>VLOOKUP(A113,Users!A:D,2,FALSE)</f>
        <v>#N/A</v>
      </c>
      <c r="C113" s="29" t="e">
        <f>VLOOKUP(A113,Users!A:D,3,FALSE)</f>
        <v>#N/A</v>
      </c>
      <c r="F113" s="1" cm="1">
        <f t="array" ref="F113">MAX(_xlfn._xlws.FILTER(Visits!U:U,Visits!E:E='User Engagement'!A113))</f>
        <v>0</v>
      </c>
      <c r="G113">
        <f>COUNTIF(Visits!$E$2:$E$995,'User Engagement'!$A113)</f>
        <v>0</v>
      </c>
      <c r="H113">
        <f>COUNTIFS(Visits!$E$2:$E$995,'User Engagement'!$A114,Visits!$U$2:$U$995,"&gt;"&amp;($B$1-7))</f>
        <v>0</v>
      </c>
      <c r="I113">
        <f>COUNTIFS(Visits!$E$2:$E$995,'User Engagement'!$A113,Visits!$U$2:$U$995,"&gt;"&amp;($B$1-30))</f>
        <v>0</v>
      </c>
      <c r="J113">
        <f>COUNTIFS(Visits!$E$2:$E$995,$A113,Visits!$U$2:$U$995,"&gt;"&amp;($B$1-60))-I113</f>
        <v>0</v>
      </c>
      <c r="K113">
        <f>COUNTIFS(Visits!$V:$V,'New Dashboard'!$A$22,Visits!$E:$E,'User Engagement'!$A113)</f>
        <v>0</v>
      </c>
      <c r="L113">
        <f>COUNTIFS(Visits!$V:$V,'New Dashboard'!$A$23,Visits!$E:$E,'User Engagement'!$A113)</f>
        <v>0</v>
      </c>
      <c r="M113">
        <f>COUNTIFS(Visits!$V:$V,'New Dashboard'!$A$24,Visits!$E:$E,'User Engagement'!$A113)</f>
        <v>0</v>
      </c>
      <c r="N113">
        <f>COUNTIFS(Visits!$V:$V,'New Dashboard'!$A$25,Visits!$E:$E,'User Engagement'!$A113)</f>
        <v>0</v>
      </c>
      <c r="O113">
        <f t="shared" si="14"/>
        <v>1</v>
      </c>
      <c r="P113">
        <f t="shared" si="15"/>
        <v>0</v>
      </c>
      <c r="Q113">
        <f t="shared" si="13"/>
        <v>0</v>
      </c>
      <c r="R113">
        <f t="shared" si="10"/>
        <v>0</v>
      </c>
      <c r="S113" s="5">
        <f>SUMIF(Visits!$E$2:$E$89,'User Engagement'!$A113,Visits!$L$2:$L$89)</f>
        <v>0</v>
      </c>
      <c r="T113" s="5">
        <f>SUMIFS(Visits!$L$2:$L$89,Visits!$E$2:$E$89,'User Engagement'!$A113,Visits!$U$2:$U$89,"&gt;3/28/24")</f>
        <v>0</v>
      </c>
      <c r="U113" s="19" t="e">
        <f t="shared" si="11"/>
        <v>#DIV/0!</v>
      </c>
      <c r="V113" s="19" t="str">
        <f t="shared" si="12"/>
        <v>n/a</v>
      </c>
    </row>
    <row r="114" spans="1:22" ht="16" x14ac:dyDescent="0.2">
      <c r="A114">
        <f>Users!A112</f>
        <v>0</v>
      </c>
      <c r="B114" s="29" t="e">
        <f>VLOOKUP(A114,Users!A:D,2,FALSE)</f>
        <v>#N/A</v>
      </c>
      <c r="C114" s="29" t="e">
        <f>VLOOKUP(A114,Users!A:D,3,FALSE)</f>
        <v>#N/A</v>
      </c>
      <c r="F114" s="1" cm="1">
        <f t="array" ref="F114">MAX(_xlfn._xlws.FILTER(Visits!U:U,Visits!E:E='User Engagement'!A114))</f>
        <v>0</v>
      </c>
      <c r="G114">
        <f>COUNTIF(Visits!$E$2:$E$995,'User Engagement'!$A114)</f>
        <v>0</v>
      </c>
      <c r="H114">
        <f>COUNTIFS(Visits!$E$2:$E$995,'User Engagement'!$A115,Visits!$U$2:$U$995,"&gt;"&amp;($B$1-7))</f>
        <v>0</v>
      </c>
      <c r="I114">
        <f>COUNTIFS(Visits!$E$2:$E$995,'User Engagement'!$A114,Visits!$U$2:$U$995,"&gt;"&amp;($B$1-30))</f>
        <v>0</v>
      </c>
      <c r="J114">
        <f>COUNTIFS(Visits!$E$2:$E$995,$A114,Visits!$U$2:$U$995,"&gt;"&amp;($B$1-60))-I114</f>
        <v>0</v>
      </c>
      <c r="K114">
        <f>COUNTIFS(Visits!$V:$V,'New Dashboard'!$A$22,Visits!$E:$E,'User Engagement'!$A114)</f>
        <v>0</v>
      </c>
      <c r="L114">
        <f>COUNTIFS(Visits!$V:$V,'New Dashboard'!$A$23,Visits!$E:$E,'User Engagement'!$A114)</f>
        <v>0</v>
      </c>
      <c r="M114">
        <f>COUNTIFS(Visits!$V:$V,'New Dashboard'!$A$24,Visits!$E:$E,'User Engagement'!$A114)</f>
        <v>0</v>
      </c>
      <c r="N114">
        <f>COUNTIFS(Visits!$V:$V,'New Dashboard'!$A$25,Visits!$E:$E,'User Engagement'!$A114)</f>
        <v>0</v>
      </c>
      <c r="O114">
        <f t="shared" si="14"/>
        <v>1</v>
      </c>
      <c r="P114">
        <f t="shared" si="15"/>
        <v>0</v>
      </c>
      <c r="Q114">
        <f t="shared" si="13"/>
        <v>0</v>
      </c>
      <c r="R114">
        <f t="shared" si="10"/>
        <v>0</v>
      </c>
      <c r="S114" s="5">
        <f>SUMIF(Visits!$E$2:$E$89,'User Engagement'!$A114,Visits!$L$2:$L$89)</f>
        <v>0</v>
      </c>
      <c r="T114" s="5">
        <f>SUMIFS(Visits!$L$2:$L$89,Visits!$E$2:$E$89,'User Engagement'!$A114,Visits!$U$2:$U$89,"&gt;3/28/24")</f>
        <v>0</v>
      </c>
      <c r="U114" s="19" t="e">
        <f t="shared" si="11"/>
        <v>#DIV/0!</v>
      </c>
      <c r="V114" s="19" t="str">
        <f t="shared" si="12"/>
        <v>n/a</v>
      </c>
    </row>
    <row r="115" spans="1:22" ht="16" x14ac:dyDescent="0.2">
      <c r="A115">
        <f>Users!A113</f>
        <v>0</v>
      </c>
      <c r="B115" s="29" t="e">
        <f>VLOOKUP(A115,Users!A:D,2,FALSE)</f>
        <v>#N/A</v>
      </c>
      <c r="C115" s="29" t="e">
        <f>VLOOKUP(A115,Users!A:D,3,FALSE)</f>
        <v>#N/A</v>
      </c>
      <c r="F115" s="1" cm="1">
        <f t="array" ref="F115">MAX(_xlfn._xlws.FILTER(Visits!U:U,Visits!E:E='User Engagement'!A115))</f>
        <v>0</v>
      </c>
      <c r="G115">
        <f>COUNTIF(Visits!$E$2:$E$995,'User Engagement'!$A115)</f>
        <v>0</v>
      </c>
      <c r="H115">
        <f>COUNTIFS(Visits!$E$2:$E$995,'User Engagement'!$A116,Visits!$U$2:$U$995,"&gt;"&amp;($B$1-7))</f>
        <v>0</v>
      </c>
      <c r="I115">
        <f>COUNTIFS(Visits!$E$2:$E$995,'User Engagement'!$A115,Visits!$U$2:$U$995,"&gt;"&amp;($B$1-30))</f>
        <v>0</v>
      </c>
      <c r="J115">
        <f>COUNTIFS(Visits!$E$2:$E$995,$A115,Visits!$U$2:$U$995,"&gt;"&amp;($B$1-60))-I115</f>
        <v>0</v>
      </c>
      <c r="K115">
        <f>COUNTIFS(Visits!$V:$V,'New Dashboard'!$A$22,Visits!$E:$E,'User Engagement'!$A115)</f>
        <v>0</v>
      </c>
      <c r="L115">
        <f>COUNTIFS(Visits!$V:$V,'New Dashboard'!$A$23,Visits!$E:$E,'User Engagement'!$A115)</f>
        <v>0</v>
      </c>
      <c r="M115">
        <f>COUNTIFS(Visits!$V:$V,'New Dashboard'!$A$24,Visits!$E:$E,'User Engagement'!$A115)</f>
        <v>0</v>
      </c>
      <c r="N115">
        <f>COUNTIFS(Visits!$V:$V,'New Dashboard'!$A$25,Visits!$E:$E,'User Engagement'!$A115)</f>
        <v>0</v>
      </c>
      <c r="O115">
        <f t="shared" si="14"/>
        <v>1</v>
      </c>
      <c r="P115">
        <f t="shared" si="15"/>
        <v>0</v>
      </c>
      <c r="Q115">
        <f t="shared" si="13"/>
        <v>0</v>
      </c>
      <c r="R115">
        <f t="shared" si="10"/>
        <v>0</v>
      </c>
      <c r="S115" s="5">
        <f>SUMIF(Visits!$E$2:$E$89,'User Engagement'!$A115,Visits!$L$2:$L$89)</f>
        <v>0</v>
      </c>
      <c r="T115" s="5">
        <f>SUMIFS(Visits!$L$2:$L$89,Visits!$E$2:$E$89,'User Engagement'!$A115,Visits!$U$2:$U$89,"&gt;3/28/24")</f>
        <v>0</v>
      </c>
      <c r="U115" s="19" t="e">
        <f t="shared" si="11"/>
        <v>#DIV/0!</v>
      </c>
      <c r="V115" s="19" t="str">
        <f t="shared" si="12"/>
        <v>n/a</v>
      </c>
    </row>
    <row r="116" spans="1:22" ht="16" x14ac:dyDescent="0.2">
      <c r="A116">
        <f>Users!A114</f>
        <v>0</v>
      </c>
      <c r="B116" s="29" t="e">
        <f>VLOOKUP(A116,Users!A:D,2,FALSE)</f>
        <v>#N/A</v>
      </c>
      <c r="C116" s="29" t="e">
        <f>VLOOKUP(A116,Users!A:D,3,FALSE)</f>
        <v>#N/A</v>
      </c>
      <c r="F116" s="1" cm="1">
        <f t="array" ref="F116">MAX(_xlfn._xlws.FILTER(Visits!U:U,Visits!E:E='User Engagement'!A116))</f>
        <v>0</v>
      </c>
      <c r="G116">
        <f>COUNTIF(Visits!$E$2:$E$995,'User Engagement'!$A116)</f>
        <v>0</v>
      </c>
      <c r="H116">
        <f>COUNTIFS(Visits!$E$2:$E$995,'User Engagement'!$A117,Visits!$U$2:$U$995,"&gt;"&amp;($B$1-7))</f>
        <v>0</v>
      </c>
      <c r="I116">
        <f>COUNTIFS(Visits!$E$2:$E$995,'User Engagement'!$A116,Visits!$U$2:$U$995,"&gt;"&amp;($B$1-30))</f>
        <v>0</v>
      </c>
      <c r="J116">
        <f>COUNTIFS(Visits!$E$2:$E$995,$A116,Visits!$U$2:$U$995,"&gt;"&amp;($B$1-60))-I116</f>
        <v>0</v>
      </c>
      <c r="K116">
        <f>COUNTIFS(Visits!$V:$V,'New Dashboard'!$A$22,Visits!$E:$E,'User Engagement'!$A116)</f>
        <v>0</v>
      </c>
      <c r="L116">
        <f>COUNTIFS(Visits!$V:$V,'New Dashboard'!$A$23,Visits!$E:$E,'User Engagement'!$A116)</f>
        <v>0</v>
      </c>
      <c r="M116">
        <f>COUNTIFS(Visits!$V:$V,'New Dashboard'!$A$24,Visits!$E:$E,'User Engagement'!$A116)</f>
        <v>0</v>
      </c>
      <c r="N116">
        <f>COUNTIFS(Visits!$V:$V,'New Dashboard'!$A$25,Visits!$E:$E,'User Engagement'!$A116)</f>
        <v>0</v>
      </c>
      <c r="O116">
        <f t="shared" si="14"/>
        <v>1</v>
      </c>
      <c r="P116">
        <f t="shared" si="15"/>
        <v>0</v>
      </c>
      <c r="Q116">
        <f t="shared" si="13"/>
        <v>0</v>
      </c>
      <c r="R116">
        <f t="shared" si="10"/>
        <v>0</v>
      </c>
      <c r="S116" s="5">
        <f>SUMIF(Visits!$E$2:$E$89,'User Engagement'!$A116,Visits!$L$2:$L$89)</f>
        <v>0</v>
      </c>
      <c r="T116" s="5">
        <f>SUMIFS(Visits!$L$2:$L$89,Visits!$E$2:$E$89,'User Engagement'!$A116,Visits!$U$2:$U$89,"&gt;3/28/24")</f>
        <v>0</v>
      </c>
      <c r="U116" s="19" t="e">
        <f t="shared" si="11"/>
        <v>#DIV/0!</v>
      </c>
      <c r="V116" s="19" t="str">
        <f t="shared" si="12"/>
        <v>n/a</v>
      </c>
    </row>
    <row r="117" spans="1:22" ht="16" x14ac:dyDescent="0.2">
      <c r="A117">
        <f>Users!A115</f>
        <v>0</v>
      </c>
      <c r="B117" s="29" t="e">
        <f>VLOOKUP(A117,Users!A:D,2,FALSE)</f>
        <v>#N/A</v>
      </c>
      <c r="C117" s="29" t="e">
        <f>VLOOKUP(A117,Users!A:D,3,FALSE)</f>
        <v>#N/A</v>
      </c>
      <c r="F117" s="1" cm="1">
        <f t="array" ref="F117">MAX(_xlfn._xlws.FILTER(Visits!U:U,Visits!E:E='User Engagement'!A117))</f>
        <v>0</v>
      </c>
      <c r="G117">
        <f>COUNTIF(Visits!$E$2:$E$995,'User Engagement'!$A117)</f>
        <v>0</v>
      </c>
      <c r="H117">
        <f>COUNTIFS(Visits!$E$2:$E$995,'User Engagement'!$A118,Visits!$U$2:$U$995,"&gt;"&amp;($B$1-7))</f>
        <v>0</v>
      </c>
      <c r="I117">
        <f>COUNTIFS(Visits!$E$2:$E$995,'User Engagement'!$A117,Visits!$U$2:$U$995,"&gt;"&amp;($B$1-30))</f>
        <v>0</v>
      </c>
      <c r="J117">
        <f>COUNTIFS(Visits!$E$2:$E$995,$A117,Visits!$U$2:$U$995,"&gt;"&amp;($B$1-60))-I117</f>
        <v>0</v>
      </c>
      <c r="K117">
        <f>COUNTIFS(Visits!$V:$V,'New Dashboard'!$A$22,Visits!$E:$E,'User Engagement'!$A117)</f>
        <v>0</v>
      </c>
      <c r="L117">
        <f>COUNTIFS(Visits!$V:$V,'New Dashboard'!$A$23,Visits!$E:$E,'User Engagement'!$A117)</f>
        <v>0</v>
      </c>
      <c r="M117">
        <f>COUNTIFS(Visits!$V:$V,'New Dashboard'!$A$24,Visits!$E:$E,'User Engagement'!$A117)</f>
        <v>0</v>
      </c>
      <c r="N117">
        <f>COUNTIFS(Visits!$V:$V,'New Dashboard'!$A$25,Visits!$E:$E,'User Engagement'!$A117)</f>
        <v>0</v>
      </c>
      <c r="O117">
        <f t="shared" si="14"/>
        <v>1</v>
      </c>
      <c r="P117">
        <f t="shared" si="15"/>
        <v>0</v>
      </c>
      <c r="Q117">
        <f t="shared" si="13"/>
        <v>0</v>
      </c>
      <c r="R117">
        <f t="shared" si="10"/>
        <v>0</v>
      </c>
      <c r="S117" s="5">
        <f>SUMIF(Visits!$E$2:$E$89,'User Engagement'!$A117,Visits!$L$2:$L$89)</f>
        <v>0</v>
      </c>
      <c r="T117" s="5">
        <f>SUMIFS(Visits!$L$2:$L$89,Visits!$E$2:$E$89,'User Engagement'!$A117,Visits!$U$2:$U$89,"&gt;3/28/24")</f>
        <v>0</v>
      </c>
      <c r="U117" s="19" t="e">
        <f t="shared" si="11"/>
        <v>#DIV/0!</v>
      </c>
      <c r="V117" s="19" t="str">
        <f t="shared" si="12"/>
        <v>n/a</v>
      </c>
    </row>
    <row r="118" spans="1:22" ht="16" x14ac:dyDescent="0.2">
      <c r="A118">
        <f>Users!A116</f>
        <v>0</v>
      </c>
      <c r="B118" s="29" t="e">
        <f>VLOOKUP(A118,Users!A:D,2,FALSE)</f>
        <v>#N/A</v>
      </c>
      <c r="C118" s="29" t="e">
        <f>VLOOKUP(A118,Users!A:D,3,FALSE)</f>
        <v>#N/A</v>
      </c>
      <c r="F118" s="1" cm="1">
        <f t="array" ref="F118">MAX(_xlfn._xlws.FILTER(Visits!U:U,Visits!E:E='User Engagement'!A118))</f>
        <v>0</v>
      </c>
      <c r="G118">
        <f>COUNTIF(Visits!$E$2:$E$995,'User Engagement'!$A118)</f>
        <v>0</v>
      </c>
      <c r="H118">
        <f>COUNTIFS(Visits!$E$2:$E$995,'User Engagement'!$A119,Visits!$U$2:$U$995,"&gt;"&amp;($B$1-7))</f>
        <v>0</v>
      </c>
      <c r="I118">
        <f>COUNTIFS(Visits!$E$2:$E$995,'User Engagement'!$A118,Visits!$U$2:$U$995,"&gt;"&amp;($B$1-30))</f>
        <v>0</v>
      </c>
      <c r="J118">
        <f>COUNTIFS(Visits!$E$2:$E$995,$A118,Visits!$U$2:$U$995,"&gt;"&amp;($B$1-60))-I118</f>
        <v>0</v>
      </c>
      <c r="K118">
        <f>COUNTIFS(Visits!$V:$V,'New Dashboard'!$A$22,Visits!$E:$E,'User Engagement'!$A118)</f>
        <v>0</v>
      </c>
      <c r="L118">
        <f>COUNTIFS(Visits!$V:$V,'New Dashboard'!$A$23,Visits!$E:$E,'User Engagement'!$A118)</f>
        <v>0</v>
      </c>
      <c r="M118">
        <f>COUNTIFS(Visits!$V:$V,'New Dashboard'!$A$24,Visits!$E:$E,'User Engagement'!$A118)</f>
        <v>0</v>
      </c>
      <c r="N118">
        <f>COUNTIFS(Visits!$V:$V,'New Dashboard'!$A$25,Visits!$E:$E,'User Engagement'!$A118)</f>
        <v>0</v>
      </c>
      <c r="O118">
        <f t="shared" si="14"/>
        <v>1</v>
      </c>
      <c r="P118">
        <f t="shared" si="15"/>
        <v>0</v>
      </c>
      <c r="Q118">
        <f t="shared" si="13"/>
        <v>0</v>
      </c>
      <c r="R118">
        <f t="shared" si="10"/>
        <v>0</v>
      </c>
      <c r="S118" s="5">
        <f>SUMIF(Visits!$E$2:$E$89,'User Engagement'!$A118,Visits!$L$2:$L$89)</f>
        <v>0</v>
      </c>
      <c r="T118" s="5">
        <f>SUMIFS(Visits!$L$2:$L$89,Visits!$E$2:$E$89,'User Engagement'!$A118,Visits!$U$2:$U$89,"&gt;3/28/24")</f>
        <v>0</v>
      </c>
      <c r="U118" s="19" t="e">
        <f t="shared" si="11"/>
        <v>#DIV/0!</v>
      </c>
      <c r="V118" s="19" t="str">
        <f t="shared" si="12"/>
        <v>n/a</v>
      </c>
    </row>
    <row r="119" spans="1:22" ht="16" x14ac:dyDescent="0.2">
      <c r="A119">
        <f>Users!A117</f>
        <v>0</v>
      </c>
      <c r="B119" s="29" t="e">
        <f>VLOOKUP(A119,Users!A:D,2,FALSE)</f>
        <v>#N/A</v>
      </c>
      <c r="C119" s="29" t="e">
        <f>VLOOKUP(A119,Users!A:D,3,FALSE)</f>
        <v>#N/A</v>
      </c>
      <c r="F119" s="1" cm="1">
        <f t="array" ref="F119">MAX(_xlfn._xlws.FILTER(Visits!U:U,Visits!E:E='User Engagement'!A119))</f>
        <v>0</v>
      </c>
      <c r="G119">
        <f>COUNTIF(Visits!$E$2:$E$995,'User Engagement'!$A119)</f>
        <v>0</v>
      </c>
      <c r="H119">
        <f>COUNTIFS(Visits!$E$2:$E$995,'User Engagement'!$A120,Visits!$U$2:$U$995,"&gt;"&amp;($B$1-7))</f>
        <v>0</v>
      </c>
      <c r="I119">
        <f>COUNTIFS(Visits!$E$2:$E$995,'User Engagement'!$A119,Visits!$U$2:$U$995,"&gt;"&amp;($B$1-30))</f>
        <v>0</v>
      </c>
      <c r="J119">
        <f>COUNTIFS(Visits!$E$2:$E$995,$A119,Visits!$U$2:$U$995,"&gt;"&amp;($B$1-60))-I119</f>
        <v>0</v>
      </c>
      <c r="K119">
        <f>COUNTIFS(Visits!$V:$V,'New Dashboard'!$A$22,Visits!$E:$E,'User Engagement'!$A119)</f>
        <v>0</v>
      </c>
      <c r="L119">
        <f>COUNTIFS(Visits!$V:$V,'New Dashboard'!$A$23,Visits!$E:$E,'User Engagement'!$A119)</f>
        <v>0</v>
      </c>
      <c r="M119">
        <f>COUNTIFS(Visits!$V:$V,'New Dashboard'!$A$24,Visits!$E:$E,'User Engagement'!$A119)</f>
        <v>0</v>
      </c>
      <c r="N119">
        <f>COUNTIFS(Visits!$V:$V,'New Dashboard'!$A$25,Visits!$E:$E,'User Engagement'!$A119)</f>
        <v>0</v>
      </c>
      <c r="O119">
        <f t="shared" si="14"/>
        <v>1</v>
      </c>
      <c r="P119">
        <f t="shared" si="15"/>
        <v>0</v>
      </c>
      <c r="Q119">
        <f t="shared" si="13"/>
        <v>0</v>
      </c>
      <c r="R119">
        <f t="shared" si="10"/>
        <v>0</v>
      </c>
      <c r="S119" s="5">
        <f>SUMIF(Visits!$E$2:$E$89,'User Engagement'!$A119,Visits!$L$2:$L$89)</f>
        <v>0</v>
      </c>
      <c r="T119" s="5">
        <f>SUMIFS(Visits!$L$2:$L$89,Visits!$E$2:$E$89,'User Engagement'!$A119,Visits!$U$2:$U$89,"&gt;3/28/24")</f>
        <v>0</v>
      </c>
      <c r="U119" s="19" t="e">
        <f t="shared" si="11"/>
        <v>#DIV/0!</v>
      </c>
      <c r="V119" s="19" t="str">
        <f t="shared" si="12"/>
        <v>n/a</v>
      </c>
    </row>
    <row r="120" spans="1:22" ht="16" x14ac:dyDescent="0.2">
      <c r="A120">
        <f>Users!A118</f>
        <v>0</v>
      </c>
      <c r="B120" s="29" t="e">
        <f>VLOOKUP(A120,Users!A:D,2,FALSE)</f>
        <v>#N/A</v>
      </c>
      <c r="C120" s="29" t="e">
        <f>VLOOKUP(A120,Users!A:D,3,FALSE)</f>
        <v>#N/A</v>
      </c>
      <c r="F120" s="1" cm="1">
        <f t="array" ref="F120">MAX(_xlfn._xlws.FILTER(Visits!U:U,Visits!E:E='User Engagement'!A120))</f>
        <v>0</v>
      </c>
      <c r="G120">
        <f>COUNTIF(Visits!$E$2:$E$995,'User Engagement'!$A120)</f>
        <v>0</v>
      </c>
      <c r="H120">
        <f>COUNTIFS(Visits!$E$2:$E$995,'User Engagement'!$A121,Visits!$U$2:$U$995,"&gt;"&amp;($B$1-7))</f>
        <v>0</v>
      </c>
      <c r="I120">
        <f>COUNTIFS(Visits!$E$2:$E$995,'User Engagement'!$A120,Visits!$U$2:$U$995,"&gt;"&amp;($B$1-30))</f>
        <v>0</v>
      </c>
      <c r="J120">
        <f>COUNTIFS(Visits!$E$2:$E$995,$A120,Visits!$U$2:$U$995,"&gt;"&amp;($B$1-60))-I120</f>
        <v>0</v>
      </c>
      <c r="K120">
        <f>COUNTIFS(Visits!$V:$V,'New Dashboard'!$A$22,Visits!$E:$E,'User Engagement'!$A120)</f>
        <v>0</v>
      </c>
      <c r="L120">
        <f>COUNTIFS(Visits!$V:$V,'New Dashboard'!$A$23,Visits!$E:$E,'User Engagement'!$A120)</f>
        <v>0</v>
      </c>
      <c r="M120">
        <f>COUNTIFS(Visits!$V:$V,'New Dashboard'!$A$24,Visits!$E:$E,'User Engagement'!$A120)</f>
        <v>0</v>
      </c>
      <c r="N120">
        <f>COUNTIFS(Visits!$V:$V,'New Dashboard'!$A$25,Visits!$E:$E,'User Engagement'!$A120)</f>
        <v>0</v>
      </c>
      <c r="O120">
        <f t="shared" si="14"/>
        <v>1</v>
      </c>
      <c r="P120">
        <f t="shared" si="15"/>
        <v>0</v>
      </c>
      <c r="Q120">
        <f t="shared" si="13"/>
        <v>0</v>
      </c>
      <c r="R120">
        <f t="shared" si="10"/>
        <v>0</v>
      </c>
      <c r="S120" s="5">
        <f>SUMIF(Visits!$E$2:$E$89,'User Engagement'!$A120,Visits!$L$2:$L$89)</f>
        <v>0</v>
      </c>
      <c r="T120" s="5">
        <f>SUMIFS(Visits!$L$2:$L$89,Visits!$E$2:$E$89,'User Engagement'!$A120,Visits!$U$2:$U$89,"&gt;3/28/24")</f>
        <v>0</v>
      </c>
      <c r="U120" s="19" t="e">
        <f t="shared" si="11"/>
        <v>#DIV/0!</v>
      </c>
      <c r="V120" s="19" t="str">
        <f t="shared" si="12"/>
        <v>n/a</v>
      </c>
    </row>
    <row r="121" spans="1:22" ht="16" x14ac:dyDescent="0.2">
      <c r="A121">
        <f>Users!A119</f>
        <v>0</v>
      </c>
      <c r="B121" s="29" t="e">
        <f>VLOOKUP(A121,Users!A:D,2,FALSE)</f>
        <v>#N/A</v>
      </c>
      <c r="C121" s="29" t="e">
        <f>VLOOKUP(A121,Users!A:D,3,FALSE)</f>
        <v>#N/A</v>
      </c>
      <c r="F121" s="1" cm="1">
        <f t="array" ref="F121">MAX(_xlfn._xlws.FILTER(Visits!U:U,Visits!E:E='User Engagement'!A121))</f>
        <v>0</v>
      </c>
      <c r="G121">
        <f>COUNTIF(Visits!$E$2:$E$995,'User Engagement'!$A121)</f>
        <v>0</v>
      </c>
      <c r="H121">
        <f>COUNTIFS(Visits!$E$2:$E$995,'User Engagement'!$A122,Visits!$U$2:$U$995,"&gt;"&amp;($B$1-7))</f>
        <v>0</v>
      </c>
      <c r="I121">
        <f>COUNTIFS(Visits!$E$2:$E$995,'User Engagement'!$A121,Visits!$U$2:$U$995,"&gt;"&amp;($B$1-30))</f>
        <v>0</v>
      </c>
      <c r="J121">
        <f>COUNTIFS(Visits!$E$2:$E$995,$A121,Visits!$U$2:$U$995,"&gt;"&amp;($B$1-60))-I121</f>
        <v>0</v>
      </c>
      <c r="K121">
        <f>COUNTIFS(Visits!$V:$V,'New Dashboard'!$A$22,Visits!$E:$E,'User Engagement'!$A121)</f>
        <v>0</v>
      </c>
      <c r="L121">
        <f>COUNTIFS(Visits!$V:$V,'New Dashboard'!$A$23,Visits!$E:$E,'User Engagement'!$A121)</f>
        <v>0</v>
      </c>
      <c r="M121">
        <f>COUNTIFS(Visits!$V:$V,'New Dashboard'!$A$24,Visits!$E:$E,'User Engagement'!$A121)</f>
        <v>0</v>
      </c>
      <c r="N121">
        <f>COUNTIFS(Visits!$V:$V,'New Dashboard'!$A$25,Visits!$E:$E,'User Engagement'!$A121)</f>
        <v>0</v>
      </c>
      <c r="O121">
        <f t="shared" si="14"/>
        <v>1</v>
      </c>
      <c r="P121">
        <f t="shared" si="15"/>
        <v>0</v>
      </c>
      <c r="Q121">
        <f t="shared" si="13"/>
        <v>0</v>
      </c>
      <c r="R121">
        <f t="shared" si="10"/>
        <v>0</v>
      </c>
      <c r="S121" s="5">
        <f>SUMIF(Visits!$E$2:$E$89,'User Engagement'!$A121,Visits!$L$2:$L$89)</f>
        <v>0</v>
      </c>
      <c r="T121" s="5">
        <f>SUMIFS(Visits!$L$2:$L$89,Visits!$E$2:$E$89,'User Engagement'!$A121,Visits!$U$2:$U$89,"&gt;3/28/24")</f>
        <v>0</v>
      </c>
      <c r="U121" s="19" t="e">
        <f t="shared" si="11"/>
        <v>#DIV/0!</v>
      </c>
      <c r="V121" s="19" t="str">
        <f t="shared" si="12"/>
        <v>n/a</v>
      </c>
    </row>
    <row r="122" spans="1:22" ht="16" x14ac:dyDescent="0.2">
      <c r="A122">
        <f>Users!A120</f>
        <v>0</v>
      </c>
      <c r="B122" s="29" t="e">
        <f>VLOOKUP(A122,Users!A:D,2,FALSE)</f>
        <v>#N/A</v>
      </c>
      <c r="C122" s="29" t="e">
        <f>VLOOKUP(A122,Users!A:D,3,FALSE)</f>
        <v>#N/A</v>
      </c>
      <c r="F122" s="1" cm="1">
        <f t="array" ref="F122">MAX(_xlfn._xlws.FILTER(Visits!U:U,Visits!E:E='User Engagement'!A122))</f>
        <v>0</v>
      </c>
      <c r="G122">
        <f>COUNTIF(Visits!$E$2:$E$995,'User Engagement'!$A122)</f>
        <v>0</v>
      </c>
      <c r="H122">
        <f>COUNTIFS(Visits!$E$2:$E$995,'User Engagement'!$A123,Visits!$U$2:$U$995,"&gt;"&amp;($B$1-7))</f>
        <v>0</v>
      </c>
      <c r="I122">
        <f>COUNTIFS(Visits!$E$2:$E$995,'User Engagement'!$A122,Visits!$U$2:$U$995,"&gt;"&amp;($B$1-30))</f>
        <v>0</v>
      </c>
      <c r="J122">
        <f>COUNTIFS(Visits!$E$2:$E$995,$A122,Visits!$U$2:$U$995,"&gt;"&amp;($B$1-60))-I122</f>
        <v>0</v>
      </c>
      <c r="K122">
        <f>COUNTIFS(Visits!$V:$V,'New Dashboard'!$A$22,Visits!$E:$E,'User Engagement'!$A122)</f>
        <v>0</v>
      </c>
      <c r="L122">
        <f>COUNTIFS(Visits!$V:$V,'New Dashboard'!$A$23,Visits!$E:$E,'User Engagement'!$A122)</f>
        <v>0</v>
      </c>
      <c r="M122">
        <f>COUNTIFS(Visits!$V:$V,'New Dashboard'!$A$24,Visits!$E:$E,'User Engagement'!$A122)</f>
        <v>0</v>
      </c>
      <c r="N122">
        <f>COUNTIFS(Visits!$V:$V,'New Dashboard'!$A$25,Visits!$E:$E,'User Engagement'!$A122)</f>
        <v>0</v>
      </c>
      <c r="O122">
        <f t="shared" si="14"/>
        <v>1</v>
      </c>
      <c r="P122">
        <f t="shared" si="15"/>
        <v>0</v>
      </c>
      <c r="Q122">
        <f t="shared" si="13"/>
        <v>0</v>
      </c>
      <c r="R122">
        <f t="shared" si="10"/>
        <v>0</v>
      </c>
      <c r="S122" s="5">
        <f>SUMIF(Visits!$E$2:$E$89,'User Engagement'!$A122,Visits!$L$2:$L$89)</f>
        <v>0</v>
      </c>
      <c r="T122" s="5">
        <f>SUMIFS(Visits!$L$2:$L$89,Visits!$E$2:$E$89,'User Engagement'!$A122,Visits!$U$2:$U$89,"&gt;3/28/24")</f>
        <v>0</v>
      </c>
      <c r="U122" s="19" t="e">
        <f t="shared" si="11"/>
        <v>#DIV/0!</v>
      </c>
      <c r="V122" s="19" t="str">
        <f t="shared" si="12"/>
        <v>n/a</v>
      </c>
    </row>
    <row r="123" spans="1:22" ht="16" x14ac:dyDescent="0.2">
      <c r="A123">
        <f>Users!A121</f>
        <v>0</v>
      </c>
      <c r="B123" s="29" t="e">
        <f>VLOOKUP(A123,Users!A:D,2,FALSE)</f>
        <v>#N/A</v>
      </c>
      <c r="C123" s="29" t="e">
        <f>VLOOKUP(A123,Users!A:D,3,FALSE)</f>
        <v>#N/A</v>
      </c>
      <c r="F123" s="1" cm="1">
        <f t="array" ref="F123">MAX(_xlfn._xlws.FILTER(Visits!U:U,Visits!E:E='User Engagement'!A123))</f>
        <v>0</v>
      </c>
      <c r="G123">
        <f>COUNTIF(Visits!$E$2:$E$995,'User Engagement'!$A123)</f>
        <v>0</v>
      </c>
      <c r="H123">
        <f>COUNTIFS(Visits!$E$2:$E$995,'User Engagement'!$A124,Visits!$U$2:$U$995,"&gt;"&amp;($B$1-7))</f>
        <v>0</v>
      </c>
      <c r="I123">
        <f>COUNTIFS(Visits!$E$2:$E$995,'User Engagement'!$A123,Visits!$U$2:$U$995,"&gt;"&amp;($B$1-30))</f>
        <v>0</v>
      </c>
      <c r="J123">
        <f>COUNTIFS(Visits!$E$2:$E$995,$A123,Visits!$U$2:$U$995,"&gt;"&amp;($B$1-60))-I123</f>
        <v>0</v>
      </c>
      <c r="K123">
        <f>COUNTIFS(Visits!$V:$V,'New Dashboard'!$A$22,Visits!$E:$E,'User Engagement'!$A123)</f>
        <v>0</v>
      </c>
      <c r="L123">
        <f>COUNTIFS(Visits!$V:$V,'New Dashboard'!$A$23,Visits!$E:$E,'User Engagement'!$A123)</f>
        <v>0</v>
      </c>
      <c r="M123">
        <f>COUNTIFS(Visits!$V:$V,'New Dashboard'!$A$24,Visits!$E:$E,'User Engagement'!$A123)</f>
        <v>0</v>
      </c>
      <c r="N123">
        <f>COUNTIFS(Visits!$V:$V,'New Dashboard'!$A$25,Visits!$E:$E,'User Engagement'!$A123)</f>
        <v>0</v>
      </c>
      <c r="O123">
        <f t="shared" si="14"/>
        <v>1</v>
      </c>
      <c r="P123">
        <f t="shared" si="15"/>
        <v>0</v>
      </c>
      <c r="Q123">
        <f t="shared" si="13"/>
        <v>0</v>
      </c>
      <c r="R123">
        <f t="shared" si="10"/>
        <v>0</v>
      </c>
      <c r="S123" s="5">
        <f>SUMIF(Visits!$E$2:$E$89,'User Engagement'!$A123,Visits!$L$2:$L$89)</f>
        <v>0</v>
      </c>
      <c r="T123" s="5">
        <f>SUMIFS(Visits!$L$2:$L$89,Visits!$E$2:$E$89,'User Engagement'!$A123,Visits!$U$2:$U$89,"&gt;3/28/24")</f>
        <v>0</v>
      </c>
      <c r="U123" s="19" t="e">
        <f t="shared" si="11"/>
        <v>#DIV/0!</v>
      </c>
      <c r="V123" s="19" t="str">
        <f t="shared" si="12"/>
        <v>n/a</v>
      </c>
    </row>
    <row r="124" spans="1:22" ht="16" x14ac:dyDescent="0.2">
      <c r="A124">
        <f>Users!A122</f>
        <v>0</v>
      </c>
      <c r="B124" s="29" t="e">
        <f>VLOOKUP(A124,Users!A:D,2,FALSE)</f>
        <v>#N/A</v>
      </c>
      <c r="C124" s="29" t="e">
        <f>VLOOKUP(A124,Users!A:D,3,FALSE)</f>
        <v>#N/A</v>
      </c>
      <c r="F124" s="1" cm="1">
        <f t="array" ref="F124">MAX(_xlfn._xlws.FILTER(Visits!U:U,Visits!E:E='User Engagement'!A124))</f>
        <v>0</v>
      </c>
      <c r="G124">
        <f>COUNTIF(Visits!$E$2:$E$995,'User Engagement'!$A124)</f>
        <v>0</v>
      </c>
      <c r="H124">
        <f>COUNTIFS(Visits!$E$2:$E$995,'User Engagement'!$A125,Visits!$U$2:$U$995,"&gt;"&amp;($B$1-7))</f>
        <v>0</v>
      </c>
      <c r="I124">
        <f>COUNTIFS(Visits!$E$2:$E$995,'User Engagement'!$A124,Visits!$U$2:$U$995,"&gt;"&amp;($B$1-30))</f>
        <v>0</v>
      </c>
      <c r="J124">
        <f>COUNTIFS(Visits!$E$2:$E$995,$A124,Visits!$U$2:$U$995,"&gt;"&amp;($B$1-60))-I124</f>
        <v>0</v>
      </c>
      <c r="K124">
        <f>COUNTIFS(Visits!$V:$V,'New Dashboard'!$A$22,Visits!$E:$E,'User Engagement'!$A124)</f>
        <v>0</v>
      </c>
      <c r="L124">
        <f>COUNTIFS(Visits!$V:$V,'New Dashboard'!$A$23,Visits!$E:$E,'User Engagement'!$A124)</f>
        <v>0</v>
      </c>
      <c r="M124">
        <f>COUNTIFS(Visits!$V:$V,'New Dashboard'!$A$24,Visits!$E:$E,'User Engagement'!$A124)</f>
        <v>0</v>
      </c>
      <c r="N124">
        <f>COUNTIFS(Visits!$V:$V,'New Dashboard'!$A$25,Visits!$E:$E,'User Engagement'!$A124)</f>
        <v>0</v>
      </c>
      <c r="O124">
        <f t="shared" si="14"/>
        <v>1</v>
      </c>
      <c r="P124">
        <f t="shared" si="15"/>
        <v>0</v>
      </c>
      <c r="Q124">
        <f t="shared" si="13"/>
        <v>0</v>
      </c>
      <c r="R124">
        <f t="shared" si="10"/>
        <v>0</v>
      </c>
      <c r="S124" s="5">
        <f>SUMIF(Visits!$E$2:$E$89,'User Engagement'!$A124,Visits!$L$2:$L$89)</f>
        <v>0</v>
      </c>
      <c r="T124" s="5">
        <f>SUMIFS(Visits!$L$2:$L$89,Visits!$E$2:$E$89,'User Engagement'!$A124,Visits!$U$2:$U$89,"&gt;3/28/24")</f>
        <v>0</v>
      </c>
      <c r="U124" s="19" t="e">
        <f t="shared" si="11"/>
        <v>#DIV/0!</v>
      </c>
      <c r="V124" s="19" t="str">
        <f t="shared" si="12"/>
        <v>n/a</v>
      </c>
    </row>
    <row r="125" spans="1:22" ht="16" x14ac:dyDescent="0.2">
      <c r="A125">
        <f>Users!A123</f>
        <v>0</v>
      </c>
      <c r="B125" s="29" t="e">
        <f>VLOOKUP(A125,Users!A:D,2,FALSE)</f>
        <v>#N/A</v>
      </c>
      <c r="C125" s="29" t="e">
        <f>VLOOKUP(A125,Users!A:D,3,FALSE)</f>
        <v>#N/A</v>
      </c>
      <c r="F125" s="1" cm="1">
        <f t="array" ref="F125">MAX(_xlfn._xlws.FILTER(Visits!U:U,Visits!E:E='User Engagement'!A125))</f>
        <v>0</v>
      </c>
      <c r="G125">
        <f>COUNTIF(Visits!$E$2:$E$995,'User Engagement'!$A125)</f>
        <v>0</v>
      </c>
      <c r="H125">
        <f>COUNTIFS(Visits!$E$2:$E$995,'User Engagement'!$A126,Visits!$U$2:$U$995,"&gt;"&amp;($B$1-7))</f>
        <v>0</v>
      </c>
      <c r="I125">
        <f>COUNTIFS(Visits!$E$2:$E$995,'User Engagement'!$A125,Visits!$U$2:$U$995,"&gt;"&amp;($B$1-30))</f>
        <v>0</v>
      </c>
      <c r="J125">
        <f>COUNTIFS(Visits!$E$2:$E$995,$A125,Visits!$U$2:$U$995,"&gt;"&amp;($B$1-60))-I125</f>
        <v>0</v>
      </c>
      <c r="K125">
        <f>COUNTIFS(Visits!$V:$V,'New Dashboard'!$A$22,Visits!$E:$E,'User Engagement'!$A125)</f>
        <v>0</v>
      </c>
      <c r="L125">
        <f>COUNTIFS(Visits!$V:$V,'New Dashboard'!$A$23,Visits!$E:$E,'User Engagement'!$A125)</f>
        <v>0</v>
      </c>
      <c r="M125">
        <f>COUNTIFS(Visits!$V:$V,'New Dashboard'!$A$24,Visits!$E:$E,'User Engagement'!$A125)</f>
        <v>0</v>
      </c>
      <c r="N125">
        <f>COUNTIFS(Visits!$V:$V,'New Dashboard'!$A$25,Visits!$E:$E,'User Engagement'!$A125)</f>
        <v>0</v>
      </c>
      <c r="O125">
        <f t="shared" si="14"/>
        <v>1</v>
      </c>
      <c r="P125">
        <f t="shared" si="15"/>
        <v>0</v>
      </c>
      <c r="Q125">
        <f t="shared" si="13"/>
        <v>0</v>
      </c>
      <c r="R125">
        <f t="shared" si="10"/>
        <v>0</v>
      </c>
      <c r="S125" s="5">
        <f>SUMIF(Visits!$E$2:$E$89,'User Engagement'!$A125,Visits!$L$2:$L$89)</f>
        <v>0</v>
      </c>
      <c r="T125" s="5">
        <f>SUMIFS(Visits!$L$2:$L$89,Visits!$E$2:$E$89,'User Engagement'!$A125,Visits!$U$2:$U$89,"&gt;3/28/24")</f>
        <v>0</v>
      </c>
      <c r="U125" s="19" t="e">
        <f t="shared" si="11"/>
        <v>#DIV/0!</v>
      </c>
      <c r="V125" s="19" t="str">
        <f t="shared" si="12"/>
        <v>n/a</v>
      </c>
    </row>
    <row r="126" spans="1:22" ht="16" x14ac:dyDescent="0.2">
      <c r="A126">
        <f>Users!A124</f>
        <v>0</v>
      </c>
      <c r="B126" s="29" t="e">
        <f>VLOOKUP(A126,Users!A:D,2,FALSE)</f>
        <v>#N/A</v>
      </c>
      <c r="C126" s="29" t="e">
        <f>VLOOKUP(A126,Users!A:D,3,FALSE)</f>
        <v>#N/A</v>
      </c>
      <c r="F126" s="1" cm="1">
        <f t="array" ref="F126">MAX(_xlfn._xlws.FILTER(Visits!U:U,Visits!E:E='User Engagement'!A126))</f>
        <v>0</v>
      </c>
      <c r="G126">
        <f>COUNTIF(Visits!$E$2:$E$995,'User Engagement'!$A126)</f>
        <v>0</v>
      </c>
      <c r="H126">
        <f>COUNTIFS(Visits!$E$2:$E$995,'User Engagement'!$A127,Visits!$U$2:$U$995,"&gt;"&amp;($B$1-7))</f>
        <v>0</v>
      </c>
      <c r="I126">
        <f>COUNTIFS(Visits!$E$2:$E$995,'User Engagement'!$A126,Visits!$U$2:$U$995,"&gt;"&amp;($B$1-30))</f>
        <v>0</v>
      </c>
      <c r="J126">
        <f>COUNTIFS(Visits!$E$2:$E$995,$A126,Visits!$U$2:$U$995,"&gt;"&amp;($B$1-60))-I126</f>
        <v>0</v>
      </c>
      <c r="K126">
        <f>COUNTIFS(Visits!$V:$V,'New Dashboard'!$A$22,Visits!$E:$E,'User Engagement'!$A126)</f>
        <v>0</v>
      </c>
      <c r="L126">
        <f>COUNTIFS(Visits!$V:$V,'New Dashboard'!$A$23,Visits!$E:$E,'User Engagement'!$A126)</f>
        <v>0</v>
      </c>
      <c r="M126">
        <f>COUNTIFS(Visits!$V:$V,'New Dashboard'!$A$24,Visits!$E:$E,'User Engagement'!$A126)</f>
        <v>0</v>
      </c>
      <c r="N126">
        <f>COUNTIFS(Visits!$V:$V,'New Dashboard'!$A$25,Visits!$E:$E,'User Engagement'!$A126)</f>
        <v>0</v>
      </c>
      <c r="O126">
        <f t="shared" si="14"/>
        <v>1</v>
      </c>
      <c r="P126">
        <f t="shared" si="15"/>
        <v>0</v>
      </c>
      <c r="Q126">
        <f t="shared" si="13"/>
        <v>0</v>
      </c>
      <c r="R126">
        <f t="shared" si="10"/>
        <v>0</v>
      </c>
      <c r="S126" s="5">
        <f>SUMIF(Visits!$E$2:$E$89,'User Engagement'!$A126,Visits!$L$2:$L$89)</f>
        <v>0</v>
      </c>
      <c r="T126" s="5">
        <f>SUMIFS(Visits!$L$2:$L$89,Visits!$E$2:$E$89,'User Engagement'!$A126,Visits!$U$2:$U$89,"&gt;3/28/24")</f>
        <v>0</v>
      </c>
      <c r="U126" s="19" t="e">
        <f t="shared" si="11"/>
        <v>#DIV/0!</v>
      </c>
      <c r="V126" s="19" t="str">
        <f t="shared" si="12"/>
        <v>n/a</v>
      </c>
    </row>
    <row r="127" spans="1:22" ht="16" x14ac:dyDescent="0.2">
      <c r="A127">
        <f>Users!A125</f>
        <v>0</v>
      </c>
      <c r="B127" s="29" t="e">
        <f>VLOOKUP(A127,Users!A:D,2,FALSE)</f>
        <v>#N/A</v>
      </c>
      <c r="C127" s="29" t="e">
        <f>VLOOKUP(A127,Users!A:D,3,FALSE)</f>
        <v>#N/A</v>
      </c>
      <c r="F127" s="1" cm="1">
        <f t="array" ref="F127">MAX(_xlfn._xlws.FILTER(Visits!U:U,Visits!E:E='User Engagement'!A127))</f>
        <v>0</v>
      </c>
      <c r="G127">
        <f>COUNTIF(Visits!$E$2:$E$995,'User Engagement'!$A127)</f>
        <v>0</v>
      </c>
      <c r="H127">
        <f>COUNTIFS(Visits!$E$2:$E$995,'User Engagement'!$A128,Visits!$U$2:$U$995,"&gt;"&amp;($B$1-7))</f>
        <v>0</v>
      </c>
      <c r="I127">
        <f>COUNTIFS(Visits!$E$2:$E$995,'User Engagement'!$A127,Visits!$U$2:$U$995,"&gt;"&amp;($B$1-30))</f>
        <v>0</v>
      </c>
      <c r="J127">
        <f>COUNTIFS(Visits!$E$2:$E$995,$A127,Visits!$U$2:$U$995,"&gt;"&amp;($B$1-60))-I127</f>
        <v>0</v>
      </c>
      <c r="K127">
        <f>COUNTIFS(Visits!$V:$V,'New Dashboard'!$A$22,Visits!$E:$E,'User Engagement'!$A127)</f>
        <v>0</v>
      </c>
      <c r="L127">
        <f>COUNTIFS(Visits!$V:$V,'New Dashboard'!$A$23,Visits!$E:$E,'User Engagement'!$A127)</f>
        <v>0</v>
      </c>
      <c r="M127">
        <f>COUNTIFS(Visits!$V:$V,'New Dashboard'!$A$24,Visits!$E:$E,'User Engagement'!$A127)</f>
        <v>0</v>
      </c>
      <c r="N127">
        <f>COUNTIFS(Visits!$V:$V,'New Dashboard'!$A$25,Visits!$E:$E,'User Engagement'!$A127)</f>
        <v>0</v>
      </c>
      <c r="O127">
        <f t="shared" si="14"/>
        <v>1</v>
      </c>
      <c r="P127">
        <f t="shared" si="15"/>
        <v>0</v>
      </c>
      <c r="Q127">
        <f t="shared" si="13"/>
        <v>0</v>
      </c>
      <c r="R127">
        <f t="shared" si="10"/>
        <v>0</v>
      </c>
      <c r="S127" s="5">
        <f>SUMIF(Visits!$E$2:$E$89,'User Engagement'!$A127,Visits!$L$2:$L$89)</f>
        <v>0</v>
      </c>
      <c r="T127" s="5">
        <f>SUMIFS(Visits!$L$2:$L$89,Visits!$E$2:$E$89,'User Engagement'!$A127,Visits!$U$2:$U$89,"&gt;3/28/24")</f>
        <v>0</v>
      </c>
      <c r="U127" s="19" t="e">
        <f t="shared" si="11"/>
        <v>#DIV/0!</v>
      </c>
      <c r="V127" s="19" t="str">
        <f t="shared" si="12"/>
        <v>n/a</v>
      </c>
    </row>
    <row r="128" spans="1:22" ht="16" x14ac:dyDescent="0.2">
      <c r="A128">
        <f>Users!A126</f>
        <v>0</v>
      </c>
      <c r="B128" s="29" t="e">
        <f>VLOOKUP(A128,Users!A:D,2,FALSE)</f>
        <v>#N/A</v>
      </c>
      <c r="C128" s="29" t="e">
        <f>VLOOKUP(A128,Users!A:D,3,FALSE)</f>
        <v>#N/A</v>
      </c>
      <c r="F128" s="1" cm="1">
        <f t="array" ref="F128">MAX(_xlfn._xlws.FILTER(Visits!U:U,Visits!E:E='User Engagement'!A128))</f>
        <v>0</v>
      </c>
      <c r="G128">
        <f>COUNTIF(Visits!$E$2:$E$995,'User Engagement'!$A128)</f>
        <v>0</v>
      </c>
      <c r="H128">
        <f>COUNTIFS(Visits!$E$2:$E$995,'User Engagement'!$A129,Visits!$U$2:$U$995,"&gt;"&amp;($B$1-7))</f>
        <v>0</v>
      </c>
      <c r="I128">
        <f>COUNTIFS(Visits!$E$2:$E$995,'User Engagement'!$A128,Visits!$U$2:$U$995,"&gt;"&amp;($B$1-30))</f>
        <v>0</v>
      </c>
      <c r="J128">
        <f>COUNTIFS(Visits!$E$2:$E$995,$A128,Visits!$U$2:$U$995,"&gt;"&amp;($B$1-60))-I128</f>
        <v>0</v>
      </c>
      <c r="K128">
        <f>COUNTIFS(Visits!$V:$V,'New Dashboard'!$A$22,Visits!$E:$E,'User Engagement'!$A128)</f>
        <v>0</v>
      </c>
      <c r="L128">
        <f>COUNTIFS(Visits!$V:$V,'New Dashboard'!$A$23,Visits!$E:$E,'User Engagement'!$A128)</f>
        <v>0</v>
      </c>
      <c r="M128">
        <f>COUNTIFS(Visits!$V:$V,'New Dashboard'!$A$24,Visits!$E:$E,'User Engagement'!$A128)</f>
        <v>0</v>
      </c>
      <c r="N128">
        <f>COUNTIFS(Visits!$V:$V,'New Dashboard'!$A$25,Visits!$E:$E,'User Engagement'!$A128)</f>
        <v>0</v>
      </c>
      <c r="O128">
        <f t="shared" si="14"/>
        <v>1</v>
      </c>
      <c r="P128">
        <f t="shared" si="15"/>
        <v>0</v>
      </c>
      <c r="Q128">
        <f t="shared" si="13"/>
        <v>0</v>
      </c>
      <c r="R128">
        <f t="shared" si="10"/>
        <v>0</v>
      </c>
      <c r="S128" s="5">
        <f>SUMIF(Visits!$E$2:$E$89,'User Engagement'!$A128,Visits!$L$2:$L$89)</f>
        <v>0</v>
      </c>
      <c r="T128" s="5">
        <f>SUMIFS(Visits!$L$2:$L$89,Visits!$E$2:$E$89,'User Engagement'!$A128,Visits!$U$2:$U$89,"&gt;3/28/24")</f>
        <v>0</v>
      </c>
      <c r="U128" s="19" t="e">
        <f t="shared" si="11"/>
        <v>#DIV/0!</v>
      </c>
      <c r="V128" s="19" t="str">
        <f t="shared" si="12"/>
        <v>n/a</v>
      </c>
    </row>
    <row r="129" spans="1:22" ht="16" x14ac:dyDescent="0.2">
      <c r="A129">
        <f>Users!A127</f>
        <v>0</v>
      </c>
      <c r="B129" s="29" t="e">
        <f>VLOOKUP(A129,Users!A:D,2,FALSE)</f>
        <v>#N/A</v>
      </c>
      <c r="C129" s="29" t="e">
        <f>VLOOKUP(A129,Users!A:D,3,FALSE)</f>
        <v>#N/A</v>
      </c>
      <c r="F129" s="1" cm="1">
        <f t="array" ref="F129">MAX(_xlfn._xlws.FILTER(Visits!U:U,Visits!E:E='User Engagement'!A129))</f>
        <v>0</v>
      </c>
      <c r="G129">
        <f>COUNTIF(Visits!$E$2:$E$995,'User Engagement'!$A129)</f>
        <v>0</v>
      </c>
      <c r="H129">
        <f>COUNTIFS(Visits!$E$2:$E$995,'User Engagement'!$A130,Visits!$U$2:$U$995,"&gt;"&amp;($B$1-7))</f>
        <v>0</v>
      </c>
      <c r="I129">
        <f>COUNTIFS(Visits!$E$2:$E$995,'User Engagement'!$A129,Visits!$U$2:$U$995,"&gt;"&amp;($B$1-30))</f>
        <v>0</v>
      </c>
      <c r="J129">
        <f>COUNTIFS(Visits!$E$2:$E$995,$A129,Visits!$U$2:$U$995,"&gt;"&amp;($B$1-60))-I129</f>
        <v>0</v>
      </c>
      <c r="K129">
        <f>COUNTIFS(Visits!$V:$V,'New Dashboard'!$A$22,Visits!$E:$E,'User Engagement'!$A129)</f>
        <v>0</v>
      </c>
      <c r="L129">
        <f>COUNTIFS(Visits!$V:$V,'New Dashboard'!$A$23,Visits!$E:$E,'User Engagement'!$A129)</f>
        <v>0</v>
      </c>
      <c r="M129">
        <f>COUNTIFS(Visits!$V:$V,'New Dashboard'!$A$24,Visits!$E:$E,'User Engagement'!$A129)</f>
        <v>0</v>
      </c>
      <c r="N129">
        <f>COUNTIFS(Visits!$V:$V,'New Dashboard'!$A$25,Visits!$E:$E,'User Engagement'!$A129)</f>
        <v>0</v>
      </c>
      <c r="O129">
        <f t="shared" si="14"/>
        <v>1</v>
      </c>
      <c r="P129">
        <f t="shared" si="15"/>
        <v>0</v>
      </c>
      <c r="Q129">
        <f t="shared" si="13"/>
        <v>0</v>
      </c>
      <c r="R129">
        <f t="shared" si="10"/>
        <v>0</v>
      </c>
      <c r="S129" s="5">
        <f>SUMIF(Visits!$E$2:$E$89,'User Engagement'!$A129,Visits!$L$2:$L$89)</f>
        <v>0</v>
      </c>
      <c r="T129" s="5">
        <f>SUMIFS(Visits!$L$2:$L$89,Visits!$E$2:$E$89,'User Engagement'!$A129,Visits!$U$2:$U$89,"&gt;3/28/24")</f>
        <v>0</v>
      </c>
      <c r="U129" s="19" t="e">
        <f t="shared" si="11"/>
        <v>#DIV/0!</v>
      </c>
      <c r="V129" s="19" t="str">
        <f t="shared" si="12"/>
        <v>n/a</v>
      </c>
    </row>
    <row r="130" spans="1:22" ht="16" x14ac:dyDescent="0.2">
      <c r="A130">
        <f>Users!A128</f>
        <v>0</v>
      </c>
      <c r="B130" s="29" t="e">
        <f>VLOOKUP(A130,Users!A:D,2,FALSE)</f>
        <v>#N/A</v>
      </c>
      <c r="C130" s="29" t="e">
        <f>VLOOKUP(A130,Users!A:D,3,FALSE)</f>
        <v>#N/A</v>
      </c>
      <c r="F130" s="1" cm="1">
        <f t="array" ref="F130">MAX(_xlfn._xlws.FILTER(Visits!U:U,Visits!E:E='User Engagement'!A130))</f>
        <v>0</v>
      </c>
      <c r="G130">
        <f>COUNTIF(Visits!$E$2:$E$995,'User Engagement'!$A130)</f>
        <v>0</v>
      </c>
      <c r="H130">
        <f>COUNTIFS(Visits!$E$2:$E$995,'User Engagement'!$A131,Visits!$U$2:$U$995,"&gt;"&amp;($B$1-7))</f>
        <v>0</v>
      </c>
      <c r="I130">
        <f>COUNTIFS(Visits!$E$2:$E$995,'User Engagement'!$A130,Visits!$U$2:$U$995,"&gt;"&amp;($B$1-30))</f>
        <v>0</v>
      </c>
      <c r="J130">
        <f>COUNTIFS(Visits!$E$2:$E$995,$A130,Visits!$U$2:$U$995,"&gt;"&amp;($B$1-60))-I130</f>
        <v>0</v>
      </c>
      <c r="K130">
        <f>COUNTIFS(Visits!$V:$V,'New Dashboard'!$A$22,Visits!$E:$E,'User Engagement'!$A130)</f>
        <v>0</v>
      </c>
      <c r="L130">
        <f>COUNTIFS(Visits!$V:$V,'New Dashboard'!$A$23,Visits!$E:$E,'User Engagement'!$A130)</f>
        <v>0</v>
      </c>
      <c r="M130">
        <f>COUNTIFS(Visits!$V:$V,'New Dashboard'!$A$24,Visits!$E:$E,'User Engagement'!$A130)</f>
        <v>0</v>
      </c>
      <c r="N130">
        <f>COUNTIFS(Visits!$V:$V,'New Dashboard'!$A$25,Visits!$E:$E,'User Engagement'!$A130)</f>
        <v>0</v>
      </c>
      <c r="O130">
        <f t="shared" si="14"/>
        <v>1</v>
      </c>
      <c r="P130">
        <f t="shared" si="15"/>
        <v>0</v>
      </c>
      <c r="Q130">
        <f t="shared" si="13"/>
        <v>0</v>
      </c>
      <c r="R130">
        <f t="shared" si="10"/>
        <v>0</v>
      </c>
      <c r="S130" s="5">
        <f>SUMIF(Visits!$E$2:$E$89,'User Engagement'!$A130,Visits!$L$2:$L$89)</f>
        <v>0</v>
      </c>
      <c r="T130" s="5">
        <f>SUMIFS(Visits!$L$2:$L$89,Visits!$E$2:$E$89,'User Engagement'!$A130,Visits!$U$2:$U$89,"&gt;3/28/24")</f>
        <v>0</v>
      </c>
      <c r="U130" s="19" t="e">
        <f t="shared" si="11"/>
        <v>#DIV/0!</v>
      </c>
      <c r="V130" s="19" t="str">
        <f t="shared" si="12"/>
        <v>n/a</v>
      </c>
    </row>
    <row r="131" spans="1:22" ht="16" x14ac:dyDescent="0.2">
      <c r="A131">
        <f>Users!A129</f>
        <v>0</v>
      </c>
      <c r="B131" s="29" t="e">
        <f>VLOOKUP(A131,Users!A:D,2,FALSE)</f>
        <v>#N/A</v>
      </c>
      <c r="C131" s="29" t="e">
        <f>VLOOKUP(A131,Users!A:D,3,FALSE)</f>
        <v>#N/A</v>
      </c>
      <c r="F131" s="1" cm="1">
        <f t="array" ref="F131">MAX(_xlfn._xlws.FILTER(Visits!U:U,Visits!E:E='User Engagement'!A131))</f>
        <v>0</v>
      </c>
      <c r="G131">
        <f>COUNTIF(Visits!$E$2:$E$995,'User Engagement'!$A131)</f>
        <v>0</v>
      </c>
      <c r="H131">
        <f>COUNTIFS(Visits!$E$2:$E$995,'User Engagement'!$A132,Visits!$U$2:$U$995,"&gt;"&amp;($B$1-7))</f>
        <v>0</v>
      </c>
      <c r="I131">
        <f>COUNTIFS(Visits!$E$2:$E$995,'User Engagement'!$A131,Visits!$U$2:$U$995,"&gt;"&amp;($B$1-30))</f>
        <v>0</v>
      </c>
      <c r="J131">
        <f>COUNTIFS(Visits!$E$2:$E$995,$A131,Visits!$U$2:$U$995,"&gt;"&amp;($B$1-60))-I131</f>
        <v>0</v>
      </c>
      <c r="K131">
        <f>COUNTIFS(Visits!$V:$V,'New Dashboard'!$A$22,Visits!$E:$E,'User Engagement'!$A131)</f>
        <v>0</v>
      </c>
      <c r="L131">
        <f>COUNTIFS(Visits!$V:$V,'New Dashboard'!$A$23,Visits!$E:$E,'User Engagement'!$A131)</f>
        <v>0</v>
      </c>
      <c r="M131">
        <f>COUNTIFS(Visits!$V:$V,'New Dashboard'!$A$24,Visits!$E:$E,'User Engagement'!$A131)</f>
        <v>0</v>
      </c>
      <c r="N131">
        <f>COUNTIFS(Visits!$V:$V,'New Dashboard'!$A$25,Visits!$E:$E,'User Engagement'!$A131)</f>
        <v>0</v>
      </c>
      <c r="O131">
        <f t="shared" si="14"/>
        <v>1</v>
      </c>
      <c r="P131">
        <f t="shared" si="15"/>
        <v>0</v>
      </c>
      <c r="Q131">
        <f t="shared" si="13"/>
        <v>0</v>
      </c>
      <c r="R131">
        <f t="shared" si="10"/>
        <v>0</v>
      </c>
      <c r="S131" s="5">
        <f>SUMIF(Visits!$E$2:$E$89,'User Engagement'!$A131,Visits!$L$2:$L$89)</f>
        <v>0</v>
      </c>
      <c r="T131" s="5">
        <f>SUMIFS(Visits!$L$2:$L$89,Visits!$E$2:$E$89,'User Engagement'!$A131,Visits!$U$2:$U$89,"&gt;3/28/24")</f>
        <v>0</v>
      </c>
      <c r="U131" s="19" t="e">
        <f t="shared" si="11"/>
        <v>#DIV/0!</v>
      </c>
      <c r="V131" s="19" t="str">
        <f t="shared" si="12"/>
        <v>n/a</v>
      </c>
    </row>
    <row r="132" spans="1:22" ht="16" x14ac:dyDescent="0.2">
      <c r="A132">
        <f>Users!A130</f>
        <v>0</v>
      </c>
      <c r="B132" s="29" t="e">
        <f>VLOOKUP(A132,Users!A:D,2,FALSE)</f>
        <v>#N/A</v>
      </c>
      <c r="C132" s="29" t="e">
        <f>VLOOKUP(A132,Users!A:D,3,FALSE)</f>
        <v>#N/A</v>
      </c>
      <c r="F132" s="1" cm="1">
        <f t="array" ref="F132">MAX(_xlfn._xlws.FILTER(Visits!U:U,Visits!E:E='User Engagement'!A132))</f>
        <v>0</v>
      </c>
      <c r="G132">
        <f>COUNTIF(Visits!$E$2:$E$995,'User Engagement'!$A132)</f>
        <v>0</v>
      </c>
      <c r="H132">
        <f>COUNTIFS(Visits!$E$2:$E$995,'User Engagement'!$A133,Visits!$U$2:$U$995,"&gt;"&amp;($B$1-7))</f>
        <v>0</v>
      </c>
      <c r="I132">
        <f>COUNTIFS(Visits!$E$2:$E$995,'User Engagement'!$A132,Visits!$U$2:$U$995,"&gt;"&amp;($B$1-30))</f>
        <v>0</v>
      </c>
      <c r="J132">
        <f>COUNTIFS(Visits!$E$2:$E$995,$A132,Visits!$U$2:$U$995,"&gt;"&amp;($B$1-60))-I132</f>
        <v>0</v>
      </c>
      <c r="K132">
        <f>COUNTIFS(Visits!$V:$V,'New Dashboard'!$A$22,Visits!$E:$E,'User Engagement'!$A132)</f>
        <v>0</v>
      </c>
      <c r="L132">
        <f>COUNTIFS(Visits!$V:$V,'New Dashboard'!$A$23,Visits!$E:$E,'User Engagement'!$A132)</f>
        <v>0</v>
      </c>
      <c r="M132">
        <f>COUNTIFS(Visits!$V:$V,'New Dashboard'!$A$24,Visits!$E:$E,'User Engagement'!$A132)</f>
        <v>0</v>
      </c>
      <c r="N132">
        <f>COUNTIFS(Visits!$V:$V,'New Dashboard'!$A$25,Visits!$E:$E,'User Engagement'!$A132)</f>
        <v>0</v>
      </c>
      <c r="O132">
        <f t="shared" si="14"/>
        <v>1</v>
      </c>
      <c r="P132">
        <f t="shared" si="15"/>
        <v>0</v>
      </c>
      <c r="Q132">
        <f t="shared" si="13"/>
        <v>0</v>
      </c>
      <c r="R132">
        <f t="shared" ref="R132:R195" si="16">IF(I132&gt;2,P132,0)</f>
        <v>0</v>
      </c>
      <c r="S132" s="5">
        <f>SUMIF(Visits!$E$2:$E$89,'User Engagement'!$A132,Visits!$L$2:$L$89)</f>
        <v>0</v>
      </c>
      <c r="T132" s="5">
        <f>SUMIFS(Visits!$L$2:$L$89,Visits!$E$2:$E$89,'User Engagement'!$A132,Visits!$U$2:$U$89,"&gt;3/28/24")</f>
        <v>0</v>
      </c>
      <c r="U132" s="19" t="e">
        <f t="shared" ref="U132:U195" si="17">S132/G132</f>
        <v>#DIV/0!</v>
      </c>
      <c r="V132" s="19" t="str">
        <f t="shared" ref="V132:V195" si="18">IFERROR(T132/I132,"n/a")</f>
        <v>n/a</v>
      </c>
    </row>
    <row r="133" spans="1:22" ht="16" x14ac:dyDescent="0.2">
      <c r="A133">
        <f>Users!A131</f>
        <v>0</v>
      </c>
      <c r="B133" s="29" t="e">
        <f>VLOOKUP(A133,Users!A:D,2,FALSE)</f>
        <v>#N/A</v>
      </c>
      <c r="C133" s="29" t="e">
        <f>VLOOKUP(A133,Users!A:D,3,FALSE)</f>
        <v>#N/A</v>
      </c>
      <c r="F133" s="1" cm="1">
        <f t="array" ref="F133">MAX(_xlfn._xlws.FILTER(Visits!U:U,Visits!E:E='User Engagement'!A133))</f>
        <v>0</v>
      </c>
      <c r="G133">
        <f>COUNTIF(Visits!$E$2:$E$995,'User Engagement'!$A133)</f>
        <v>0</v>
      </c>
      <c r="H133">
        <f>COUNTIFS(Visits!$E$2:$E$995,'User Engagement'!$A134,Visits!$U$2:$U$995,"&gt;"&amp;($B$1-7))</f>
        <v>0</v>
      </c>
      <c r="I133">
        <f>COUNTIFS(Visits!$E$2:$E$995,'User Engagement'!$A133,Visits!$U$2:$U$995,"&gt;"&amp;($B$1-30))</f>
        <v>0</v>
      </c>
      <c r="J133">
        <f>COUNTIFS(Visits!$E$2:$E$995,$A133,Visits!$U$2:$U$995,"&gt;"&amp;($B$1-60))-I133</f>
        <v>0</v>
      </c>
      <c r="K133">
        <f>COUNTIFS(Visits!$V:$V,'New Dashboard'!$A$22,Visits!$E:$E,'User Engagement'!$A133)</f>
        <v>0</v>
      </c>
      <c r="L133">
        <f>COUNTIFS(Visits!$V:$V,'New Dashboard'!$A$23,Visits!$E:$E,'User Engagement'!$A133)</f>
        <v>0</v>
      </c>
      <c r="M133">
        <f>COUNTIFS(Visits!$V:$V,'New Dashboard'!$A$24,Visits!$E:$E,'User Engagement'!$A133)</f>
        <v>0</v>
      </c>
      <c r="N133">
        <f>COUNTIFS(Visits!$V:$V,'New Dashboard'!$A$25,Visits!$E:$E,'User Engagement'!$A133)</f>
        <v>0</v>
      </c>
      <c r="O133">
        <f t="shared" si="14"/>
        <v>1</v>
      </c>
      <c r="P133">
        <f t="shared" si="15"/>
        <v>0</v>
      </c>
      <c r="Q133">
        <f t="shared" si="13"/>
        <v>0</v>
      </c>
      <c r="R133">
        <f t="shared" si="16"/>
        <v>0</v>
      </c>
      <c r="S133" s="5">
        <f>SUMIF(Visits!$E$2:$E$89,'User Engagement'!$A133,Visits!$L$2:$L$89)</f>
        <v>0</v>
      </c>
      <c r="T133" s="5">
        <f>SUMIFS(Visits!$L$2:$L$89,Visits!$E$2:$E$89,'User Engagement'!$A133,Visits!$U$2:$U$89,"&gt;3/28/24")</f>
        <v>0</v>
      </c>
      <c r="U133" s="19" t="e">
        <f t="shared" si="17"/>
        <v>#DIV/0!</v>
      </c>
      <c r="V133" s="19" t="str">
        <f t="shared" si="18"/>
        <v>n/a</v>
      </c>
    </row>
    <row r="134" spans="1:22" ht="16" x14ac:dyDescent="0.2">
      <c r="A134">
        <f>Users!A132</f>
        <v>0</v>
      </c>
      <c r="B134" s="29" t="e">
        <f>VLOOKUP(A134,Users!A:D,2,FALSE)</f>
        <v>#N/A</v>
      </c>
      <c r="C134" s="29" t="e">
        <f>VLOOKUP(A134,Users!A:D,3,FALSE)</f>
        <v>#N/A</v>
      </c>
      <c r="F134" s="1" cm="1">
        <f t="array" ref="F134">MAX(_xlfn._xlws.FILTER(Visits!U:U,Visits!E:E='User Engagement'!A134))</f>
        <v>0</v>
      </c>
      <c r="G134">
        <f>COUNTIF(Visits!$E$2:$E$995,'User Engagement'!$A134)</f>
        <v>0</v>
      </c>
      <c r="H134">
        <f>COUNTIFS(Visits!$E$2:$E$995,'User Engagement'!$A135,Visits!$U$2:$U$995,"&gt;"&amp;($B$1-7))</f>
        <v>0</v>
      </c>
      <c r="I134">
        <f>COUNTIFS(Visits!$E$2:$E$995,'User Engagement'!$A134,Visits!$U$2:$U$995,"&gt;"&amp;($B$1-30))</f>
        <v>0</v>
      </c>
      <c r="J134">
        <f>COUNTIFS(Visits!$E$2:$E$995,$A134,Visits!$U$2:$U$995,"&gt;"&amp;($B$1-60))-I134</f>
        <v>0</v>
      </c>
      <c r="K134">
        <f>COUNTIFS(Visits!$V:$V,'New Dashboard'!$A$22,Visits!$E:$E,'User Engagement'!$A134)</f>
        <v>0</v>
      </c>
      <c r="L134">
        <f>COUNTIFS(Visits!$V:$V,'New Dashboard'!$A$23,Visits!$E:$E,'User Engagement'!$A134)</f>
        <v>0</v>
      </c>
      <c r="M134">
        <f>COUNTIFS(Visits!$V:$V,'New Dashboard'!$A$24,Visits!$E:$E,'User Engagement'!$A134)</f>
        <v>0</v>
      </c>
      <c r="N134">
        <f>COUNTIFS(Visits!$V:$V,'New Dashboard'!$A$25,Visits!$E:$E,'User Engagement'!$A134)</f>
        <v>0</v>
      </c>
      <c r="O134">
        <f t="shared" si="14"/>
        <v>1</v>
      </c>
      <c r="P134">
        <f t="shared" si="15"/>
        <v>0</v>
      </c>
      <c r="Q134">
        <f t="shared" si="15"/>
        <v>0</v>
      </c>
      <c r="R134">
        <f t="shared" si="16"/>
        <v>0</v>
      </c>
      <c r="S134" s="5">
        <f>SUMIF(Visits!$E$2:$E$89,'User Engagement'!$A134,Visits!$L$2:$L$89)</f>
        <v>0</v>
      </c>
      <c r="T134" s="5">
        <f>SUMIFS(Visits!$L$2:$L$89,Visits!$E$2:$E$89,'User Engagement'!$A134,Visits!$U$2:$U$89,"&gt;3/28/24")</f>
        <v>0</v>
      </c>
      <c r="U134" s="19" t="e">
        <f t="shared" si="17"/>
        <v>#DIV/0!</v>
      </c>
      <c r="V134" s="19" t="str">
        <f t="shared" si="18"/>
        <v>n/a</v>
      </c>
    </row>
    <row r="135" spans="1:22" ht="16" x14ac:dyDescent="0.2">
      <c r="A135">
        <f>Users!A133</f>
        <v>0</v>
      </c>
      <c r="B135" s="29" t="e">
        <f>VLOOKUP(A135,Users!A:D,2,FALSE)</f>
        <v>#N/A</v>
      </c>
      <c r="C135" s="29" t="e">
        <f>VLOOKUP(A135,Users!A:D,3,FALSE)</f>
        <v>#N/A</v>
      </c>
      <c r="F135" s="1" cm="1">
        <f t="array" ref="F135">MAX(_xlfn._xlws.FILTER(Visits!U:U,Visits!E:E='User Engagement'!A135))</f>
        <v>0</v>
      </c>
      <c r="G135">
        <f>COUNTIF(Visits!$E$2:$E$995,'User Engagement'!$A135)</f>
        <v>0</v>
      </c>
      <c r="H135">
        <f>COUNTIFS(Visits!$E$2:$E$995,'User Engagement'!$A136,Visits!$U$2:$U$995,"&gt;"&amp;($B$1-7))</f>
        <v>0</v>
      </c>
      <c r="I135">
        <f>COUNTIFS(Visits!$E$2:$E$995,'User Engagement'!$A135,Visits!$U$2:$U$995,"&gt;"&amp;($B$1-30))</f>
        <v>0</v>
      </c>
      <c r="J135">
        <f>COUNTIFS(Visits!$E$2:$E$995,$A135,Visits!$U$2:$U$995,"&gt;"&amp;($B$1-60))-I135</f>
        <v>0</v>
      </c>
      <c r="K135">
        <f>COUNTIFS(Visits!$V:$V,'New Dashboard'!$A$22,Visits!$E:$E,'User Engagement'!$A135)</f>
        <v>0</v>
      </c>
      <c r="L135">
        <f>COUNTIFS(Visits!$V:$V,'New Dashboard'!$A$23,Visits!$E:$E,'User Engagement'!$A135)</f>
        <v>0</v>
      </c>
      <c r="M135">
        <f>COUNTIFS(Visits!$V:$V,'New Dashboard'!$A$24,Visits!$E:$E,'User Engagement'!$A135)</f>
        <v>0</v>
      </c>
      <c r="N135">
        <f>COUNTIFS(Visits!$V:$V,'New Dashboard'!$A$25,Visits!$E:$E,'User Engagement'!$A135)</f>
        <v>0</v>
      </c>
      <c r="O135">
        <f t="shared" si="14"/>
        <v>1</v>
      </c>
      <c r="P135">
        <f t="shared" si="15"/>
        <v>0</v>
      </c>
      <c r="Q135">
        <f t="shared" si="15"/>
        <v>0</v>
      </c>
      <c r="R135">
        <f t="shared" si="16"/>
        <v>0</v>
      </c>
      <c r="S135" s="5">
        <f>SUMIF(Visits!$E$2:$E$89,'User Engagement'!$A135,Visits!$L$2:$L$89)</f>
        <v>0</v>
      </c>
      <c r="T135" s="5">
        <f>SUMIFS(Visits!$L$2:$L$89,Visits!$E$2:$E$89,'User Engagement'!$A135,Visits!$U$2:$U$89,"&gt;3/28/24")</f>
        <v>0</v>
      </c>
      <c r="U135" s="19" t="e">
        <f t="shared" si="17"/>
        <v>#DIV/0!</v>
      </c>
      <c r="V135" s="19" t="str">
        <f t="shared" si="18"/>
        <v>n/a</v>
      </c>
    </row>
    <row r="136" spans="1:22" ht="16" x14ac:dyDescent="0.2">
      <c r="A136">
        <f>Users!A134</f>
        <v>0</v>
      </c>
      <c r="B136" s="29" t="e">
        <f>VLOOKUP(A136,Users!A:D,2,FALSE)</f>
        <v>#N/A</v>
      </c>
      <c r="C136" s="29" t="e">
        <f>VLOOKUP(A136,Users!A:D,3,FALSE)</f>
        <v>#N/A</v>
      </c>
      <c r="F136" s="1" cm="1">
        <f t="array" ref="F136">MAX(_xlfn._xlws.FILTER(Visits!U:U,Visits!E:E='User Engagement'!A136))</f>
        <v>0</v>
      </c>
      <c r="G136">
        <f>COUNTIF(Visits!$E$2:$E$995,'User Engagement'!$A136)</f>
        <v>0</v>
      </c>
      <c r="H136">
        <f>COUNTIFS(Visits!$E$2:$E$995,'User Engagement'!$A137,Visits!$U$2:$U$995,"&gt;"&amp;($B$1-7))</f>
        <v>0</v>
      </c>
      <c r="I136">
        <f>COUNTIFS(Visits!$E$2:$E$995,'User Engagement'!$A136,Visits!$U$2:$U$995,"&gt;"&amp;($B$1-30))</f>
        <v>0</v>
      </c>
      <c r="J136">
        <f>COUNTIFS(Visits!$E$2:$E$995,$A136,Visits!$U$2:$U$995,"&gt;"&amp;($B$1-60))-I136</f>
        <v>0</v>
      </c>
      <c r="K136">
        <f>COUNTIFS(Visits!$V:$V,'New Dashboard'!$A$22,Visits!$E:$E,'User Engagement'!$A136)</f>
        <v>0</v>
      </c>
      <c r="L136">
        <f>COUNTIFS(Visits!$V:$V,'New Dashboard'!$A$23,Visits!$E:$E,'User Engagement'!$A136)</f>
        <v>0</v>
      </c>
      <c r="M136">
        <f>COUNTIFS(Visits!$V:$V,'New Dashboard'!$A$24,Visits!$E:$E,'User Engagement'!$A136)</f>
        <v>0</v>
      </c>
      <c r="N136">
        <f>COUNTIFS(Visits!$V:$V,'New Dashboard'!$A$25,Visits!$E:$E,'User Engagement'!$A136)</f>
        <v>0</v>
      </c>
      <c r="O136">
        <f t="shared" si="14"/>
        <v>1</v>
      </c>
      <c r="P136">
        <f t="shared" si="15"/>
        <v>0</v>
      </c>
      <c r="Q136">
        <f t="shared" si="15"/>
        <v>0</v>
      </c>
      <c r="R136">
        <f t="shared" si="16"/>
        <v>0</v>
      </c>
      <c r="S136" s="5">
        <f>SUMIF(Visits!$E$2:$E$89,'User Engagement'!$A136,Visits!$L$2:$L$89)</f>
        <v>0</v>
      </c>
      <c r="T136" s="5">
        <f>SUMIFS(Visits!$L$2:$L$89,Visits!$E$2:$E$89,'User Engagement'!$A136,Visits!$U$2:$U$89,"&gt;3/28/24")</f>
        <v>0</v>
      </c>
      <c r="U136" s="19" t="e">
        <f t="shared" si="17"/>
        <v>#DIV/0!</v>
      </c>
      <c r="V136" s="19" t="str">
        <f t="shared" si="18"/>
        <v>n/a</v>
      </c>
    </row>
    <row r="137" spans="1:22" ht="16" x14ac:dyDescent="0.2">
      <c r="A137">
        <f>Users!A135</f>
        <v>0</v>
      </c>
      <c r="B137" s="29" t="e">
        <f>VLOOKUP(A137,Users!A:D,2,FALSE)</f>
        <v>#N/A</v>
      </c>
      <c r="C137" s="29" t="e">
        <f>VLOOKUP(A137,Users!A:D,3,FALSE)</f>
        <v>#N/A</v>
      </c>
      <c r="F137" s="1" cm="1">
        <f t="array" ref="F137">MAX(_xlfn._xlws.FILTER(Visits!U:U,Visits!E:E='User Engagement'!A137))</f>
        <v>0</v>
      </c>
      <c r="G137">
        <f>COUNTIF(Visits!$E$2:$E$995,'User Engagement'!$A137)</f>
        <v>0</v>
      </c>
      <c r="H137">
        <f>COUNTIFS(Visits!$E$2:$E$995,'User Engagement'!$A138,Visits!$U$2:$U$995,"&gt;"&amp;($B$1-7))</f>
        <v>0</v>
      </c>
      <c r="I137">
        <f>COUNTIFS(Visits!$E$2:$E$995,'User Engagement'!$A137,Visits!$U$2:$U$995,"&gt;"&amp;($B$1-30))</f>
        <v>0</v>
      </c>
      <c r="J137">
        <f>COUNTIFS(Visits!$E$2:$E$995,$A137,Visits!$U$2:$U$995,"&gt;"&amp;($B$1-60))-I137</f>
        <v>0</v>
      </c>
      <c r="K137">
        <f>COUNTIFS(Visits!$V:$V,'New Dashboard'!$A$22,Visits!$E:$E,'User Engagement'!$A137)</f>
        <v>0</v>
      </c>
      <c r="L137">
        <f>COUNTIFS(Visits!$V:$V,'New Dashboard'!$A$23,Visits!$E:$E,'User Engagement'!$A137)</f>
        <v>0</v>
      </c>
      <c r="M137">
        <f>COUNTIFS(Visits!$V:$V,'New Dashboard'!$A$24,Visits!$E:$E,'User Engagement'!$A137)</f>
        <v>0</v>
      </c>
      <c r="N137">
        <f>COUNTIFS(Visits!$V:$V,'New Dashboard'!$A$25,Visits!$E:$E,'User Engagement'!$A137)</f>
        <v>0</v>
      </c>
      <c r="O137">
        <f t="shared" si="14"/>
        <v>1</v>
      </c>
      <c r="P137">
        <f t="shared" si="15"/>
        <v>0</v>
      </c>
      <c r="Q137">
        <f t="shared" si="15"/>
        <v>0</v>
      </c>
      <c r="R137">
        <f t="shared" si="16"/>
        <v>0</v>
      </c>
      <c r="S137" s="5">
        <f>SUMIF(Visits!$E$2:$E$89,'User Engagement'!$A137,Visits!$L$2:$L$89)</f>
        <v>0</v>
      </c>
      <c r="T137" s="5">
        <f>SUMIFS(Visits!$L$2:$L$89,Visits!$E$2:$E$89,'User Engagement'!$A137,Visits!$U$2:$U$89,"&gt;3/28/24")</f>
        <v>0</v>
      </c>
      <c r="U137" s="19" t="e">
        <f t="shared" si="17"/>
        <v>#DIV/0!</v>
      </c>
      <c r="V137" s="19" t="str">
        <f t="shared" si="18"/>
        <v>n/a</v>
      </c>
    </row>
    <row r="138" spans="1:22" ht="16" x14ac:dyDescent="0.2">
      <c r="A138">
        <f>Users!A136</f>
        <v>0</v>
      </c>
      <c r="B138" s="29" t="e">
        <f>VLOOKUP(A138,Users!A:D,2,FALSE)</f>
        <v>#N/A</v>
      </c>
      <c r="C138" s="29" t="e">
        <f>VLOOKUP(A138,Users!A:D,3,FALSE)</f>
        <v>#N/A</v>
      </c>
      <c r="F138" s="1" cm="1">
        <f t="array" ref="F138">MAX(_xlfn._xlws.FILTER(Visits!U:U,Visits!E:E='User Engagement'!A138))</f>
        <v>0</v>
      </c>
      <c r="G138">
        <f>COUNTIF(Visits!$E$2:$E$995,'User Engagement'!$A138)</f>
        <v>0</v>
      </c>
      <c r="H138">
        <f>COUNTIFS(Visits!$E$2:$E$995,'User Engagement'!$A139,Visits!$U$2:$U$995,"&gt;"&amp;($B$1-7))</f>
        <v>0</v>
      </c>
      <c r="I138">
        <f>COUNTIFS(Visits!$E$2:$E$995,'User Engagement'!$A138,Visits!$U$2:$U$995,"&gt;"&amp;($B$1-30))</f>
        <v>0</v>
      </c>
      <c r="J138">
        <f>COUNTIFS(Visits!$E$2:$E$995,$A138,Visits!$U$2:$U$995,"&gt;"&amp;($B$1-60))-I138</f>
        <v>0</v>
      </c>
      <c r="K138">
        <f>COUNTIFS(Visits!$V:$V,'New Dashboard'!$A$22,Visits!$E:$E,'User Engagement'!$A138)</f>
        <v>0</v>
      </c>
      <c r="L138">
        <f>COUNTIFS(Visits!$V:$V,'New Dashboard'!$A$23,Visits!$E:$E,'User Engagement'!$A138)</f>
        <v>0</v>
      </c>
      <c r="M138">
        <f>COUNTIFS(Visits!$V:$V,'New Dashboard'!$A$24,Visits!$E:$E,'User Engagement'!$A138)</f>
        <v>0</v>
      </c>
      <c r="N138">
        <f>COUNTIFS(Visits!$V:$V,'New Dashboard'!$A$25,Visits!$E:$E,'User Engagement'!$A138)</f>
        <v>0</v>
      </c>
      <c r="O138">
        <f t="shared" ref="O138:O201" si="19">IF(G138-H138=0,1,0)</f>
        <v>1</v>
      </c>
      <c r="P138">
        <f t="shared" ref="P138:Q201" si="20">IF(I138&gt;0,1,0)</f>
        <v>0</v>
      </c>
      <c r="Q138">
        <f t="shared" si="20"/>
        <v>0</v>
      </c>
      <c r="R138">
        <f t="shared" si="16"/>
        <v>0</v>
      </c>
      <c r="S138" s="5">
        <f>SUMIF(Visits!$E$2:$E$89,'User Engagement'!$A138,Visits!$L$2:$L$89)</f>
        <v>0</v>
      </c>
      <c r="T138" s="5">
        <f>SUMIFS(Visits!$L$2:$L$89,Visits!$E$2:$E$89,'User Engagement'!$A138,Visits!$U$2:$U$89,"&gt;3/28/24")</f>
        <v>0</v>
      </c>
      <c r="U138" s="19" t="e">
        <f t="shared" si="17"/>
        <v>#DIV/0!</v>
      </c>
      <c r="V138" s="19" t="str">
        <f t="shared" si="18"/>
        <v>n/a</v>
      </c>
    </row>
    <row r="139" spans="1:22" ht="16" x14ac:dyDescent="0.2">
      <c r="A139">
        <f>Users!A137</f>
        <v>0</v>
      </c>
      <c r="B139" s="29" t="e">
        <f>VLOOKUP(A139,Users!A:D,2,FALSE)</f>
        <v>#N/A</v>
      </c>
      <c r="C139" s="29" t="e">
        <f>VLOOKUP(A139,Users!A:D,3,FALSE)</f>
        <v>#N/A</v>
      </c>
      <c r="F139" s="1" cm="1">
        <f t="array" ref="F139">MAX(_xlfn._xlws.FILTER(Visits!U:U,Visits!E:E='User Engagement'!A139))</f>
        <v>0</v>
      </c>
      <c r="G139">
        <f>COUNTIF(Visits!$E$2:$E$995,'User Engagement'!$A139)</f>
        <v>0</v>
      </c>
      <c r="H139">
        <f>COUNTIFS(Visits!$E$2:$E$995,'User Engagement'!$A140,Visits!$U$2:$U$995,"&gt;"&amp;($B$1-7))</f>
        <v>0</v>
      </c>
      <c r="I139">
        <f>COUNTIFS(Visits!$E$2:$E$995,'User Engagement'!$A139,Visits!$U$2:$U$995,"&gt;"&amp;($B$1-30))</f>
        <v>0</v>
      </c>
      <c r="J139">
        <f>COUNTIFS(Visits!$E$2:$E$995,$A139,Visits!$U$2:$U$995,"&gt;"&amp;($B$1-60))-I139</f>
        <v>0</v>
      </c>
      <c r="K139">
        <f>COUNTIFS(Visits!$V:$V,'New Dashboard'!$A$22,Visits!$E:$E,'User Engagement'!$A139)</f>
        <v>0</v>
      </c>
      <c r="L139">
        <f>COUNTIFS(Visits!$V:$V,'New Dashboard'!$A$23,Visits!$E:$E,'User Engagement'!$A139)</f>
        <v>0</v>
      </c>
      <c r="M139">
        <f>COUNTIFS(Visits!$V:$V,'New Dashboard'!$A$24,Visits!$E:$E,'User Engagement'!$A139)</f>
        <v>0</v>
      </c>
      <c r="N139">
        <f>COUNTIFS(Visits!$V:$V,'New Dashboard'!$A$25,Visits!$E:$E,'User Engagement'!$A139)</f>
        <v>0</v>
      </c>
      <c r="O139">
        <f t="shared" si="19"/>
        <v>1</v>
      </c>
      <c r="P139">
        <f t="shared" si="20"/>
        <v>0</v>
      </c>
      <c r="Q139">
        <f t="shared" si="20"/>
        <v>0</v>
      </c>
      <c r="R139">
        <f t="shared" si="16"/>
        <v>0</v>
      </c>
      <c r="S139" s="5">
        <f>SUMIF(Visits!$E$2:$E$89,'User Engagement'!$A139,Visits!$L$2:$L$89)</f>
        <v>0</v>
      </c>
      <c r="T139" s="5">
        <f>SUMIFS(Visits!$L$2:$L$89,Visits!$E$2:$E$89,'User Engagement'!$A139,Visits!$U$2:$U$89,"&gt;3/28/24")</f>
        <v>0</v>
      </c>
      <c r="U139" s="19" t="e">
        <f t="shared" si="17"/>
        <v>#DIV/0!</v>
      </c>
      <c r="V139" s="19" t="str">
        <f t="shared" si="18"/>
        <v>n/a</v>
      </c>
    </row>
    <row r="140" spans="1:22" ht="16" x14ac:dyDescent="0.2">
      <c r="A140">
        <f>Users!A138</f>
        <v>0</v>
      </c>
      <c r="B140" s="29" t="e">
        <f>VLOOKUP(A140,Users!A:D,2,FALSE)</f>
        <v>#N/A</v>
      </c>
      <c r="C140" s="29" t="e">
        <f>VLOOKUP(A140,Users!A:D,3,FALSE)</f>
        <v>#N/A</v>
      </c>
      <c r="F140" s="1" cm="1">
        <f t="array" ref="F140">MAX(_xlfn._xlws.FILTER(Visits!U:U,Visits!E:E='User Engagement'!A140))</f>
        <v>0</v>
      </c>
      <c r="G140">
        <f>COUNTIF(Visits!$E$2:$E$995,'User Engagement'!$A140)</f>
        <v>0</v>
      </c>
      <c r="H140">
        <f>COUNTIFS(Visits!$E$2:$E$995,'User Engagement'!$A141,Visits!$U$2:$U$995,"&gt;"&amp;($B$1-7))</f>
        <v>0</v>
      </c>
      <c r="I140">
        <f>COUNTIFS(Visits!$E$2:$E$995,'User Engagement'!$A140,Visits!$U$2:$U$995,"&gt;"&amp;($B$1-30))</f>
        <v>0</v>
      </c>
      <c r="J140">
        <f>COUNTIFS(Visits!$E$2:$E$995,$A140,Visits!$U$2:$U$995,"&gt;"&amp;($B$1-60))-I140</f>
        <v>0</v>
      </c>
      <c r="K140">
        <f>COUNTIFS(Visits!$V:$V,'New Dashboard'!$A$22,Visits!$E:$E,'User Engagement'!$A140)</f>
        <v>0</v>
      </c>
      <c r="L140">
        <f>COUNTIFS(Visits!$V:$V,'New Dashboard'!$A$23,Visits!$E:$E,'User Engagement'!$A140)</f>
        <v>0</v>
      </c>
      <c r="M140">
        <f>COUNTIFS(Visits!$V:$V,'New Dashboard'!$A$24,Visits!$E:$E,'User Engagement'!$A140)</f>
        <v>0</v>
      </c>
      <c r="N140">
        <f>COUNTIFS(Visits!$V:$V,'New Dashboard'!$A$25,Visits!$E:$E,'User Engagement'!$A140)</f>
        <v>0</v>
      </c>
      <c r="O140">
        <f t="shared" si="19"/>
        <v>1</v>
      </c>
      <c r="P140">
        <f t="shared" si="20"/>
        <v>0</v>
      </c>
      <c r="Q140">
        <f t="shared" si="20"/>
        <v>0</v>
      </c>
      <c r="R140">
        <f t="shared" si="16"/>
        <v>0</v>
      </c>
      <c r="S140" s="5">
        <f>SUMIF(Visits!$E$2:$E$89,'User Engagement'!$A140,Visits!$L$2:$L$89)</f>
        <v>0</v>
      </c>
      <c r="T140" s="5">
        <f>SUMIFS(Visits!$L$2:$L$89,Visits!$E$2:$E$89,'User Engagement'!$A140,Visits!$U$2:$U$89,"&gt;3/28/24")</f>
        <v>0</v>
      </c>
      <c r="U140" s="19" t="e">
        <f t="shared" si="17"/>
        <v>#DIV/0!</v>
      </c>
      <c r="V140" s="19" t="str">
        <f t="shared" si="18"/>
        <v>n/a</v>
      </c>
    </row>
    <row r="141" spans="1:22" ht="16" x14ac:dyDescent="0.2">
      <c r="A141">
        <f>Users!A139</f>
        <v>0</v>
      </c>
      <c r="B141" s="29" t="e">
        <f>VLOOKUP(A141,Users!A:D,2,FALSE)</f>
        <v>#N/A</v>
      </c>
      <c r="C141" s="29" t="e">
        <f>VLOOKUP(A141,Users!A:D,3,FALSE)</f>
        <v>#N/A</v>
      </c>
      <c r="F141" s="1" cm="1">
        <f t="array" ref="F141">MAX(_xlfn._xlws.FILTER(Visits!U:U,Visits!E:E='User Engagement'!A141))</f>
        <v>0</v>
      </c>
      <c r="G141">
        <f>COUNTIF(Visits!$E$2:$E$995,'User Engagement'!$A141)</f>
        <v>0</v>
      </c>
      <c r="H141">
        <f>COUNTIFS(Visits!$E$2:$E$995,'User Engagement'!$A142,Visits!$U$2:$U$995,"&gt;"&amp;($B$1-7))</f>
        <v>0</v>
      </c>
      <c r="I141">
        <f>COUNTIFS(Visits!$E$2:$E$995,'User Engagement'!$A141,Visits!$U$2:$U$995,"&gt;"&amp;($B$1-30))</f>
        <v>0</v>
      </c>
      <c r="J141">
        <f>COUNTIFS(Visits!$E$2:$E$995,$A141,Visits!$U$2:$U$995,"&gt;"&amp;($B$1-60))-I141</f>
        <v>0</v>
      </c>
      <c r="K141">
        <f>COUNTIFS(Visits!$V:$V,'New Dashboard'!$A$22,Visits!$E:$E,'User Engagement'!$A141)</f>
        <v>0</v>
      </c>
      <c r="L141">
        <f>COUNTIFS(Visits!$V:$V,'New Dashboard'!$A$23,Visits!$E:$E,'User Engagement'!$A141)</f>
        <v>0</v>
      </c>
      <c r="M141">
        <f>COUNTIFS(Visits!$V:$V,'New Dashboard'!$A$24,Visits!$E:$E,'User Engagement'!$A141)</f>
        <v>0</v>
      </c>
      <c r="N141">
        <f>COUNTIFS(Visits!$V:$V,'New Dashboard'!$A$25,Visits!$E:$E,'User Engagement'!$A141)</f>
        <v>0</v>
      </c>
      <c r="O141">
        <f t="shared" si="19"/>
        <v>1</v>
      </c>
      <c r="P141">
        <f t="shared" si="20"/>
        <v>0</v>
      </c>
      <c r="Q141">
        <f t="shared" si="20"/>
        <v>0</v>
      </c>
      <c r="R141">
        <f t="shared" si="16"/>
        <v>0</v>
      </c>
      <c r="S141" s="5">
        <f>SUMIF(Visits!$E$2:$E$89,'User Engagement'!$A141,Visits!$L$2:$L$89)</f>
        <v>0</v>
      </c>
      <c r="T141" s="5">
        <f>SUMIFS(Visits!$L$2:$L$89,Visits!$E$2:$E$89,'User Engagement'!$A141,Visits!$U$2:$U$89,"&gt;3/28/24")</f>
        <v>0</v>
      </c>
      <c r="U141" s="19" t="e">
        <f t="shared" si="17"/>
        <v>#DIV/0!</v>
      </c>
      <c r="V141" s="19" t="str">
        <f t="shared" si="18"/>
        <v>n/a</v>
      </c>
    </row>
    <row r="142" spans="1:22" ht="16" x14ac:dyDescent="0.2">
      <c r="A142">
        <f>Users!A140</f>
        <v>0</v>
      </c>
      <c r="B142" s="29" t="e">
        <f>VLOOKUP(A142,Users!A:D,2,FALSE)</f>
        <v>#N/A</v>
      </c>
      <c r="C142" s="29" t="e">
        <f>VLOOKUP(A142,Users!A:D,3,FALSE)</f>
        <v>#N/A</v>
      </c>
      <c r="F142" s="1" cm="1">
        <f t="array" ref="F142">MAX(_xlfn._xlws.FILTER(Visits!U:U,Visits!E:E='User Engagement'!A142))</f>
        <v>0</v>
      </c>
      <c r="G142">
        <f>COUNTIF(Visits!$E$2:$E$995,'User Engagement'!$A142)</f>
        <v>0</v>
      </c>
      <c r="H142">
        <f>COUNTIFS(Visits!$E$2:$E$995,'User Engagement'!$A143,Visits!$U$2:$U$995,"&gt;"&amp;($B$1-7))</f>
        <v>0</v>
      </c>
      <c r="I142">
        <f>COUNTIFS(Visits!$E$2:$E$995,'User Engagement'!$A142,Visits!$U$2:$U$995,"&gt;"&amp;($B$1-30))</f>
        <v>0</v>
      </c>
      <c r="J142">
        <f>COUNTIFS(Visits!$E$2:$E$995,$A142,Visits!$U$2:$U$995,"&gt;"&amp;($B$1-60))-I142</f>
        <v>0</v>
      </c>
      <c r="K142">
        <f>COUNTIFS(Visits!$V:$V,'New Dashboard'!$A$22,Visits!$E:$E,'User Engagement'!$A142)</f>
        <v>0</v>
      </c>
      <c r="L142">
        <f>COUNTIFS(Visits!$V:$V,'New Dashboard'!$A$23,Visits!$E:$E,'User Engagement'!$A142)</f>
        <v>0</v>
      </c>
      <c r="M142">
        <f>COUNTIFS(Visits!$V:$V,'New Dashboard'!$A$24,Visits!$E:$E,'User Engagement'!$A142)</f>
        <v>0</v>
      </c>
      <c r="N142">
        <f>COUNTIFS(Visits!$V:$V,'New Dashboard'!$A$25,Visits!$E:$E,'User Engagement'!$A142)</f>
        <v>0</v>
      </c>
      <c r="O142">
        <f t="shared" si="19"/>
        <v>1</v>
      </c>
      <c r="P142">
        <f t="shared" si="20"/>
        <v>0</v>
      </c>
      <c r="Q142">
        <f t="shared" si="20"/>
        <v>0</v>
      </c>
      <c r="R142">
        <f t="shared" si="16"/>
        <v>0</v>
      </c>
      <c r="S142" s="5">
        <f>SUMIF(Visits!$E$2:$E$89,'User Engagement'!$A142,Visits!$L$2:$L$89)</f>
        <v>0</v>
      </c>
      <c r="T142" s="5">
        <f>SUMIFS(Visits!$L$2:$L$89,Visits!$E$2:$E$89,'User Engagement'!$A142,Visits!$U$2:$U$89,"&gt;3/28/24")</f>
        <v>0</v>
      </c>
      <c r="U142" s="19" t="e">
        <f t="shared" si="17"/>
        <v>#DIV/0!</v>
      </c>
      <c r="V142" s="19" t="str">
        <f t="shared" si="18"/>
        <v>n/a</v>
      </c>
    </row>
    <row r="143" spans="1:22" ht="16" x14ac:dyDescent="0.2">
      <c r="A143">
        <f>Users!A141</f>
        <v>0</v>
      </c>
      <c r="B143" s="29" t="e">
        <f>VLOOKUP(A143,Users!A:D,2,FALSE)</f>
        <v>#N/A</v>
      </c>
      <c r="C143" s="29" t="e">
        <f>VLOOKUP(A143,Users!A:D,3,FALSE)</f>
        <v>#N/A</v>
      </c>
      <c r="F143" s="1" cm="1">
        <f t="array" ref="F143">MAX(_xlfn._xlws.FILTER(Visits!U:U,Visits!E:E='User Engagement'!A143))</f>
        <v>0</v>
      </c>
      <c r="G143">
        <f>COUNTIF(Visits!$E$2:$E$995,'User Engagement'!$A143)</f>
        <v>0</v>
      </c>
      <c r="H143">
        <f>COUNTIFS(Visits!$E$2:$E$995,'User Engagement'!$A144,Visits!$U$2:$U$995,"&gt;"&amp;($B$1-7))</f>
        <v>0</v>
      </c>
      <c r="I143">
        <f>COUNTIFS(Visits!$E$2:$E$995,'User Engagement'!$A143,Visits!$U$2:$U$995,"&gt;"&amp;($B$1-30))</f>
        <v>0</v>
      </c>
      <c r="J143">
        <f>COUNTIFS(Visits!$E$2:$E$995,$A143,Visits!$U$2:$U$995,"&gt;"&amp;($B$1-60))-I143</f>
        <v>0</v>
      </c>
      <c r="K143">
        <f>COUNTIFS(Visits!$V:$V,'New Dashboard'!$A$22,Visits!$E:$E,'User Engagement'!$A143)</f>
        <v>0</v>
      </c>
      <c r="L143">
        <f>COUNTIFS(Visits!$V:$V,'New Dashboard'!$A$23,Visits!$E:$E,'User Engagement'!$A143)</f>
        <v>0</v>
      </c>
      <c r="M143">
        <f>COUNTIFS(Visits!$V:$V,'New Dashboard'!$A$24,Visits!$E:$E,'User Engagement'!$A143)</f>
        <v>0</v>
      </c>
      <c r="N143">
        <f>COUNTIFS(Visits!$V:$V,'New Dashboard'!$A$25,Visits!$E:$E,'User Engagement'!$A143)</f>
        <v>0</v>
      </c>
      <c r="O143">
        <f t="shared" si="19"/>
        <v>1</v>
      </c>
      <c r="P143">
        <f t="shared" si="20"/>
        <v>0</v>
      </c>
      <c r="Q143">
        <f t="shared" si="20"/>
        <v>0</v>
      </c>
      <c r="R143">
        <f t="shared" si="16"/>
        <v>0</v>
      </c>
      <c r="S143" s="5">
        <f>SUMIF(Visits!$E$2:$E$89,'User Engagement'!$A143,Visits!$L$2:$L$89)</f>
        <v>0</v>
      </c>
      <c r="T143" s="5">
        <f>SUMIFS(Visits!$L$2:$L$89,Visits!$E$2:$E$89,'User Engagement'!$A143,Visits!$U$2:$U$89,"&gt;3/28/24")</f>
        <v>0</v>
      </c>
      <c r="U143" s="19" t="e">
        <f t="shared" si="17"/>
        <v>#DIV/0!</v>
      </c>
      <c r="V143" s="19" t="str">
        <f t="shared" si="18"/>
        <v>n/a</v>
      </c>
    </row>
    <row r="144" spans="1:22" ht="16" x14ac:dyDescent="0.2">
      <c r="A144">
        <f>Users!A142</f>
        <v>0</v>
      </c>
      <c r="B144" s="29" t="e">
        <f>VLOOKUP(A144,Users!A:D,2,FALSE)</f>
        <v>#N/A</v>
      </c>
      <c r="C144" s="29" t="e">
        <f>VLOOKUP(A144,Users!A:D,3,FALSE)</f>
        <v>#N/A</v>
      </c>
      <c r="F144" s="1" cm="1">
        <f t="array" ref="F144">MAX(_xlfn._xlws.FILTER(Visits!U:U,Visits!E:E='User Engagement'!A144))</f>
        <v>0</v>
      </c>
      <c r="G144">
        <f>COUNTIF(Visits!$E$2:$E$995,'User Engagement'!$A144)</f>
        <v>0</v>
      </c>
      <c r="H144">
        <f>COUNTIFS(Visits!$E$2:$E$995,'User Engagement'!$A145,Visits!$U$2:$U$995,"&gt;"&amp;($B$1-7))</f>
        <v>0</v>
      </c>
      <c r="I144">
        <f>COUNTIFS(Visits!$E$2:$E$995,'User Engagement'!$A144,Visits!$U$2:$U$995,"&gt;"&amp;($B$1-30))</f>
        <v>0</v>
      </c>
      <c r="J144">
        <f>COUNTIFS(Visits!$E$2:$E$995,$A144,Visits!$U$2:$U$995,"&gt;"&amp;($B$1-60))-I144</f>
        <v>0</v>
      </c>
      <c r="K144">
        <f>COUNTIFS(Visits!$V:$V,'New Dashboard'!$A$22,Visits!$E:$E,'User Engagement'!$A144)</f>
        <v>0</v>
      </c>
      <c r="L144">
        <f>COUNTIFS(Visits!$V:$V,'New Dashboard'!$A$23,Visits!$E:$E,'User Engagement'!$A144)</f>
        <v>0</v>
      </c>
      <c r="M144">
        <f>COUNTIFS(Visits!$V:$V,'New Dashboard'!$A$24,Visits!$E:$E,'User Engagement'!$A144)</f>
        <v>0</v>
      </c>
      <c r="N144">
        <f>COUNTIFS(Visits!$V:$V,'New Dashboard'!$A$25,Visits!$E:$E,'User Engagement'!$A144)</f>
        <v>0</v>
      </c>
      <c r="O144">
        <f t="shared" si="19"/>
        <v>1</v>
      </c>
      <c r="P144">
        <f t="shared" si="20"/>
        <v>0</v>
      </c>
      <c r="Q144">
        <f t="shared" si="20"/>
        <v>0</v>
      </c>
      <c r="R144">
        <f t="shared" si="16"/>
        <v>0</v>
      </c>
      <c r="S144" s="5">
        <f>SUMIF(Visits!$E$2:$E$89,'User Engagement'!$A144,Visits!$L$2:$L$89)</f>
        <v>0</v>
      </c>
      <c r="T144" s="5">
        <f>SUMIFS(Visits!$L$2:$L$89,Visits!$E$2:$E$89,'User Engagement'!$A144,Visits!$U$2:$U$89,"&gt;3/28/24")</f>
        <v>0</v>
      </c>
      <c r="U144" s="19" t="e">
        <f t="shared" si="17"/>
        <v>#DIV/0!</v>
      </c>
      <c r="V144" s="19" t="str">
        <f t="shared" si="18"/>
        <v>n/a</v>
      </c>
    </row>
    <row r="145" spans="1:22" ht="16" x14ac:dyDescent="0.2">
      <c r="A145">
        <f>Users!A143</f>
        <v>0</v>
      </c>
      <c r="B145" s="29" t="e">
        <f>VLOOKUP(A145,Users!A:D,2,FALSE)</f>
        <v>#N/A</v>
      </c>
      <c r="C145" s="29" t="e">
        <f>VLOOKUP(A145,Users!A:D,3,FALSE)</f>
        <v>#N/A</v>
      </c>
      <c r="F145" s="1" cm="1">
        <f t="array" ref="F145">MAX(_xlfn._xlws.FILTER(Visits!U:U,Visits!E:E='User Engagement'!A145))</f>
        <v>0</v>
      </c>
      <c r="G145">
        <f>COUNTIF(Visits!$E$2:$E$995,'User Engagement'!$A145)</f>
        <v>0</v>
      </c>
      <c r="H145">
        <f>COUNTIFS(Visits!$E$2:$E$995,'User Engagement'!$A146,Visits!$U$2:$U$995,"&gt;"&amp;($B$1-7))</f>
        <v>0</v>
      </c>
      <c r="I145">
        <f>COUNTIFS(Visits!$E$2:$E$995,'User Engagement'!$A145,Visits!$U$2:$U$995,"&gt;"&amp;($B$1-30))</f>
        <v>0</v>
      </c>
      <c r="J145">
        <f>COUNTIFS(Visits!$E$2:$E$995,$A145,Visits!$U$2:$U$995,"&gt;"&amp;($B$1-60))-I145</f>
        <v>0</v>
      </c>
      <c r="K145">
        <f>COUNTIFS(Visits!$V:$V,'New Dashboard'!$A$22,Visits!$E:$E,'User Engagement'!$A145)</f>
        <v>0</v>
      </c>
      <c r="L145">
        <f>COUNTIFS(Visits!$V:$V,'New Dashboard'!$A$23,Visits!$E:$E,'User Engagement'!$A145)</f>
        <v>0</v>
      </c>
      <c r="M145">
        <f>COUNTIFS(Visits!$V:$V,'New Dashboard'!$A$24,Visits!$E:$E,'User Engagement'!$A145)</f>
        <v>0</v>
      </c>
      <c r="N145">
        <f>COUNTIFS(Visits!$V:$V,'New Dashboard'!$A$25,Visits!$E:$E,'User Engagement'!$A145)</f>
        <v>0</v>
      </c>
      <c r="O145">
        <f t="shared" si="19"/>
        <v>1</v>
      </c>
      <c r="P145">
        <f t="shared" si="20"/>
        <v>0</v>
      </c>
      <c r="Q145">
        <f t="shared" si="20"/>
        <v>0</v>
      </c>
      <c r="R145">
        <f t="shared" si="16"/>
        <v>0</v>
      </c>
      <c r="S145" s="5">
        <f>SUMIF(Visits!$E$2:$E$89,'User Engagement'!$A145,Visits!$L$2:$L$89)</f>
        <v>0</v>
      </c>
      <c r="T145" s="5">
        <f>SUMIFS(Visits!$L$2:$L$89,Visits!$E$2:$E$89,'User Engagement'!$A145,Visits!$U$2:$U$89,"&gt;3/28/24")</f>
        <v>0</v>
      </c>
      <c r="U145" s="19" t="e">
        <f t="shared" si="17"/>
        <v>#DIV/0!</v>
      </c>
      <c r="V145" s="19" t="str">
        <f t="shared" si="18"/>
        <v>n/a</v>
      </c>
    </row>
    <row r="146" spans="1:22" ht="16" x14ac:dyDescent="0.2">
      <c r="A146">
        <f>Users!A144</f>
        <v>0</v>
      </c>
      <c r="B146" s="29" t="e">
        <f>VLOOKUP(A146,Users!A:D,2,FALSE)</f>
        <v>#N/A</v>
      </c>
      <c r="C146" s="29" t="e">
        <f>VLOOKUP(A146,Users!A:D,3,FALSE)</f>
        <v>#N/A</v>
      </c>
      <c r="F146" s="1" cm="1">
        <f t="array" ref="F146">MAX(_xlfn._xlws.FILTER(Visits!U:U,Visits!E:E='User Engagement'!A146))</f>
        <v>0</v>
      </c>
      <c r="G146">
        <f>COUNTIF(Visits!$E$2:$E$995,'User Engagement'!$A146)</f>
        <v>0</v>
      </c>
      <c r="H146">
        <f>COUNTIFS(Visits!$E$2:$E$995,'User Engagement'!$A147,Visits!$U$2:$U$995,"&gt;"&amp;($B$1-7))</f>
        <v>0</v>
      </c>
      <c r="I146">
        <f>COUNTIFS(Visits!$E$2:$E$995,'User Engagement'!$A146,Visits!$U$2:$U$995,"&gt;"&amp;($B$1-30))</f>
        <v>0</v>
      </c>
      <c r="J146">
        <f>COUNTIFS(Visits!$E$2:$E$995,$A146,Visits!$U$2:$U$995,"&gt;"&amp;($B$1-60))-I146</f>
        <v>0</v>
      </c>
      <c r="K146">
        <f>COUNTIFS(Visits!$V:$V,'New Dashboard'!$A$22,Visits!$E:$E,'User Engagement'!$A146)</f>
        <v>0</v>
      </c>
      <c r="L146">
        <f>COUNTIFS(Visits!$V:$V,'New Dashboard'!$A$23,Visits!$E:$E,'User Engagement'!$A146)</f>
        <v>0</v>
      </c>
      <c r="M146">
        <f>COUNTIFS(Visits!$V:$V,'New Dashboard'!$A$24,Visits!$E:$E,'User Engagement'!$A146)</f>
        <v>0</v>
      </c>
      <c r="N146">
        <f>COUNTIFS(Visits!$V:$V,'New Dashboard'!$A$25,Visits!$E:$E,'User Engagement'!$A146)</f>
        <v>0</v>
      </c>
      <c r="O146">
        <f t="shared" si="19"/>
        <v>1</v>
      </c>
      <c r="P146">
        <f t="shared" si="20"/>
        <v>0</v>
      </c>
      <c r="Q146">
        <f t="shared" si="20"/>
        <v>0</v>
      </c>
      <c r="R146">
        <f t="shared" si="16"/>
        <v>0</v>
      </c>
      <c r="S146" s="5">
        <f>SUMIF(Visits!$E$2:$E$89,'User Engagement'!$A146,Visits!$L$2:$L$89)</f>
        <v>0</v>
      </c>
      <c r="T146" s="5">
        <f>SUMIFS(Visits!$L$2:$L$89,Visits!$E$2:$E$89,'User Engagement'!$A146,Visits!$U$2:$U$89,"&gt;3/28/24")</f>
        <v>0</v>
      </c>
      <c r="U146" s="19" t="e">
        <f t="shared" si="17"/>
        <v>#DIV/0!</v>
      </c>
      <c r="V146" s="19" t="str">
        <f t="shared" si="18"/>
        <v>n/a</v>
      </c>
    </row>
    <row r="147" spans="1:22" ht="16" x14ac:dyDescent="0.2">
      <c r="A147">
        <f>Users!A145</f>
        <v>0</v>
      </c>
      <c r="B147" s="29" t="e">
        <f>VLOOKUP(A147,Users!A:D,2,FALSE)</f>
        <v>#N/A</v>
      </c>
      <c r="C147" s="29" t="e">
        <f>VLOOKUP(A147,Users!A:D,3,FALSE)</f>
        <v>#N/A</v>
      </c>
      <c r="F147" s="1" cm="1">
        <f t="array" ref="F147">MAX(_xlfn._xlws.FILTER(Visits!U:U,Visits!E:E='User Engagement'!A147))</f>
        <v>0</v>
      </c>
      <c r="G147">
        <f>COUNTIF(Visits!$E$2:$E$995,'User Engagement'!$A147)</f>
        <v>0</v>
      </c>
      <c r="H147">
        <f>COUNTIFS(Visits!$E$2:$E$995,'User Engagement'!$A148,Visits!$U$2:$U$995,"&gt;"&amp;($B$1-7))</f>
        <v>0</v>
      </c>
      <c r="I147">
        <f>COUNTIFS(Visits!$E$2:$E$995,'User Engagement'!$A147,Visits!$U$2:$U$995,"&gt;"&amp;($B$1-30))</f>
        <v>0</v>
      </c>
      <c r="J147">
        <f>COUNTIFS(Visits!$E$2:$E$995,$A147,Visits!$U$2:$U$995,"&gt;"&amp;($B$1-60))-I147</f>
        <v>0</v>
      </c>
      <c r="K147">
        <f>COUNTIFS(Visits!$V:$V,'New Dashboard'!$A$22,Visits!$E:$E,'User Engagement'!$A147)</f>
        <v>0</v>
      </c>
      <c r="L147">
        <f>COUNTIFS(Visits!$V:$V,'New Dashboard'!$A$23,Visits!$E:$E,'User Engagement'!$A147)</f>
        <v>0</v>
      </c>
      <c r="M147">
        <f>COUNTIFS(Visits!$V:$V,'New Dashboard'!$A$24,Visits!$E:$E,'User Engagement'!$A147)</f>
        <v>0</v>
      </c>
      <c r="N147">
        <f>COUNTIFS(Visits!$V:$V,'New Dashboard'!$A$25,Visits!$E:$E,'User Engagement'!$A147)</f>
        <v>0</v>
      </c>
      <c r="O147">
        <f t="shared" si="19"/>
        <v>1</v>
      </c>
      <c r="P147">
        <f t="shared" si="20"/>
        <v>0</v>
      </c>
      <c r="Q147">
        <f t="shared" si="20"/>
        <v>0</v>
      </c>
      <c r="R147">
        <f t="shared" si="16"/>
        <v>0</v>
      </c>
      <c r="S147" s="5">
        <f>SUMIF(Visits!$E$2:$E$89,'User Engagement'!$A147,Visits!$L$2:$L$89)</f>
        <v>0</v>
      </c>
      <c r="T147" s="5">
        <f>SUMIFS(Visits!$L$2:$L$89,Visits!$E$2:$E$89,'User Engagement'!$A147,Visits!$U$2:$U$89,"&gt;3/28/24")</f>
        <v>0</v>
      </c>
      <c r="U147" s="19" t="e">
        <f t="shared" si="17"/>
        <v>#DIV/0!</v>
      </c>
      <c r="V147" s="19" t="str">
        <f t="shared" si="18"/>
        <v>n/a</v>
      </c>
    </row>
    <row r="148" spans="1:22" ht="16" x14ac:dyDescent="0.2">
      <c r="A148">
        <f>Users!A146</f>
        <v>0</v>
      </c>
      <c r="B148" s="29" t="e">
        <f>VLOOKUP(A148,Users!A:D,2,FALSE)</f>
        <v>#N/A</v>
      </c>
      <c r="C148" s="29" t="e">
        <f>VLOOKUP(A148,Users!A:D,3,FALSE)</f>
        <v>#N/A</v>
      </c>
      <c r="F148" s="1" cm="1">
        <f t="array" ref="F148">MAX(_xlfn._xlws.FILTER(Visits!U:U,Visits!E:E='User Engagement'!A148))</f>
        <v>0</v>
      </c>
      <c r="G148">
        <f>COUNTIF(Visits!$E$2:$E$995,'User Engagement'!$A148)</f>
        <v>0</v>
      </c>
      <c r="H148">
        <f>COUNTIFS(Visits!$E$2:$E$995,'User Engagement'!$A149,Visits!$U$2:$U$995,"&gt;"&amp;($B$1-7))</f>
        <v>0</v>
      </c>
      <c r="I148">
        <f>COUNTIFS(Visits!$E$2:$E$995,'User Engagement'!$A148,Visits!$U$2:$U$995,"&gt;"&amp;($B$1-30))</f>
        <v>0</v>
      </c>
      <c r="J148">
        <f>COUNTIFS(Visits!$E$2:$E$995,$A148,Visits!$U$2:$U$995,"&gt;"&amp;($B$1-60))-I148</f>
        <v>0</v>
      </c>
      <c r="K148">
        <f>COUNTIFS(Visits!$V:$V,'New Dashboard'!$A$22,Visits!$E:$E,'User Engagement'!$A148)</f>
        <v>0</v>
      </c>
      <c r="L148">
        <f>COUNTIFS(Visits!$V:$V,'New Dashboard'!$A$23,Visits!$E:$E,'User Engagement'!$A148)</f>
        <v>0</v>
      </c>
      <c r="M148">
        <f>COUNTIFS(Visits!$V:$V,'New Dashboard'!$A$24,Visits!$E:$E,'User Engagement'!$A148)</f>
        <v>0</v>
      </c>
      <c r="N148">
        <f>COUNTIFS(Visits!$V:$V,'New Dashboard'!$A$25,Visits!$E:$E,'User Engagement'!$A148)</f>
        <v>0</v>
      </c>
      <c r="O148">
        <f t="shared" si="19"/>
        <v>1</v>
      </c>
      <c r="P148">
        <f t="shared" si="20"/>
        <v>0</v>
      </c>
      <c r="Q148">
        <f t="shared" si="20"/>
        <v>0</v>
      </c>
      <c r="R148">
        <f t="shared" si="16"/>
        <v>0</v>
      </c>
      <c r="S148" s="5">
        <f>SUMIF(Visits!$E$2:$E$89,'User Engagement'!$A148,Visits!$L$2:$L$89)</f>
        <v>0</v>
      </c>
      <c r="T148" s="5">
        <f>SUMIFS(Visits!$L$2:$L$89,Visits!$E$2:$E$89,'User Engagement'!$A148,Visits!$U$2:$U$89,"&gt;3/28/24")</f>
        <v>0</v>
      </c>
      <c r="U148" s="19" t="e">
        <f t="shared" si="17"/>
        <v>#DIV/0!</v>
      </c>
      <c r="V148" s="19" t="str">
        <f t="shared" si="18"/>
        <v>n/a</v>
      </c>
    </row>
    <row r="149" spans="1:22" ht="16" x14ac:dyDescent="0.2">
      <c r="A149">
        <f>Users!A147</f>
        <v>0</v>
      </c>
      <c r="B149" s="29" t="e">
        <f>VLOOKUP(A149,Users!A:D,2,FALSE)</f>
        <v>#N/A</v>
      </c>
      <c r="C149" s="29" t="e">
        <f>VLOOKUP(A149,Users!A:D,3,FALSE)</f>
        <v>#N/A</v>
      </c>
      <c r="F149" s="1" cm="1">
        <f t="array" ref="F149">MAX(_xlfn._xlws.FILTER(Visits!U:U,Visits!E:E='User Engagement'!A149))</f>
        <v>0</v>
      </c>
      <c r="G149">
        <f>COUNTIF(Visits!$E$2:$E$995,'User Engagement'!$A149)</f>
        <v>0</v>
      </c>
      <c r="H149">
        <f>COUNTIFS(Visits!$E$2:$E$995,'User Engagement'!$A150,Visits!$U$2:$U$995,"&gt;"&amp;($B$1-7))</f>
        <v>0</v>
      </c>
      <c r="I149">
        <f>COUNTIFS(Visits!$E$2:$E$995,'User Engagement'!$A149,Visits!$U$2:$U$995,"&gt;"&amp;($B$1-30))</f>
        <v>0</v>
      </c>
      <c r="J149">
        <f>COUNTIFS(Visits!$E$2:$E$995,$A149,Visits!$U$2:$U$995,"&gt;"&amp;($B$1-60))-I149</f>
        <v>0</v>
      </c>
      <c r="K149">
        <f>COUNTIFS(Visits!$V:$V,'New Dashboard'!$A$22,Visits!$E:$E,'User Engagement'!$A149)</f>
        <v>0</v>
      </c>
      <c r="L149">
        <f>COUNTIFS(Visits!$V:$V,'New Dashboard'!$A$23,Visits!$E:$E,'User Engagement'!$A149)</f>
        <v>0</v>
      </c>
      <c r="M149">
        <f>COUNTIFS(Visits!$V:$V,'New Dashboard'!$A$24,Visits!$E:$E,'User Engagement'!$A149)</f>
        <v>0</v>
      </c>
      <c r="N149">
        <f>COUNTIFS(Visits!$V:$V,'New Dashboard'!$A$25,Visits!$E:$E,'User Engagement'!$A149)</f>
        <v>0</v>
      </c>
      <c r="O149">
        <f t="shared" si="19"/>
        <v>1</v>
      </c>
      <c r="P149">
        <f t="shared" si="20"/>
        <v>0</v>
      </c>
      <c r="Q149">
        <f t="shared" si="20"/>
        <v>0</v>
      </c>
      <c r="R149">
        <f t="shared" si="16"/>
        <v>0</v>
      </c>
      <c r="S149" s="5">
        <f>SUMIF(Visits!$E$2:$E$89,'User Engagement'!$A149,Visits!$L$2:$L$89)</f>
        <v>0</v>
      </c>
      <c r="T149" s="5">
        <f>SUMIFS(Visits!$L$2:$L$89,Visits!$E$2:$E$89,'User Engagement'!$A149,Visits!$U$2:$U$89,"&gt;3/28/24")</f>
        <v>0</v>
      </c>
      <c r="U149" s="19" t="e">
        <f t="shared" si="17"/>
        <v>#DIV/0!</v>
      </c>
      <c r="V149" s="19" t="str">
        <f t="shared" si="18"/>
        <v>n/a</v>
      </c>
    </row>
    <row r="150" spans="1:22" ht="16" x14ac:dyDescent="0.2">
      <c r="A150">
        <f>Users!A148</f>
        <v>0</v>
      </c>
      <c r="B150" s="29" t="e">
        <f>VLOOKUP(A150,Users!A:D,2,FALSE)</f>
        <v>#N/A</v>
      </c>
      <c r="C150" s="29" t="e">
        <f>VLOOKUP(A150,Users!A:D,3,FALSE)</f>
        <v>#N/A</v>
      </c>
      <c r="F150" s="1" cm="1">
        <f t="array" ref="F150">MAX(_xlfn._xlws.FILTER(Visits!U:U,Visits!E:E='User Engagement'!A150))</f>
        <v>0</v>
      </c>
      <c r="G150">
        <f>COUNTIF(Visits!$E$2:$E$995,'User Engagement'!$A150)</f>
        <v>0</v>
      </c>
      <c r="H150">
        <f>COUNTIFS(Visits!$E$2:$E$995,'User Engagement'!$A151,Visits!$U$2:$U$995,"&gt;"&amp;($B$1-7))</f>
        <v>0</v>
      </c>
      <c r="I150">
        <f>COUNTIFS(Visits!$E$2:$E$995,'User Engagement'!$A150,Visits!$U$2:$U$995,"&gt;"&amp;($B$1-30))</f>
        <v>0</v>
      </c>
      <c r="J150">
        <f>COUNTIFS(Visits!$E$2:$E$995,$A150,Visits!$U$2:$U$995,"&gt;"&amp;($B$1-60))-I150</f>
        <v>0</v>
      </c>
      <c r="K150">
        <f>COUNTIFS(Visits!$V:$V,'New Dashboard'!$A$22,Visits!$E:$E,'User Engagement'!$A150)</f>
        <v>0</v>
      </c>
      <c r="L150">
        <f>COUNTIFS(Visits!$V:$V,'New Dashboard'!$A$23,Visits!$E:$E,'User Engagement'!$A150)</f>
        <v>0</v>
      </c>
      <c r="M150">
        <f>COUNTIFS(Visits!$V:$V,'New Dashboard'!$A$24,Visits!$E:$E,'User Engagement'!$A150)</f>
        <v>0</v>
      </c>
      <c r="N150">
        <f>COUNTIFS(Visits!$V:$V,'New Dashboard'!$A$25,Visits!$E:$E,'User Engagement'!$A150)</f>
        <v>0</v>
      </c>
      <c r="O150">
        <f t="shared" si="19"/>
        <v>1</v>
      </c>
      <c r="P150">
        <f t="shared" si="20"/>
        <v>0</v>
      </c>
      <c r="Q150">
        <f t="shared" si="20"/>
        <v>0</v>
      </c>
      <c r="R150">
        <f t="shared" si="16"/>
        <v>0</v>
      </c>
      <c r="S150" s="5">
        <f>SUMIF(Visits!$E$2:$E$89,'User Engagement'!$A150,Visits!$L$2:$L$89)</f>
        <v>0</v>
      </c>
      <c r="T150" s="5">
        <f>SUMIFS(Visits!$L$2:$L$89,Visits!$E$2:$E$89,'User Engagement'!$A150,Visits!$U$2:$U$89,"&gt;3/28/24")</f>
        <v>0</v>
      </c>
      <c r="U150" s="19" t="e">
        <f t="shared" si="17"/>
        <v>#DIV/0!</v>
      </c>
      <c r="V150" s="19" t="str">
        <f t="shared" si="18"/>
        <v>n/a</v>
      </c>
    </row>
    <row r="151" spans="1:22" ht="16" x14ac:dyDescent="0.2">
      <c r="A151">
        <f>Users!A149</f>
        <v>0</v>
      </c>
      <c r="B151" s="29" t="e">
        <f>VLOOKUP(A151,Users!A:D,2,FALSE)</f>
        <v>#N/A</v>
      </c>
      <c r="C151" s="29" t="e">
        <f>VLOOKUP(A151,Users!A:D,3,FALSE)</f>
        <v>#N/A</v>
      </c>
      <c r="F151" s="1" cm="1">
        <f t="array" ref="F151">MAX(_xlfn._xlws.FILTER(Visits!U:U,Visits!E:E='User Engagement'!A151))</f>
        <v>0</v>
      </c>
      <c r="G151">
        <f>COUNTIF(Visits!$E$2:$E$995,'User Engagement'!$A151)</f>
        <v>0</v>
      </c>
      <c r="H151">
        <f>COUNTIFS(Visits!$E$2:$E$995,'User Engagement'!$A152,Visits!$U$2:$U$995,"&gt;"&amp;($B$1-7))</f>
        <v>0</v>
      </c>
      <c r="I151">
        <f>COUNTIFS(Visits!$E$2:$E$995,'User Engagement'!$A151,Visits!$U$2:$U$995,"&gt;"&amp;($B$1-30))</f>
        <v>0</v>
      </c>
      <c r="J151">
        <f>COUNTIFS(Visits!$E$2:$E$995,$A151,Visits!$U$2:$U$995,"&gt;"&amp;($B$1-60))-I151</f>
        <v>0</v>
      </c>
      <c r="K151">
        <f>COUNTIFS(Visits!$V:$V,'New Dashboard'!$A$22,Visits!$E:$E,'User Engagement'!$A151)</f>
        <v>0</v>
      </c>
      <c r="L151">
        <f>COUNTIFS(Visits!$V:$V,'New Dashboard'!$A$23,Visits!$E:$E,'User Engagement'!$A151)</f>
        <v>0</v>
      </c>
      <c r="M151">
        <f>COUNTIFS(Visits!$V:$V,'New Dashboard'!$A$24,Visits!$E:$E,'User Engagement'!$A151)</f>
        <v>0</v>
      </c>
      <c r="N151">
        <f>COUNTIFS(Visits!$V:$V,'New Dashboard'!$A$25,Visits!$E:$E,'User Engagement'!$A151)</f>
        <v>0</v>
      </c>
      <c r="O151">
        <f t="shared" si="19"/>
        <v>1</v>
      </c>
      <c r="P151">
        <f t="shared" si="20"/>
        <v>0</v>
      </c>
      <c r="Q151">
        <f t="shared" si="20"/>
        <v>0</v>
      </c>
      <c r="R151">
        <f t="shared" si="16"/>
        <v>0</v>
      </c>
      <c r="S151" s="5">
        <f>SUMIF(Visits!$E$2:$E$89,'User Engagement'!$A151,Visits!$L$2:$L$89)</f>
        <v>0</v>
      </c>
      <c r="T151" s="5">
        <f>SUMIFS(Visits!$L$2:$L$89,Visits!$E$2:$E$89,'User Engagement'!$A151,Visits!$U$2:$U$89,"&gt;3/28/24")</f>
        <v>0</v>
      </c>
      <c r="U151" s="19" t="e">
        <f t="shared" si="17"/>
        <v>#DIV/0!</v>
      </c>
      <c r="V151" s="19" t="str">
        <f t="shared" si="18"/>
        <v>n/a</v>
      </c>
    </row>
    <row r="152" spans="1:22" ht="16" x14ac:dyDescent="0.2">
      <c r="A152">
        <f>Users!A150</f>
        <v>0</v>
      </c>
      <c r="B152" s="29" t="e">
        <f>VLOOKUP(A152,Users!A:D,2,FALSE)</f>
        <v>#N/A</v>
      </c>
      <c r="C152" s="29" t="e">
        <f>VLOOKUP(A152,Users!A:D,3,FALSE)</f>
        <v>#N/A</v>
      </c>
      <c r="F152" s="1" cm="1">
        <f t="array" ref="F152">MAX(_xlfn._xlws.FILTER(Visits!U:U,Visits!E:E='User Engagement'!A152))</f>
        <v>0</v>
      </c>
      <c r="G152">
        <f>COUNTIF(Visits!$E$2:$E$995,'User Engagement'!$A152)</f>
        <v>0</v>
      </c>
      <c r="H152">
        <f>COUNTIFS(Visits!$E$2:$E$995,'User Engagement'!$A153,Visits!$U$2:$U$995,"&gt;"&amp;($B$1-7))</f>
        <v>0</v>
      </c>
      <c r="I152">
        <f>COUNTIFS(Visits!$E$2:$E$995,'User Engagement'!$A152,Visits!$U$2:$U$995,"&gt;"&amp;($B$1-30))</f>
        <v>0</v>
      </c>
      <c r="J152">
        <f>COUNTIFS(Visits!$E$2:$E$995,$A152,Visits!$U$2:$U$995,"&gt;"&amp;($B$1-60))-I152</f>
        <v>0</v>
      </c>
      <c r="K152">
        <f>COUNTIFS(Visits!$V:$V,'New Dashboard'!$A$22,Visits!$E:$E,'User Engagement'!$A152)</f>
        <v>0</v>
      </c>
      <c r="L152">
        <f>COUNTIFS(Visits!$V:$V,'New Dashboard'!$A$23,Visits!$E:$E,'User Engagement'!$A152)</f>
        <v>0</v>
      </c>
      <c r="M152">
        <f>COUNTIFS(Visits!$V:$V,'New Dashboard'!$A$24,Visits!$E:$E,'User Engagement'!$A152)</f>
        <v>0</v>
      </c>
      <c r="N152">
        <f>COUNTIFS(Visits!$V:$V,'New Dashboard'!$A$25,Visits!$E:$E,'User Engagement'!$A152)</f>
        <v>0</v>
      </c>
      <c r="O152">
        <f t="shared" si="19"/>
        <v>1</v>
      </c>
      <c r="P152">
        <f t="shared" si="20"/>
        <v>0</v>
      </c>
      <c r="Q152">
        <f t="shared" si="20"/>
        <v>0</v>
      </c>
      <c r="R152">
        <f t="shared" si="16"/>
        <v>0</v>
      </c>
      <c r="S152" s="5">
        <f>SUMIF(Visits!$E$2:$E$89,'User Engagement'!$A152,Visits!$L$2:$L$89)</f>
        <v>0</v>
      </c>
      <c r="T152" s="5">
        <f>SUMIFS(Visits!$L$2:$L$89,Visits!$E$2:$E$89,'User Engagement'!$A152,Visits!$U$2:$U$89,"&gt;3/28/24")</f>
        <v>0</v>
      </c>
      <c r="U152" s="19" t="e">
        <f t="shared" si="17"/>
        <v>#DIV/0!</v>
      </c>
      <c r="V152" s="19" t="str">
        <f t="shared" si="18"/>
        <v>n/a</v>
      </c>
    </row>
    <row r="153" spans="1:22" ht="16" x14ac:dyDescent="0.2">
      <c r="A153">
        <f>Users!A151</f>
        <v>0</v>
      </c>
      <c r="B153" s="29" t="e">
        <f>VLOOKUP(A153,Users!A:D,2,FALSE)</f>
        <v>#N/A</v>
      </c>
      <c r="C153" s="29" t="e">
        <f>VLOOKUP(A153,Users!A:D,3,FALSE)</f>
        <v>#N/A</v>
      </c>
      <c r="F153" s="1" cm="1">
        <f t="array" ref="F153">MAX(_xlfn._xlws.FILTER(Visits!U:U,Visits!E:E='User Engagement'!A153))</f>
        <v>0</v>
      </c>
      <c r="G153">
        <f>COUNTIF(Visits!$E$2:$E$995,'User Engagement'!$A153)</f>
        <v>0</v>
      </c>
      <c r="H153">
        <f>COUNTIFS(Visits!$E$2:$E$995,'User Engagement'!$A154,Visits!$U$2:$U$995,"&gt;"&amp;($B$1-7))</f>
        <v>0</v>
      </c>
      <c r="I153">
        <f>COUNTIFS(Visits!$E$2:$E$995,'User Engagement'!$A153,Visits!$U$2:$U$995,"&gt;"&amp;($B$1-30))</f>
        <v>0</v>
      </c>
      <c r="J153">
        <f>COUNTIFS(Visits!$E$2:$E$995,$A153,Visits!$U$2:$U$995,"&gt;"&amp;($B$1-60))-I153</f>
        <v>0</v>
      </c>
      <c r="K153">
        <f>COUNTIFS(Visits!$V:$V,'New Dashboard'!$A$22,Visits!$E:$E,'User Engagement'!$A153)</f>
        <v>0</v>
      </c>
      <c r="L153">
        <f>COUNTIFS(Visits!$V:$V,'New Dashboard'!$A$23,Visits!$E:$E,'User Engagement'!$A153)</f>
        <v>0</v>
      </c>
      <c r="M153">
        <f>COUNTIFS(Visits!$V:$V,'New Dashboard'!$A$24,Visits!$E:$E,'User Engagement'!$A153)</f>
        <v>0</v>
      </c>
      <c r="N153">
        <f>COUNTIFS(Visits!$V:$V,'New Dashboard'!$A$25,Visits!$E:$E,'User Engagement'!$A153)</f>
        <v>0</v>
      </c>
      <c r="O153">
        <f t="shared" si="19"/>
        <v>1</v>
      </c>
      <c r="P153">
        <f t="shared" si="20"/>
        <v>0</v>
      </c>
      <c r="Q153">
        <f t="shared" si="20"/>
        <v>0</v>
      </c>
      <c r="R153">
        <f t="shared" si="16"/>
        <v>0</v>
      </c>
      <c r="S153" s="5">
        <f>SUMIF(Visits!$E$2:$E$89,'User Engagement'!$A153,Visits!$L$2:$L$89)</f>
        <v>0</v>
      </c>
      <c r="T153" s="5">
        <f>SUMIFS(Visits!$L$2:$L$89,Visits!$E$2:$E$89,'User Engagement'!$A153,Visits!$U$2:$U$89,"&gt;3/28/24")</f>
        <v>0</v>
      </c>
      <c r="U153" s="19" t="e">
        <f t="shared" si="17"/>
        <v>#DIV/0!</v>
      </c>
      <c r="V153" s="19" t="str">
        <f t="shared" si="18"/>
        <v>n/a</v>
      </c>
    </row>
    <row r="154" spans="1:22" ht="16" x14ac:dyDescent="0.2">
      <c r="A154">
        <f>Users!A152</f>
        <v>0</v>
      </c>
      <c r="B154" s="29" t="e">
        <f>VLOOKUP(A154,Users!A:D,2,FALSE)</f>
        <v>#N/A</v>
      </c>
      <c r="C154" s="29" t="e">
        <f>VLOOKUP(A154,Users!A:D,3,FALSE)</f>
        <v>#N/A</v>
      </c>
      <c r="F154" s="1" cm="1">
        <f t="array" ref="F154">MAX(_xlfn._xlws.FILTER(Visits!U:U,Visits!E:E='User Engagement'!A154))</f>
        <v>0</v>
      </c>
      <c r="G154">
        <f>COUNTIF(Visits!$E$2:$E$995,'User Engagement'!$A154)</f>
        <v>0</v>
      </c>
      <c r="H154">
        <f>COUNTIFS(Visits!$E$2:$E$995,'User Engagement'!$A155,Visits!$U$2:$U$995,"&gt;"&amp;($B$1-7))</f>
        <v>0</v>
      </c>
      <c r="I154">
        <f>COUNTIFS(Visits!$E$2:$E$995,'User Engagement'!$A154,Visits!$U$2:$U$995,"&gt;"&amp;($B$1-30))</f>
        <v>0</v>
      </c>
      <c r="J154">
        <f>COUNTIFS(Visits!$E$2:$E$995,$A154,Visits!$U$2:$U$995,"&gt;"&amp;($B$1-60))-I154</f>
        <v>0</v>
      </c>
      <c r="K154">
        <f>COUNTIFS(Visits!$V:$V,'New Dashboard'!$A$22,Visits!$E:$E,'User Engagement'!$A154)</f>
        <v>0</v>
      </c>
      <c r="L154">
        <f>COUNTIFS(Visits!$V:$V,'New Dashboard'!$A$23,Visits!$E:$E,'User Engagement'!$A154)</f>
        <v>0</v>
      </c>
      <c r="M154">
        <f>COUNTIFS(Visits!$V:$V,'New Dashboard'!$A$24,Visits!$E:$E,'User Engagement'!$A154)</f>
        <v>0</v>
      </c>
      <c r="N154">
        <f>COUNTIFS(Visits!$V:$V,'New Dashboard'!$A$25,Visits!$E:$E,'User Engagement'!$A154)</f>
        <v>0</v>
      </c>
      <c r="O154">
        <f t="shared" si="19"/>
        <v>1</v>
      </c>
      <c r="P154">
        <f t="shared" si="20"/>
        <v>0</v>
      </c>
      <c r="Q154">
        <f t="shared" si="20"/>
        <v>0</v>
      </c>
      <c r="R154">
        <f t="shared" si="16"/>
        <v>0</v>
      </c>
      <c r="S154" s="5">
        <f>SUMIF(Visits!$E$2:$E$89,'User Engagement'!$A154,Visits!$L$2:$L$89)</f>
        <v>0</v>
      </c>
      <c r="T154" s="5">
        <f>SUMIFS(Visits!$L$2:$L$89,Visits!$E$2:$E$89,'User Engagement'!$A154,Visits!$U$2:$U$89,"&gt;3/28/24")</f>
        <v>0</v>
      </c>
      <c r="U154" s="19" t="e">
        <f t="shared" si="17"/>
        <v>#DIV/0!</v>
      </c>
      <c r="V154" s="19" t="str">
        <f t="shared" si="18"/>
        <v>n/a</v>
      </c>
    </row>
    <row r="155" spans="1:22" ht="16" x14ac:dyDescent="0.2">
      <c r="A155">
        <f>Users!A153</f>
        <v>0</v>
      </c>
      <c r="B155" s="29" t="e">
        <f>VLOOKUP(A155,Users!A:D,2,FALSE)</f>
        <v>#N/A</v>
      </c>
      <c r="C155" s="29" t="e">
        <f>VLOOKUP(A155,Users!A:D,3,FALSE)</f>
        <v>#N/A</v>
      </c>
      <c r="F155" s="1" cm="1">
        <f t="array" ref="F155">MAX(_xlfn._xlws.FILTER(Visits!U:U,Visits!E:E='User Engagement'!A155))</f>
        <v>0</v>
      </c>
      <c r="G155">
        <f>COUNTIF(Visits!$E$2:$E$995,'User Engagement'!$A155)</f>
        <v>0</v>
      </c>
      <c r="H155">
        <f>COUNTIFS(Visits!$E$2:$E$995,'User Engagement'!$A156,Visits!$U$2:$U$995,"&gt;"&amp;($B$1-7))</f>
        <v>0</v>
      </c>
      <c r="I155">
        <f>COUNTIFS(Visits!$E$2:$E$995,'User Engagement'!$A155,Visits!$U$2:$U$995,"&gt;"&amp;($B$1-30))</f>
        <v>0</v>
      </c>
      <c r="J155">
        <f>COUNTIFS(Visits!$E$2:$E$995,$A155,Visits!$U$2:$U$995,"&gt;"&amp;($B$1-60))-I155</f>
        <v>0</v>
      </c>
      <c r="K155">
        <f>COUNTIFS(Visits!$V:$V,'New Dashboard'!$A$22,Visits!$E:$E,'User Engagement'!$A155)</f>
        <v>0</v>
      </c>
      <c r="L155">
        <f>COUNTIFS(Visits!$V:$V,'New Dashboard'!$A$23,Visits!$E:$E,'User Engagement'!$A155)</f>
        <v>0</v>
      </c>
      <c r="M155">
        <f>COUNTIFS(Visits!$V:$V,'New Dashboard'!$A$24,Visits!$E:$E,'User Engagement'!$A155)</f>
        <v>0</v>
      </c>
      <c r="N155">
        <f>COUNTIFS(Visits!$V:$V,'New Dashboard'!$A$25,Visits!$E:$E,'User Engagement'!$A155)</f>
        <v>0</v>
      </c>
      <c r="O155">
        <f t="shared" si="19"/>
        <v>1</v>
      </c>
      <c r="P155">
        <f t="shared" si="20"/>
        <v>0</v>
      </c>
      <c r="Q155">
        <f t="shared" si="20"/>
        <v>0</v>
      </c>
      <c r="R155">
        <f t="shared" si="16"/>
        <v>0</v>
      </c>
      <c r="S155" s="5">
        <f>SUMIF(Visits!$E$2:$E$89,'User Engagement'!$A155,Visits!$L$2:$L$89)</f>
        <v>0</v>
      </c>
      <c r="T155" s="5">
        <f>SUMIFS(Visits!$L$2:$L$89,Visits!$E$2:$E$89,'User Engagement'!$A155,Visits!$U$2:$U$89,"&gt;3/28/24")</f>
        <v>0</v>
      </c>
      <c r="U155" s="19" t="e">
        <f t="shared" si="17"/>
        <v>#DIV/0!</v>
      </c>
      <c r="V155" s="19" t="str">
        <f t="shared" si="18"/>
        <v>n/a</v>
      </c>
    </row>
    <row r="156" spans="1:22" ht="16" x14ac:dyDescent="0.2">
      <c r="A156">
        <f>Users!A154</f>
        <v>0</v>
      </c>
      <c r="B156" s="29" t="e">
        <f>VLOOKUP(A156,Users!A:D,2,FALSE)</f>
        <v>#N/A</v>
      </c>
      <c r="C156" s="29" t="e">
        <f>VLOOKUP(A156,Users!A:D,3,FALSE)</f>
        <v>#N/A</v>
      </c>
      <c r="F156" s="1" cm="1">
        <f t="array" ref="F156">MAX(_xlfn._xlws.FILTER(Visits!U:U,Visits!E:E='User Engagement'!A156))</f>
        <v>0</v>
      </c>
      <c r="G156">
        <f>COUNTIF(Visits!$E$2:$E$995,'User Engagement'!$A156)</f>
        <v>0</v>
      </c>
      <c r="H156">
        <f>COUNTIFS(Visits!$E$2:$E$995,'User Engagement'!$A157,Visits!$U$2:$U$995,"&gt;"&amp;($B$1-7))</f>
        <v>0</v>
      </c>
      <c r="I156">
        <f>COUNTIFS(Visits!$E$2:$E$995,'User Engagement'!$A156,Visits!$U$2:$U$995,"&gt;"&amp;($B$1-30))</f>
        <v>0</v>
      </c>
      <c r="J156">
        <f>COUNTIFS(Visits!$E$2:$E$995,$A156,Visits!$U$2:$U$995,"&gt;"&amp;($B$1-60))-I156</f>
        <v>0</v>
      </c>
      <c r="K156">
        <f>COUNTIFS(Visits!$V:$V,'New Dashboard'!$A$22,Visits!$E:$E,'User Engagement'!$A156)</f>
        <v>0</v>
      </c>
      <c r="L156">
        <f>COUNTIFS(Visits!$V:$V,'New Dashboard'!$A$23,Visits!$E:$E,'User Engagement'!$A156)</f>
        <v>0</v>
      </c>
      <c r="M156">
        <f>COUNTIFS(Visits!$V:$V,'New Dashboard'!$A$24,Visits!$E:$E,'User Engagement'!$A156)</f>
        <v>0</v>
      </c>
      <c r="N156">
        <f>COUNTIFS(Visits!$V:$V,'New Dashboard'!$A$25,Visits!$E:$E,'User Engagement'!$A156)</f>
        <v>0</v>
      </c>
      <c r="O156">
        <f t="shared" si="19"/>
        <v>1</v>
      </c>
      <c r="P156">
        <f t="shared" si="20"/>
        <v>0</v>
      </c>
      <c r="Q156">
        <f t="shared" si="20"/>
        <v>0</v>
      </c>
      <c r="R156">
        <f t="shared" si="16"/>
        <v>0</v>
      </c>
      <c r="S156" s="5">
        <f>SUMIF(Visits!$E$2:$E$89,'User Engagement'!$A156,Visits!$L$2:$L$89)</f>
        <v>0</v>
      </c>
      <c r="T156" s="5">
        <f>SUMIFS(Visits!$L$2:$L$89,Visits!$E$2:$E$89,'User Engagement'!$A156,Visits!$U$2:$U$89,"&gt;3/28/24")</f>
        <v>0</v>
      </c>
      <c r="U156" s="19" t="e">
        <f t="shared" si="17"/>
        <v>#DIV/0!</v>
      </c>
      <c r="V156" s="19" t="str">
        <f t="shared" si="18"/>
        <v>n/a</v>
      </c>
    </row>
    <row r="157" spans="1:22" ht="16" x14ac:dyDescent="0.2">
      <c r="A157">
        <f>Users!A155</f>
        <v>0</v>
      </c>
      <c r="B157" s="29" t="e">
        <f>VLOOKUP(A157,Users!A:D,2,FALSE)</f>
        <v>#N/A</v>
      </c>
      <c r="C157" s="29" t="e">
        <f>VLOOKUP(A157,Users!A:D,3,FALSE)</f>
        <v>#N/A</v>
      </c>
      <c r="F157" s="1" cm="1">
        <f t="array" ref="F157">MAX(_xlfn._xlws.FILTER(Visits!U:U,Visits!E:E='User Engagement'!A157))</f>
        <v>0</v>
      </c>
      <c r="G157">
        <f>COUNTIF(Visits!$E$2:$E$995,'User Engagement'!$A157)</f>
        <v>0</v>
      </c>
      <c r="H157">
        <f>COUNTIFS(Visits!$E$2:$E$995,'User Engagement'!$A158,Visits!$U$2:$U$995,"&gt;"&amp;($B$1-7))</f>
        <v>0</v>
      </c>
      <c r="I157">
        <f>COUNTIFS(Visits!$E$2:$E$995,'User Engagement'!$A157,Visits!$U$2:$U$995,"&gt;"&amp;($B$1-30))</f>
        <v>0</v>
      </c>
      <c r="J157">
        <f>COUNTIFS(Visits!$E$2:$E$995,$A157,Visits!$U$2:$U$995,"&gt;"&amp;($B$1-60))-I157</f>
        <v>0</v>
      </c>
      <c r="K157">
        <f>COUNTIFS(Visits!$V:$V,'New Dashboard'!$A$22,Visits!$E:$E,'User Engagement'!$A157)</f>
        <v>0</v>
      </c>
      <c r="L157">
        <f>COUNTIFS(Visits!$V:$V,'New Dashboard'!$A$23,Visits!$E:$E,'User Engagement'!$A157)</f>
        <v>0</v>
      </c>
      <c r="M157">
        <f>COUNTIFS(Visits!$V:$V,'New Dashboard'!$A$24,Visits!$E:$E,'User Engagement'!$A157)</f>
        <v>0</v>
      </c>
      <c r="N157">
        <f>COUNTIFS(Visits!$V:$V,'New Dashboard'!$A$25,Visits!$E:$E,'User Engagement'!$A157)</f>
        <v>0</v>
      </c>
      <c r="O157">
        <f t="shared" si="19"/>
        <v>1</v>
      </c>
      <c r="P157">
        <f t="shared" si="20"/>
        <v>0</v>
      </c>
      <c r="Q157">
        <f t="shared" si="20"/>
        <v>0</v>
      </c>
      <c r="R157">
        <f t="shared" si="16"/>
        <v>0</v>
      </c>
      <c r="S157" s="5">
        <f>SUMIF(Visits!$E$2:$E$89,'User Engagement'!$A157,Visits!$L$2:$L$89)</f>
        <v>0</v>
      </c>
      <c r="T157" s="5">
        <f>SUMIFS(Visits!$L$2:$L$89,Visits!$E$2:$E$89,'User Engagement'!$A157,Visits!$U$2:$U$89,"&gt;3/28/24")</f>
        <v>0</v>
      </c>
      <c r="U157" s="19" t="e">
        <f t="shared" si="17"/>
        <v>#DIV/0!</v>
      </c>
      <c r="V157" s="19" t="str">
        <f t="shared" si="18"/>
        <v>n/a</v>
      </c>
    </row>
    <row r="158" spans="1:22" ht="16" x14ac:dyDescent="0.2">
      <c r="A158">
        <f>Users!A156</f>
        <v>0</v>
      </c>
      <c r="B158" s="29" t="e">
        <f>VLOOKUP(A158,Users!A:D,2,FALSE)</f>
        <v>#N/A</v>
      </c>
      <c r="C158" s="29" t="e">
        <f>VLOOKUP(A158,Users!A:D,3,FALSE)</f>
        <v>#N/A</v>
      </c>
      <c r="F158" s="1" cm="1">
        <f t="array" ref="F158">MAX(_xlfn._xlws.FILTER(Visits!U:U,Visits!E:E='User Engagement'!A158))</f>
        <v>0</v>
      </c>
      <c r="G158">
        <f>COUNTIF(Visits!$E$2:$E$995,'User Engagement'!$A158)</f>
        <v>0</v>
      </c>
      <c r="H158">
        <f>COUNTIFS(Visits!$E$2:$E$995,'User Engagement'!$A159,Visits!$U$2:$U$995,"&gt;"&amp;($B$1-7))</f>
        <v>0</v>
      </c>
      <c r="I158">
        <f>COUNTIFS(Visits!$E$2:$E$995,'User Engagement'!$A158,Visits!$U$2:$U$995,"&gt;"&amp;($B$1-30))</f>
        <v>0</v>
      </c>
      <c r="J158">
        <f>COUNTIFS(Visits!$E$2:$E$995,$A158,Visits!$U$2:$U$995,"&gt;"&amp;($B$1-60))-I158</f>
        <v>0</v>
      </c>
      <c r="K158">
        <f>COUNTIFS(Visits!$V:$V,'New Dashboard'!$A$22,Visits!$E:$E,'User Engagement'!$A158)</f>
        <v>0</v>
      </c>
      <c r="L158">
        <f>COUNTIFS(Visits!$V:$V,'New Dashboard'!$A$23,Visits!$E:$E,'User Engagement'!$A158)</f>
        <v>0</v>
      </c>
      <c r="M158">
        <f>COUNTIFS(Visits!$V:$V,'New Dashboard'!$A$24,Visits!$E:$E,'User Engagement'!$A158)</f>
        <v>0</v>
      </c>
      <c r="N158">
        <f>COUNTIFS(Visits!$V:$V,'New Dashboard'!$A$25,Visits!$E:$E,'User Engagement'!$A158)</f>
        <v>0</v>
      </c>
      <c r="O158">
        <f t="shared" si="19"/>
        <v>1</v>
      </c>
      <c r="P158">
        <f t="shared" si="20"/>
        <v>0</v>
      </c>
      <c r="Q158">
        <f t="shared" si="20"/>
        <v>0</v>
      </c>
      <c r="R158">
        <f t="shared" si="16"/>
        <v>0</v>
      </c>
      <c r="S158" s="5">
        <f>SUMIF(Visits!$E$2:$E$89,'User Engagement'!$A158,Visits!$L$2:$L$89)</f>
        <v>0</v>
      </c>
      <c r="T158" s="5">
        <f>SUMIFS(Visits!$L$2:$L$89,Visits!$E$2:$E$89,'User Engagement'!$A158,Visits!$U$2:$U$89,"&gt;3/28/24")</f>
        <v>0</v>
      </c>
      <c r="U158" s="19" t="e">
        <f t="shared" si="17"/>
        <v>#DIV/0!</v>
      </c>
      <c r="V158" s="19" t="str">
        <f t="shared" si="18"/>
        <v>n/a</v>
      </c>
    </row>
    <row r="159" spans="1:22" ht="16" x14ac:dyDescent="0.2">
      <c r="A159">
        <f>Users!A157</f>
        <v>0</v>
      </c>
      <c r="B159" s="29" t="e">
        <f>VLOOKUP(A159,Users!A:D,2,FALSE)</f>
        <v>#N/A</v>
      </c>
      <c r="C159" s="29" t="e">
        <f>VLOOKUP(A159,Users!A:D,3,FALSE)</f>
        <v>#N/A</v>
      </c>
      <c r="F159" s="1" cm="1">
        <f t="array" ref="F159">MAX(_xlfn._xlws.FILTER(Visits!U:U,Visits!E:E='User Engagement'!A159))</f>
        <v>0</v>
      </c>
      <c r="G159">
        <f>COUNTIF(Visits!$E$2:$E$995,'User Engagement'!$A159)</f>
        <v>0</v>
      </c>
      <c r="H159">
        <f>COUNTIFS(Visits!$E$2:$E$995,'User Engagement'!$A160,Visits!$U$2:$U$995,"&gt;"&amp;($B$1-7))</f>
        <v>0</v>
      </c>
      <c r="I159">
        <f>COUNTIFS(Visits!$E$2:$E$995,'User Engagement'!$A159,Visits!$U$2:$U$995,"&gt;"&amp;($B$1-30))</f>
        <v>0</v>
      </c>
      <c r="J159">
        <f>COUNTIFS(Visits!$E$2:$E$995,$A159,Visits!$U$2:$U$995,"&gt;"&amp;($B$1-60))-I159</f>
        <v>0</v>
      </c>
      <c r="K159">
        <f>COUNTIFS(Visits!$V:$V,'New Dashboard'!$A$22,Visits!$E:$E,'User Engagement'!$A159)</f>
        <v>0</v>
      </c>
      <c r="L159">
        <f>COUNTIFS(Visits!$V:$V,'New Dashboard'!$A$23,Visits!$E:$E,'User Engagement'!$A159)</f>
        <v>0</v>
      </c>
      <c r="M159">
        <f>COUNTIFS(Visits!$V:$V,'New Dashboard'!$A$24,Visits!$E:$E,'User Engagement'!$A159)</f>
        <v>0</v>
      </c>
      <c r="N159">
        <f>COUNTIFS(Visits!$V:$V,'New Dashboard'!$A$25,Visits!$E:$E,'User Engagement'!$A159)</f>
        <v>0</v>
      </c>
      <c r="O159">
        <f t="shared" si="19"/>
        <v>1</v>
      </c>
      <c r="P159">
        <f t="shared" si="20"/>
        <v>0</v>
      </c>
      <c r="Q159">
        <f t="shared" si="20"/>
        <v>0</v>
      </c>
      <c r="R159">
        <f t="shared" si="16"/>
        <v>0</v>
      </c>
      <c r="S159" s="5">
        <f>SUMIF(Visits!$E$2:$E$89,'User Engagement'!$A159,Visits!$L$2:$L$89)</f>
        <v>0</v>
      </c>
      <c r="T159" s="5">
        <f>SUMIFS(Visits!$L$2:$L$89,Visits!$E$2:$E$89,'User Engagement'!$A159,Visits!$U$2:$U$89,"&gt;3/28/24")</f>
        <v>0</v>
      </c>
      <c r="U159" s="19" t="e">
        <f t="shared" si="17"/>
        <v>#DIV/0!</v>
      </c>
      <c r="V159" s="19" t="str">
        <f t="shared" si="18"/>
        <v>n/a</v>
      </c>
    </row>
    <row r="160" spans="1:22" ht="16" x14ac:dyDescent="0.2">
      <c r="A160">
        <f>Users!A158</f>
        <v>0</v>
      </c>
      <c r="B160" s="29" t="e">
        <f>VLOOKUP(A160,Users!A:D,2,FALSE)</f>
        <v>#N/A</v>
      </c>
      <c r="C160" s="29" t="e">
        <f>VLOOKUP(A160,Users!A:D,3,FALSE)</f>
        <v>#N/A</v>
      </c>
      <c r="F160" s="1" cm="1">
        <f t="array" ref="F160">MAX(_xlfn._xlws.FILTER(Visits!U:U,Visits!E:E='User Engagement'!A160))</f>
        <v>0</v>
      </c>
      <c r="G160">
        <f>COUNTIF(Visits!$E$2:$E$995,'User Engagement'!$A160)</f>
        <v>0</v>
      </c>
      <c r="H160">
        <f>COUNTIFS(Visits!$E$2:$E$995,'User Engagement'!$A161,Visits!$U$2:$U$995,"&gt;"&amp;($B$1-7))</f>
        <v>0</v>
      </c>
      <c r="I160">
        <f>COUNTIFS(Visits!$E$2:$E$995,'User Engagement'!$A160,Visits!$U$2:$U$995,"&gt;"&amp;($B$1-30))</f>
        <v>0</v>
      </c>
      <c r="J160">
        <f>COUNTIFS(Visits!$E$2:$E$995,$A160,Visits!$U$2:$U$995,"&gt;"&amp;($B$1-60))-I160</f>
        <v>0</v>
      </c>
      <c r="K160">
        <f>COUNTIFS(Visits!$V:$V,'New Dashboard'!$A$22,Visits!$E:$E,'User Engagement'!$A160)</f>
        <v>0</v>
      </c>
      <c r="L160">
        <f>COUNTIFS(Visits!$V:$V,'New Dashboard'!$A$23,Visits!$E:$E,'User Engagement'!$A160)</f>
        <v>0</v>
      </c>
      <c r="M160">
        <f>COUNTIFS(Visits!$V:$V,'New Dashboard'!$A$24,Visits!$E:$E,'User Engagement'!$A160)</f>
        <v>0</v>
      </c>
      <c r="N160">
        <f>COUNTIFS(Visits!$V:$V,'New Dashboard'!$A$25,Visits!$E:$E,'User Engagement'!$A160)</f>
        <v>0</v>
      </c>
      <c r="O160">
        <f t="shared" si="19"/>
        <v>1</v>
      </c>
      <c r="P160">
        <f t="shared" si="20"/>
        <v>0</v>
      </c>
      <c r="Q160">
        <f t="shared" si="20"/>
        <v>0</v>
      </c>
      <c r="R160">
        <f t="shared" si="16"/>
        <v>0</v>
      </c>
      <c r="S160" s="5">
        <f>SUMIF(Visits!$E$2:$E$89,'User Engagement'!$A160,Visits!$L$2:$L$89)</f>
        <v>0</v>
      </c>
      <c r="T160" s="5">
        <f>SUMIFS(Visits!$L$2:$L$89,Visits!$E$2:$E$89,'User Engagement'!$A160,Visits!$U$2:$U$89,"&gt;3/28/24")</f>
        <v>0</v>
      </c>
      <c r="U160" s="19" t="e">
        <f t="shared" si="17"/>
        <v>#DIV/0!</v>
      </c>
      <c r="V160" s="19" t="str">
        <f t="shared" si="18"/>
        <v>n/a</v>
      </c>
    </row>
    <row r="161" spans="1:22" ht="16" x14ac:dyDescent="0.2">
      <c r="A161">
        <f>Users!A159</f>
        <v>0</v>
      </c>
      <c r="B161" s="29" t="e">
        <f>VLOOKUP(A161,Users!A:D,2,FALSE)</f>
        <v>#N/A</v>
      </c>
      <c r="C161" s="29" t="e">
        <f>VLOOKUP(A161,Users!A:D,3,FALSE)</f>
        <v>#N/A</v>
      </c>
      <c r="F161" s="1" cm="1">
        <f t="array" ref="F161">MAX(_xlfn._xlws.FILTER(Visits!U:U,Visits!E:E='User Engagement'!A161))</f>
        <v>0</v>
      </c>
      <c r="G161">
        <f>COUNTIF(Visits!$E$2:$E$995,'User Engagement'!$A161)</f>
        <v>0</v>
      </c>
      <c r="H161">
        <f>COUNTIFS(Visits!$E$2:$E$995,'User Engagement'!$A162,Visits!$U$2:$U$995,"&gt;"&amp;($B$1-7))</f>
        <v>0</v>
      </c>
      <c r="I161">
        <f>COUNTIFS(Visits!$E$2:$E$995,'User Engagement'!$A161,Visits!$U$2:$U$995,"&gt;"&amp;($B$1-30))</f>
        <v>0</v>
      </c>
      <c r="J161">
        <f>COUNTIFS(Visits!$E$2:$E$995,$A161,Visits!$U$2:$U$995,"&gt;"&amp;($B$1-60))-I161</f>
        <v>0</v>
      </c>
      <c r="K161">
        <f>COUNTIFS(Visits!$V:$V,'New Dashboard'!$A$22,Visits!$E:$E,'User Engagement'!$A161)</f>
        <v>0</v>
      </c>
      <c r="L161">
        <f>COUNTIFS(Visits!$V:$V,'New Dashboard'!$A$23,Visits!$E:$E,'User Engagement'!$A161)</f>
        <v>0</v>
      </c>
      <c r="M161">
        <f>COUNTIFS(Visits!$V:$V,'New Dashboard'!$A$24,Visits!$E:$E,'User Engagement'!$A161)</f>
        <v>0</v>
      </c>
      <c r="N161">
        <f>COUNTIFS(Visits!$V:$V,'New Dashboard'!$A$25,Visits!$E:$E,'User Engagement'!$A161)</f>
        <v>0</v>
      </c>
      <c r="O161">
        <f t="shared" si="19"/>
        <v>1</v>
      </c>
      <c r="P161">
        <f t="shared" si="20"/>
        <v>0</v>
      </c>
      <c r="Q161">
        <f t="shared" si="20"/>
        <v>0</v>
      </c>
      <c r="R161">
        <f t="shared" si="16"/>
        <v>0</v>
      </c>
      <c r="S161" s="5">
        <f>SUMIF(Visits!$E$2:$E$89,'User Engagement'!$A161,Visits!$L$2:$L$89)</f>
        <v>0</v>
      </c>
      <c r="T161" s="5">
        <f>SUMIFS(Visits!$L$2:$L$89,Visits!$E$2:$E$89,'User Engagement'!$A161,Visits!$U$2:$U$89,"&gt;3/28/24")</f>
        <v>0</v>
      </c>
      <c r="U161" s="19" t="e">
        <f t="shared" si="17"/>
        <v>#DIV/0!</v>
      </c>
      <c r="V161" s="19" t="str">
        <f t="shared" si="18"/>
        <v>n/a</v>
      </c>
    </row>
    <row r="162" spans="1:22" ht="16" x14ac:dyDescent="0.2">
      <c r="A162">
        <f>Users!A160</f>
        <v>0</v>
      </c>
      <c r="B162" s="29" t="e">
        <f>VLOOKUP(A162,Users!A:D,2,FALSE)</f>
        <v>#N/A</v>
      </c>
      <c r="C162" s="29" t="e">
        <f>VLOOKUP(A162,Users!A:D,3,FALSE)</f>
        <v>#N/A</v>
      </c>
      <c r="F162" s="1" cm="1">
        <f t="array" ref="F162">MAX(_xlfn._xlws.FILTER(Visits!U:U,Visits!E:E='User Engagement'!A162))</f>
        <v>0</v>
      </c>
      <c r="G162">
        <f>COUNTIF(Visits!$E$2:$E$995,'User Engagement'!$A162)</f>
        <v>0</v>
      </c>
      <c r="H162">
        <f>COUNTIFS(Visits!$E$2:$E$995,'User Engagement'!$A163,Visits!$U$2:$U$995,"&gt;"&amp;($B$1-7))</f>
        <v>0</v>
      </c>
      <c r="I162">
        <f>COUNTIFS(Visits!$E$2:$E$995,'User Engagement'!$A162,Visits!$U$2:$U$995,"&gt;"&amp;($B$1-30))</f>
        <v>0</v>
      </c>
      <c r="J162">
        <f>COUNTIFS(Visits!$E$2:$E$995,$A162,Visits!$U$2:$U$995,"&gt;"&amp;($B$1-60))-I162</f>
        <v>0</v>
      </c>
      <c r="K162">
        <f>COUNTIFS(Visits!$V:$V,'New Dashboard'!$A$22,Visits!$E:$E,'User Engagement'!$A162)</f>
        <v>0</v>
      </c>
      <c r="L162">
        <f>COUNTIFS(Visits!$V:$V,'New Dashboard'!$A$23,Visits!$E:$E,'User Engagement'!$A162)</f>
        <v>0</v>
      </c>
      <c r="M162">
        <f>COUNTIFS(Visits!$V:$V,'New Dashboard'!$A$24,Visits!$E:$E,'User Engagement'!$A162)</f>
        <v>0</v>
      </c>
      <c r="N162">
        <f>COUNTIFS(Visits!$V:$V,'New Dashboard'!$A$25,Visits!$E:$E,'User Engagement'!$A162)</f>
        <v>0</v>
      </c>
      <c r="O162">
        <f t="shared" si="19"/>
        <v>1</v>
      </c>
      <c r="P162">
        <f t="shared" si="20"/>
        <v>0</v>
      </c>
      <c r="Q162">
        <f t="shared" si="20"/>
        <v>0</v>
      </c>
      <c r="R162">
        <f t="shared" si="16"/>
        <v>0</v>
      </c>
      <c r="S162" s="5">
        <f>SUMIF(Visits!$E$2:$E$89,'User Engagement'!$A162,Visits!$L$2:$L$89)</f>
        <v>0</v>
      </c>
      <c r="T162" s="5">
        <f>SUMIFS(Visits!$L$2:$L$89,Visits!$E$2:$E$89,'User Engagement'!$A162,Visits!$U$2:$U$89,"&gt;3/28/24")</f>
        <v>0</v>
      </c>
      <c r="U162" s="19" t="e">
        <f t="shared" si="17"/>
        <v>#DIV/0!</v>
      </c>
      <c r="V162" s="19" t="str">
        <f t="shared" si="18"/>
        <v>n/a</v>
      </c>
    </row>
    <row r="163" spans="1:22" ht="16" x14ac:dyDescent="0.2">
      <c r="A163">
        <f>Users!A161</f>
        <v>0</v>
      </c>
      <c r="B163" s="29" t="e">
        <f>VLOOKUP(A163,Users!A:D,2,FALSE)</f>
        <v>#N/A</v>
      </c>
      <c r="C163" s="29" t="e">
        <f>VLOOKUP(A163,Users!A:D,3,FALSE)</f>
        <v>#N/A</v>
      </c>
      <c r="F163" s="1" cm="1">
        <f t="array" ref="F163">MAX(_xlfn._xlws.FILTER(Visits!U:U,Visits!E:E='User Engagement'!A163))</f>
        <v>0</v>
      </c>
      <c r="G163">
        <f>COUNTIF(Visits!$E$2:$E$995,'User Engagement'!$A163)</f>
        <v>0</v>
      </c>
      <c r="H163">
        <f>COUNTIFS(Visits!$E$2:$E$995,'User Engagement'!$A164,Visits!$U$2:$U$995,"&gt;"&amp;($B$1-7))</f>
        <v>0</v>
      </c>
      <c r="I163">
        <f>COUNTIFS(Visits!$E$2:$E$995,'User Engagement'!$A163,Visits!$U$2:$U$995,"&gt;"&amp;($B$1-30))</f>
        <v>0</v>
      </c>
      <c r="J163">
        <f>COUNTIFS(Visits!$E$2:$E$995,$A163,Visits!$U$2:$U$995,"&gt;"&amp;($B$1-60))-I163</f>
        <v>0</v>
      </c>
      <c r="K163">
        <f>COUNTIFS(Visits!$V:$V,'New Dashboard'!$A$22,Visits!$E:$E,'User Engagement'!$A163)</f>
        <v>0</v>
      </c>
      <c r="L163">
        <f>COUNTIFS(Visits!$V:$V,'New Dashboard'!$A$23,Visits!$E:$E,'User Engagement'!$A163)</f>
        <v>0</v>
      </c>
      <c r="M163">
        <f>COUNTIFS(Visits!$V:$V,'New Dashboard'!$A$24,Visits!$E:$E,'User Engagement'!$A163)</f>
        <v>0</v>
      </c>
      <c r="N163">
        <f>COUNTIFS(Visits!$V:$V,'New Dashboard'!$A$25,Visits!$E:$E,'User Engagement'!$A163)</f>
        <v>0</v>
      </c>
      <c r="O163">
        <f t="shared" si="19"/>
        <v>1</v>
      </c>
      <c r="P163">
        <f t="shared" si="20"/>
        <v>0</v>
      </c>
      <c r="Q163">
        <f t="shared" si="20"/>
        <v>0</v>
      </c>
      <c r="R163">
        <f t="shared" si="16"/>
        <v>0</v>
      </c>
      <c r="S163" s="5">
        <f>SUMIF(Visits!$E$2:$E$89,'User Engagement'!$A163,Visits!$L$2:$L$89)</f>
        <v>0</v>
      </c>
      <c r="T163" s="5">
        <f>SUMIFS(Visits!$L$2:$L$89,Visits!$E$2:$E$89,'User Engagement'!$A163,Visits!$U$2:$U$89,"&gt;3/28/24")</f>
        <v>0</v>
      </c>
      <c r="U163" s="19" t="e">
        <f t="shared" si="17"/>
        <v>#DIV/0!</v>
      </c>
      <c r="V163" s="19" t="str">
        <f t="shared" si="18"/>
        <v>n/a</v>
      </c>
    </row>
    <row r="164" spans="1:22" ht="16" x14ac:dyDescent="0.2">
      <c r="A164">
        <f>Users!A162</f>
        <v>0</v>
      </c>
      <c r="B164" s="29" t="e">
        <f>VLOOKUP(A164,Users!A:D,2,FALSE)</f>
        <v>#N/A</v>
      </c>
      <c r="C164" s="29" t="e">
        <f>VLOOKUP(A164,Users!A:D,3,FALSE)</f>
        <v>#N/A</v>
      </c>
      <c r="F164" s="1" cm="1">
        <f t="array" ref="F164">MAX(_xlfn._xlws.FILTER(Visits!U:U,Visits!E:E='User Engagement'!A164))</f>
        <v>0</v>
      </c>
      <c r="G164">
        <f>COUNTIF(Visits!$E$2:$E$995,'User Engagement'!$A164)</f>
        <v>0</v>
      </c>
      <c r="H164">
        <f>COUNTIFS(Visits!$E$2:$E$995,'User Engagement'!$A165,Visits!$U$2:$U$995,"&gt;"&amp;($B$1-7))</f>
        <v>0</v>
      </c>
      <c r="I164">
        <f>COUNTIFS(Visits!$E$2:$E$995,'User Engagement'!$A164,Visits!$U$2:$U$995,"&gt;"&amp;($B$1-30))</f>
        <v>0</v>
      </c>
      <c r="J164">
        <f>COUNTIFS(Visits!$E$2:$E$995,$A164,Visits!$U$2:$U$995,"&gt;"&amp;($B$1-60))-I164</f>
        <v>0</v>
      </c>
      <c r="K164">
        <f>COUNTIFS(Visits!$V:$V,'New Dashboard'!$A$22,Visits!$E:$E,'User Engagement'!$A164)</f>
        <v>0</v>
      </c>
      <c r="L164">
        <f>COUNTIFS(Visits!$V:$V,'New Dashboard'!$A$23,Visits!$E:$E,'User Engagement'!$A164)</f>
        <v>0</v>
      </c>
      <c r="M164">
        <f>COUNTIFS(Visits!$V:$V,'New Dashboard'!$A$24,Visits!$E:$E,'User Engagement'!$A164)</f>
        <v>0</v>
      </c>
      <c r="N164">
        <f>COUNTIFS(Visits!$V:$V,'New Dashboard'!$A$25,Visits!$E:$E,'User Engagement'!$A164)</f>
        <v>0</v>
      </c>
      <c r="O164">
        <f t="shared" si="19"/>
        <v>1</v>
      </c>
      <c r="P164">
        <f t="shared" si="20"/>
        <v>0</v>
      </c>
      <c r="Q164">
        <f t="shared" si="20"/>
        <v>0</v>
      </c>
      <c r="R164">
        <f t="shared" si="16"/>
        <v>0</v>
      </c>
      <c r="S164" s="5">
        <f>SUMIF(Visits!$E$2:$E$89,'User Engagement'!$A164,Visits!$L$2:$L$89)</f>
        <v>0</v>
      </c>
      <c r="T164" s="5">
        <f>SUMIFS(Visits!$L$2:$L$89,Visits!$E$2:$E$89,'User Engagement'!$A164,Visits!$U$2:$U$89,"&gt;3/28/24")</f>
        <v>0</v>
      </c>
      <c r="U164" s="19" t="e">
        <f t="shared" si="17"/>
        <v>#DIV/0!</v>
      </c>
      <c r="V164" s="19" t="str">
        <f t="shared" si="18"/>
        <v>n/a</v>
      </c>
    </row>
    <row r="165" spans="1:22" ht="16" x14ac:dyDescent="0.2">
      <c r="A165">
        <f>Users!A163</f>
        <v>0</v>
      </c>
      <c r="B165" s="29" t="e">
        <f>VLOOKUP(A165,Users!A:D,2,FALSE)</f>
        <v>#N/A</v>
      </c>
      <c r="C165" s="29" t="e">
        <f>VLOOKUP(A165,Users!A:D,3,FALSE)</f>
        <v>#N/A</v>
      </c>
      <c r="F165" s="1" cm="1">
        <f t="array" ref="F165">MAX(_xlfn._xlws.FILTER(Visits!U:U,Visits!E:E='User Engagement'!A165))</f>
        <v>0</v>
      </c>
      <c r="G165">
        <f>COUNTIF(Visits!$E$2:$E$995,'User Engagement'!$A165)</f>
        <v>0</v>
      </c>
      <c r="H165">
        <f>COUNTIFS(Visits!$E$2:$E$995,'User Engagement'!$A166,Visits!$U$2:$U$995,"&gt;"&amp;($B$1-7))</f>
        <v>0</v>
      </c>
      <c r="I165">
        <f>COUNTIFS(Visits!$E$2:$E$995,'User Engagement'!$A165,Visits!$U$2:$U$995,"&gt;"&amp;($B$1-30))</f>
        <v>0</v>
      </c>
      <c r="J165">
        <f>COUNTIFS(Visits!$E$2:$E$995,$A165,Visits!$U$2:$U$995,"&gt;"&amp;($B$1-60))-I165</f>
        <v>0</v>
      </c>
      <c r="K165">
        <f>COUNTIFS(Visits!$V:$V,'New Dashboard'!$A$22,Visits!$E:$E,'User Engagement'!$A165)</f>
        <v>0</v>
      </c>
      <c r="L165">
        <f>COUNTIFS(Visits!$V:$V,'New Dashboard'!$A$23,Visits!$E:$E,'User Engagement'!$A165)</f>
        <v>0</v>
      </c>
      <c r="M165">
        <f>COUNTIFS(Visits!$V:$V,'New Dashboard'!$A$24,Visits!$E:$E,'User Engagement'!$A165)</f>
        <v>0</v>
      </c>
      <c r="N165">
        <f>COUNTIFS(Visits!$V:$V,'New Dashboard'!$A$25,Visits!$E:$E,'User Engagement'!$A165)</f>
        <v>0</v>
      </c>
      <c r="O165">
        <f t="shared" si="19"/>
        <v>1</v>
      </c>
      <c r="P165">
        <f t="shared" si="20"/>
        <v>0</v>
      </c>
      <c r="Q165">
        <f t="shared" si="20"/>
        <v>0</v>
      </c>
      <c r="R165">
        <f t="shared" si="16"/>
        <v>0</v>
      </c>
      <c r="S165" s="5">
        <f>SUMIF(Visits!$E$2:$E$89,'User Engagement'!$A165,Visits!$L$2:$L$89)</f>
        <v>0</v>
      </c>
      <c r="T165" s="5">
        <f>SUMIFS(Visits!$L$2:$L$89,Visits!$E$2:$E$89,'User Engagement'!$A165,Visits!$U$2:$U$89,"&gt;3/28/24")</f>
        <v>0</v>
      </c>
      <c r="U165" s="19" t="e">
        <f t="shared" si="17"/>
        <v>#DIV/0!</v>
      </c>
      <c r="V165" s="19" t="str">
        <f t="shared" si="18"/>
        <v>n/a</v>
      </c>
    </row>
    <row r="166" spans="1:22" ht="16" x14ac:dyDescent="0.2">
      <c r="A166">
        <f>Users!A164</f>
        <v>0</v>
      </c>
      <c r="B166" s="29" t="e">
        <f>VLOOKUP(A166,Users!A:D,2,FALSE)</f>
        <v>#N/A</v>
      </c>
      <c r="C166" s="29" t="e">
        <f>VLOOKUP(A166,Users!A:D,3,FALSE)</f>
        <v>#N/A</v>
      </c>
      <c r="F166" s="1" cm="1">
        <f t="array" ref="F166">MAX(_xlfn._xlws.FILTER(Visits!U:U,Visits!E:E='User Engagement'!A166))</f>
        <v>0</v>
      </c>
      <c r="G166">
        <f>COUNTIF(Visits!$E$2:$E$995,'User Engagement'!$A166)</f>
        <v>0</v>
      </c>
      <c r="H166">
        <f>COUNTIFS(Visits!$E$2:$E$995,'User Engagement'!$A167,Visits!$U$2:$U$995,"&gt;"&amp;($B$1-7))</f>
        <v>0</v>
      </c>
      <c r="I166">
        <f>COUNTIFS(Visits!$E$2:$E$995,'User Engagement'!$A166,Visits!$U$2:$U$995,"&gt;"&amp;($B$1-30))</f>
        <v>0</v>
      </c>
      <c r="J166">
        <f>COUNTIFS(Visits!$E$2:$E$995,$A166,Visits!$U$2:$U$995,"&gt;"&amp;($B$1-60))-I166</f>
        <v>0</v>
      </c>
      <c r="K166">
        <f>COUNTIFS(Visits!$V:$V,'New Dashboard'!$A$22,Visits!$E:$E,'User Engagement'!$A166)</f>
        <v>0</v>
      </c>
      <c r="L166">
        <f>COUNTIFS(Visits!$V:$V,'New Dashboard'!$A$23,Visits!$E:$E,'User Engagement'!$A166)</f>
        <v>0</v>
      </c>
      <c r="M166">
        <f>COUNTIFS(Visits!$V:$V,'New Dashboard'!$A$24,Visits!$E:$E,'User Engagement'!$A166)</f>
        <v>0</v>
      </c>
      <c r="N166">
        <f>COUNTIFS(Visits!$V:$V,'New Dashboard'!$A$25,Visits!$E:$E,'User Engagement'!$A166)</f>
        <v>0</v>
      </c>
      <c r="O166">
        <f t="shared" si="19"/>
        <v>1</v>
      </c>
      <c r="P166">
        <f t="shared" si="20"/>
        <v>0</v>
      </c>
      <c r="Q166">
        <f t="shared" si="20"/>
        <v>0</v>
      </c>
      <c r="R166">
        <f t="shared" si="16"/>
        <v>0</v>
      </c>
      <c r="S166" s="5">
        <f>SUMIF(Visits!$E$2:$E$89,'User Engagement'!$A166,Visits!$L$2:$L$89)</f>
        <v>0</v>
      </c>
      <c r="T166" s="5">
        <f>SUMIFS(Visits!$L$2:$L$89,Visits!$E$2:$E$89,'User Engagement'!$A166,Visits!$U$2:$U$89,"&gt;3/28/24")</f>
        <v>0</v>
      </c>
      <c r="U166" s="19" t="e">
        <f t="shared" si="17"/>
        <v>#DIV/0!</v>
      </c>
      <c r="V166" s="19" t="str">
        <f t="shared" si="18"/>
        <v>n/a</v>
      </c>
    </row>
    <row r="167" spans="1:22" ht="16" x14ac:dyDescent="0.2">
      <c r="A167">
        <f>Users!A165</f>
        <v>0</v>
      </c>
      <c r="B167" s="29" t="e">
        <f>VLOOKUP(A167,Users!A:D,2,FALSE)</f>
        <v>#N/A</v>
      </c>
      <c r="C167" s="29" t="e">
        <f>VLOOKUP(A167,Users!A:D,3,FALSE)</f>
        <v>#N/A</v>
      </c>
      <c r="F167" s="1" cm="1">
        <f t="array" ref="F167">MAX(_xlfn._xlws.FILTER(Visits!U:U,Visits!E:E='User Engagement'!A167))</f>
        <v>0</v>
      </c>
      <c r="G167">
        <f>COUNTIF(Visits!$E$2:$E$995,'User Engagement'!$A167)</f>
        <v>0</v>
      </c>
      <c r="H167">
        <f>COUNTIFS(Visits!$E$2:$E$995,'User Engagement'!$A168,Visits!$U$2:$U$995,"&gt;"&amp;($B$1-7))</f>
        <v>0</v>
      </c>
      <c r="I167">
        <f>COUNTIFS(Visits!$E$2:$E$995,'User Engagement'!$A167,Visits!$U$2:$U$995,"&gt;"&amp;($B$1-30))</f>
        <v>0</v>
      </c>
      <c r="J167">
        <f>COUNTIFS(Visits!$E$2:$E$995,$A167,Visits!$U$2:$U$995,"&gt;"&amp;($B$1-60))-I167</f>
        <v>0</v>
      </c>
      <c r="K167">
        <f>COUNTIFS(Visits!$V:$V,'New Dashboard'!$A$22,Visits!$E:$E,'User Engagement'!$A167)</f>
        <v>0</v>
      </c>
      <c r="L167">
        <f>COUNTIFS(Visits!$V:$V,'New Dashboard'!$A$23,Visits!$E:$E,'User Engagement'!$A167)</f>
        <v>0</v>
      </c>
      <c r="M167">
        <f>COUNTIFS(Visits!$V:$V,'New Dashboard'!$A$24,Visits!$E:$E,'User Engagement'!$A167)</f>
        <v>0</v>
      </c>
      <c r="N167">
        <f>COUNTIFS(Visits!$V:$V,'New Dashboard'!$A$25,Visits!$E:$E,'User Engagement'!$A167)</f>
        <v>0</v>
      </c>
      <c r="O167">
        <f t="shared" si="19"/>
        <v>1</v>
      </c>
      <c r="P167">
        <f t="shared" si="20"/>
        <v>0</v>
      </c>
      <c r="Q167">
        <f t="shared" si="20"/>
        <v>0</v>
      </c>
      <c r="R167">
        <f t="shared" si="16"/>
        <v>0</v>
      </c>
      <c r="S167" s="5">
        <f>SUMIF(Visits!$E$2:$E$89,'User Engagement'!$A167,Visits!$L$2:$L$89)</f>
        <v>0</v>
      </c>
      <c r="T167" s="5">
        <f>SUMIFS(Visits!$L$2:$L$89,Visits!$E$2:$E$89,'User Engagement'!$A167,Visits!$U$2:$U$89,"&gt;3/28/24")</f>
        <v>0</v>
      </c>
      <c r="U167" s="19" t="e">
        <f t="shared" si="17"/>
        <v>#DIV/0!</v>
      </c>
      <c r="V167" s="19" t="str">
        <f t="shared" si="18"/>
        <v>n/a</v>
      </c>
    </row>
    <row r="168" spans="1:22" ht="16" x14ac:dyDescent="0.2">
      <c r="A168">
        <f>Users!A166</f>
        <v>0</v>
      </c>
      <c r="B168" s="29" t="e">
        <f>VLOOKUP(A168,Users!A:D,2,FALSE)</f>
        <v>#N/A</v>
      </c>
      <c r="C168" s="29" t="e">
        <f>VLOOKUP(A168,Users!A:D,3,FALSE)</f>
        <v>#N/A</v>
      </c>
      <c r="F168" s="1" cm="1">
        <f t="array" ref="F168">MAX(_xlfn._xlws.FILTER(Visits!U:U,Visits!E:E='User Engagement'!A168))</f>
        <v>0</v>
      </c>
      <c r="G168">
        <f>COUNTIF(Visits!$E$2:$E$995,'User Engagement'!$A168)</f>
        <v>0</v>
      </c>
      <c r="H168">
        <f>COUNTIFS(Visits!$E$2:$E$995,'User Engagement'!$A169,Visits!$U$2:$U$995,"&gt;"&amp;($B$1-7))</f>
        <v>0</v>
      </c>
      <c r="I168">
        <f>COUNTIFS(Visits!$E$2:$E$995,'User Engagement'!$A168,Visits!$U$2:$U$995,"&gt;"&amp;($B$1-30))</f>
        <v>0</v>
      </c>
      <c r="J168">
        <f>COUNTIFS(Visits!$E$2:$E$995,$A168,Visits!$U$2:$U$995,"&gt;"&amp;($B$1-60))-I168</f>
        <v>0</v>
      </c>
      <c r="K168">
        <f>COUNTIFS(Visits!$V:$V,'New Dashboard'!$A$22,Visits!$E:$E,'User Engagement'!$A168)</f>
        <v>0</v>
      </c>
      <c r="L168">
        <f>COUNTIFS(Visits!$V:$V,'New Dashboard'!$A$23,Visits!$E:$E,'User Engagement'!$A168)</f>
        <v>0</v>
      </c>
      <c r="M168">
        <f>COUNTIFS(Visits!$V:$V,'New Dashboard'!$A$24,Visits!$E:$E,'User Engagement'!$A168)</f>
        <v>0</v>
      </c>
      <c r="N168">
        <f>COUNTIFS(Visits!$V:$V,'New Dashboard'!$A$25,Visits!$E:$E,'User Engagement'!$A168)</f>
        <v>0</v>
      </c>
      <c r="O168">
        <f t="shared" si="19"/>
        <v>1</v>
      </c>
      <c r="P168">
        <f t="shared" si="20"/>
        <v>0</v>
      </c>
      <c r="Q168">
        <f t="shared" si="20"/>
        <v>0</v>
      </c>
      <c r="R168">
        <f t="shared" si="16"/>
        <v>0</v>
      </c>
      <c r="S168" s="5">
        <f>SUMIF(Visits!$E$2:$E$89,'User Engagement'!$A168,Visits!$L$2:$L$89)</f>
        <v>0</v>
      </c>
      <c r="T168" s="5">
        <f>SUMIFS(Visits!$L$2:$L$89,Visits!$E$2:$E$89,'User Engagement'!$A168,Visits!$U$2:$U$89,"&gt;3/28/24")</f>
        <v>0</v>
      </c>
      <c r="U168" s="19" t="e">
        <f t="shared" si="17"/>
        <v>#DIV/0!</v>
      </c>
      <c r="V168" s="19" t="str">
        <f t="shared" si="18"/>
        <v>n/a</v>
      </c>
    </row>
    <row r="169" spans="1:22" ht="16" x14ac:dyDescent="0.2">
      <c r="A169">
        <f>Users!A167</f>
        <v>0</v>
      </c>
      <c r="B169" s="29" t="e">
        <f>VLOOKUP(A169,Users!A:D,2,FALSE)</f>
        <v>#N/A</v>
      </c>
      <c r="C169" s="29" t="e">
        <f>VLOOKUP(A169,Users!A:D,3,FALSE)</f>
        <v>#N/A</v>
      </c>
      <c r="F169" s="1" cm="1">
        <f t="array" ref="F169">MAX(_xlfn._xlws.FILTER(Visits!U:U,Visits!E:E='User Engagement'!A169))</f>
        <v>0</v>
      </c>
      <c r="G169">
        <f>COUNTIF(Visits!$E$2:$E$995,'User Engagement'!$A169)</f>
        <v>0</v>
      </c>
      <c r="H169">
        <f>COUNTIFS(Visits!$E$2:$E$995,'User Engagement'!$A170,Visits!$U$2:$U$995,"&gt;"&amp;($B$1-7))</f>
        <v>0</v>
      </c>
      <c r="I169">
        <f>COUNTIFS(Visits!$E$2:$E$995,'User Engagement'!$A169,Visits!$U$2:$U$995,"&gt;"&amp;($B$1-30))</f>
        <v>0</v>
      </c>
      <c r="J169">
        <f>COUNTIFS(Visits!$E$2:$E$995,$A169,Visits!$U$2:$U$995,"&gt;"&amp;($B$1-60))-I169</f>
        <v>0</v>
      </c>
      <c r="K169">
        <f>COUNTIFS(Visits!$V:$V,'New Dashboard'!$A$22,Visits!$E:$E,'User Engagement'!$A169)</f>
        <v>0</v>
      </c>
      <c r="L169">
        <f>COUNTIFS(Visits!$V:$V,'New Dashboard'!$A$23,Visits!$E:$E,'User Engagement'!$A169)</f>
        <v>0</v>
      </c>
      <c r="M169">
        <f>COUNTIFS(Visits!$V:$V,'New Dashboard'!$A$24,Visits!$E:$E,'User Engagement'!$A169)</f>
        <v>0</v>
      </c>
      <c r="N169">
        <f>COUNTIFS(Visits!$V:$V,'New Dashboard'!$A$25,Visits!$E:$E,'User Engagement'!$A169)</f>
        <v>0</v>
      </c>
      <c r="O169">
        <f t="shared" si="19"/>
        <v>1</v>
      </c>
      <c r="P169">
        <f t="shared" si="20"/>
        <v>0</v>
      </c>
      <c r="Q169">
        <f t="shared" si="20"/>
        <v>0</v>
      </c>
      <c r="R169">
        <f t="shared" si="16"/>
        <v>0</v>
      </c>
      <c r="S169" s="5">
        <f>SUMIF(Visits!$E$2:$E$89,'User Engagement'!$A169,Visits!$L$2:$L$89)</f>
        <v>0</v>
      </c>
      <c r="T169" s="5">
        <f>SUMIFS(Visits!$L$2:$L$89,Visits!$E$2:$E$89,'User Engagement'!$A169,Visits!$U$2:$U$89,"&gt;3/28/24")</f>
        <v>0</v>
      </c>
      <c r="U169" s="19" t="e">
        <f t="shared" si="17"/>
        <v>#DIV/0!</v>
      </c>
      <c r="V169" s="19" t="str">
        <f t="shared" si="18"/>
        <v>n/a</v>
      </c>
    </row>
    <row r="170" spans="1:22" ht="16" x14ac:dyDescent="0.2">
      <c r="A170">
        <f>Users!A168</f>
        <v>0</v>
      </c>
      <c r="B170" s="29" t="e">
        <f>VLOOKUP(A170,Users!A:D,2,FALSE)</f>
        <v>#N/A</v>
      </c>
      <c r="C170" s="29" t="e">
        <f>VLOOKUP(A170,Users!A:D,3,FALSE)</f>
        <v>#N/A</v>
      </c>
      <c r="F170" s="1" cm="1">
        <f t="array" ref="F170">MAX(_xlfn._xlws.FILTER(Visits!U:U,Visits!E:E='User Engagement'!A170))</f>
        <v>0</v>
      </c>
      <c r="G170">
        <f>COUNTIF(Visits!$E$2:$E$995,'User Engagement'!$A170)</f>
        <v>0</v>
      </c>
      <c r="H170">
        <f>COUNTIFS(Visits!$E$2:$E$995,'User Engagement'!$A171,Visits!$U$2:$U$995,"&gt;"&amp;($B$1-7))</f>
        <v>0</v>
      </c>
      <c r="I170">
        <f>COUNTIFS(Visits!$E$2:$E$995,'User Engagement'!$A170,Visits!$U$2:$U$995,"&gt;"&amp;($B$1-30))</f>
        <v>0</v>
      </c>
      <c r="J170">
        <f>COUNTIFS(Visits!$E$2:$E$995,$A170,Visits!$U$2:$U$995,"&gt;"&amp;($B$1-60))-I170</f>
        <v>0</v>
      </c>
      <c r="K170">
        <f>COUNTIFS(Visits!$V:$V,'New Dashboard'!$A$22,Visits!$E:$E,'User Engagement'!$A170)</f>
        <v>0</v>
      </c>
      <c r="L170">
        <f>COUNTIFS(Visits!$V:$V,'New Dashboard'!$A$23,Visits!$E:$E,'User Engagement'!$A170)</f>
        <v>0</v>
      </c>
      <c r="M170">
        <f>COUNTIFS(Visits!$V:$V,'New Dashboard'!$A$24,Visits!$E:$E,'User Engagement'!$A170)</f>
        <v>0</v>
      </c>
      <c r="N170">
        <f>COUNTIFS(Visits!$V:$V,'New Dashboard'!$A$25,Visits!$E:$E,'User Engagement'!$A170)</f>
        <v>0</v>
      </c>
      <c r="O170">
        <f t="shared" si="19"/>
        <v>1</v>
      </c>
      <c r="P170">
        <f t="shared" si="20"/>
        <v>0</v>
      </c>
      <c r="Q170">
        <f t="shared" si="20"/>
        <v>0</v>
      </c>
      <c r="R170">
        <f t="shared" si="16"/>
        <v>0</v>
      </c>
      <c r="S170" s="5">
        <f>SUMIF(Visits!$E$2:$E$89,'User Engagement'!$A170,Visits!$L$2:$L$89)</f>
        <v>0</v>
      </c>
      <c r="T170" s="5">
        <f>SUMIFS(Visits!$L$2:$L$89,Visits!$E$2:$E$89,'User Engagement'!$A170,Visits!$U$2:$U$89,"&gt;3/28/24")</f>
        <v>0</v>
      </c>
      <c r="U170" s="19" t="e">
        <f t="shared" si="17"/>
        <v>#DIV/0!</v>
      </c>
      <c r="V170" s="19" t="str">
        <f t="shared" si="18"/>
        <v>n/a</v>
      </c>
    </row>
    <row r="171" spans="1:22" ht="16" x14ac:dyDescent="0.2">
      <c r="A171">
        <f>Users!A169</f>
        <v>0</v>
      </c>
      <c r="B171" s="29" t="e">
        <f>VLOOKUP(A171,Users!A:D,2,FALSE)</f>
        <v>#N/A</v>
      </c>
      <c r="C171" s="29" t="e">
        <f>VLOOKUP(A171,Users!A:D,3,FALSE)</f>
        <v>#N/A</v>
      </c>
      <c r="F171" s="1" cm="1">
        <f t="array" ref="F171">MAX(_xlfn._xlws.FILTER(Visits!U:U,Visits!E:E='User Engagement'!A171))</f>
        <v>0</v>
      </c>
      <c r="G171">
        <f>COUNTIF(Visits!$E$2:$E$995,'User Engagement'!$A171)</f>
        <v>0</v>
      </c>
      <c r="H171">
        <f>COUNTIFS(Visits!$E$2:$E$995,'User Engagement'!$A172,Visits!$U$2:$U$995,"&gt;"&amp;($B$1-7))</f>
        <v>0</v>
      </c>
      <c r="I171">
        <f>COUNTIFS(Visits!$E$2:$E$995,'User Engagement'!$A171,Visits!$U$2:$U$995,"&gt;"&amp;($B$1-30))</f>
        <v>0</v>
      </c>
      <c r="J171">
        <f>COUNTIFS(Visits!$E$2:$E$995,$A171,Visits!$U$2:$U$995,"&gt;"&amp;($B$1-60))-I171</f>
        <v>0</v>
      </c>
      <c r="K171">
        <f>COUNTIFS(Visits!$V:$V,'New Dashboard'!$A$22,Visits!$E:$E,'User Engagement'!$A171)</f>
        <v>0</v>
      </c>
      <c r="L171">
        <f>COUNTIFS(Visits!$V:$V,'New Dashboard'!$A$23,Visits!$E:$E,'User Engagement'!$A171)</f>
        <v>0</v>
      </c>
      <c r="M171">
        <f>COUNTIFS(Visits!$V:$V,'New Dashboard'!$A$24,Visits!$E:$E,'User Engagement'!$A171)</f>
        <v>0</v>
      </c>
      <c r="N171">
        <f>COUNTIFS(Visits!$V:$V,'New Dashboard'!$A$25,Visits!$E:$E,'User Engagement'!$A171)</f>
        <v>0</v>
      </c>
      <c r="O171">
        <f t="shared" si="19"/>
        <v>1</v>
      </c>
      <c r="P171">
        <f t="shared" si="20"/>
        <v>0</v>
      </c>
      <c r="Q171">
        <f t="shared" si="20"/>
        <v>0</v>
      </c>
      <c r="R171">
        <f t="shared" si="16"/>
        <v>0</v>
      </c>
      <c r="S171" s="5">
        <f>SUMIF(Visits!$E$2:$E$89,'User Engagement'!$A171,Visits!$L$2:$L$89)</f>
        <v>0</v>
      </c>
      <c r="T171" s="5">
        <f>SUMIFS(Visits!$L$2:$L$89,Visits!$E$2:$E$89,'User Engagement'!$A171,Visits!$U$2:$U$89,"&gt;3/28/24")</f>
        <v>0</v>
      </c>
      <c r="U171" s="19" t="e">
        <f t="shared" si="17"/>
        <v>#DIV/0!</v>
      </c>
      <c r="V171" s="19" t="str">
        <f t="shared" si="18"/>
        <v>n/a</v>
      </c>
    </row>
    <row r="172" spans="1:22" ht="16" x14ac:dyDescent="0.2">
      <c r="A172">
        <f>Users!A170</f>
        <v>0</v>
      </c>
      <c r="B172" s="29" t="e">
        <f>VLOOKUP(A172,Users!A:D,2,FALSE)</f>
        <v>#N/A</v>
      </c>
      <c r="C172" s="29" t="e">
        <f>VLOOKUP(A172,Users!A:D,3,FALSE)</f>
        <v>#N/A</v>
      </c>
      <c r="F172" s="1" cm="1">
        <f t="array" ref="F172">MAX(_xlfn._xlws.FILTER(Visits!U:U,Visits!E:E='User Engagement'!A172))</f>
        <v>0</v>
      </c>
      <c r="G172">
        <f>COUNTIF(Visits!$E$2:$E$995,'User Engagement'!$A172)</f>
        <v>0</v>
      </c>
      <c r="H172">
        <f>COUNTIFS(Visits!$E$2:$E$995,'User Engagement'!$A173,Visits!$U$2:$U$995,"&gt;"&amp;($B$1-7))</f>
        <v>0</v>
      </c>
      <c r="I172">
        <f>COUNTIFS(Visits!$E$2:$E$995,'User Engagement'!$A172,Visits!$U$2:$U$995,"&gt;"&amp;($B$1-30))</f>
        <v>0</v>
      </c>
      <c r="J172">
        <f>COUNTIFS(Visits!$E$2:$E$995,$A172,Visits!$U$2:$U$995,"&gt;"&amp;($B$1-60))-I172</f>
        <v>0</v>
      </c>
      <c r="K172">
        <f>COUNTIFS(Visits!$V:$V,'New Dashboard'!$A$22,Visits!$E:$E,'User Engagement'!$A172)</f>
        <v>0</v>
      </c>
      <c r="L172">
        <f>COUNTIFS(Visits!$V:$V,'New Dashboard'!$A$23,Visits!$E:$E,'User Engagement'!$A172)</f>
        <v>0</v>
      </c>
      <c r="M172">
        <f>COUNTIFS(Visits!$V:$V,'New Dashboard'!$A$24,Visits!$E:$E,'User Engagement'!$A172)</f>
        <v>0</v>
      </c>
      <c r="N172">
        <f>COUNTIFS(Visits!$V:$V,'New Dashboard'!$A$25,Visits!$E:$E,'User Engagement'!$A172)</f>
        <v>0</v>
      </c>
      <c r="O172">
        <f t="shared" si="19"/>
        <v>1</v>
      </c>
      <c r="P172">
        <f t="shared" si="20"/>
        <v>0</v>
      </c>
      <c r="Q172">
        <f t="shared" si="20"/>
        <v>0</v>
      </c>
      <c r="R172">
        <f t="shared" si="16"/>
        <v>0</v>
      </c>
      <c r="S172" s="5">
        <f>SUMIF(Visits!$E$2:$E$89,'User Engagement'!$A172,Visits!$L$2:$L$89)</f>
        <v>0</v>
      </c>
      <c r="T172" s="5">
        <f>SUMIFS(Visits!$L$2:$L$89,Visits!$E$2:$E$89,'User Engagement'!$A172,Visits!$U$2:$U$89,"&gt;3/28/24")</f>
        <v>0</v>
      </c>
      <c r="U172" s="19" t="e">
        <f t="shared" si="17"/>
        <v>#DIV/0!</v>
      </c>
      <c r="V172" s="19" t="str">
        <f t="shared" si="18"/>
        <v>n/a</v>
      </c>
    </row>
    <row r="173" spans="1:22" ht="16" x14ac:dyDescent="0.2">
      <c r="A173">
        <f>Users!A171</f>
        <v>0</v>
      </c>
      <c r="B173" s="29" t="e">
        <f>VLOOKUP(A173,Users!A:D,2,FALSE)</f>
        <v>#N/A</v>
      </c>
      <c r="C173" s="29" t="e">
        <f>VLOOKUP(A173,Users!A:D,3,FALSE)</f>
        <v>#N/A</v>
      </c>
      <c r="F173" s="1" cm="1">
        <f t="array" ref="F173">MAX(_xlfn._xlws.FILTER(Visits!U:U,Visits!E:E='User Engagement'!A173))</f>
        <v>0</v>
      </c>
      <c r="G173">
        <f>COUNTIF(Visits!$E$2:$E$995,'User Engagement'!$A173)</f>
        <v>0</v>
      </c>
      <c r="H173">
        <f>COUNTIFS(Visits!$E$2:$E$995,'User Engagement'!$A174,Visits!$U$2:$U$995,"&gt;"&amp;($B$1-7))</f>
        <v>0</v>
      </c>
      <c r="I173">
        <f>COUNTIFS(Visits!$E$2:$E$995,'User Engagement'!$A173,Visits!$U$2:$U$995,"&gt;"&amp;($B$1-30))</f>
        <v>0</v>
      </c>
      <c r="J173">
        <f>COUNTIFS(Visits!$E$2:$E$995,$A173,Visits!$U$2:$U$995,"&gt;"&amp;($B$1-60))-I173</f>
        <v>0</v>
      </c>
      <c r="K173">
        <f>COUNTIFS(Visits!$V:$V,'New Dashboard'!$A$22,Visits!$E:$E,'User Engagement'!$A173)</f>
        <v>0</v>
      </c>
      <c r="L173">
        <f>COUNTIFS(Visits!$V:$V,'New Dashboard'!$A$23,Visits!$E:$E,'User Engagement'!$A173)</f>
        <v>0</v>
      </c>
      <c r="M173">
        <f>COUNTIFS(Visits!$V:$V,'New Dashboard'!$A$24,Visits!$E:$E,'User Engagement'!$A173)</f>
        <v>0</v>
      </c>
      <c r="N173">
        <f>COUNTIFS(Visits!$V:$V,'New Dashboard'!$A$25,Visits!$E:$E,'User Engagement'!$A173)</f>
        <v>0</v>
      </c>
      <c r="O173">
        <f t="shared" si="19"/>
        <v>1</v>
      </c>
      <c r="P173">
        <f t="shared" si="20"/>
        <v>0</v>
      </c>
      <c r="Q173">
        <f t="shared" si="20"/>
        <v>0</v>
      </c>
      <c r="R173">
        <f t="shared" si="16"/>
        <v>0</v>
      </c>
      <c r="S173" s="5">
        <f>SUMIF(Visits!$E$2:$E$89,'User Engagement'!$A173,Visits!$L$2:$L$89)</f>
        <v>0</v>
      </c>
      <c r="T173" s="5">
        <f>SUMIFS(Visits!$L$2:$L$89,Visits!$E$2:$E$89,'User Engagement'!$A173,Visits!$U$2:$U$89,"&gt;3/28/24")</f>
        <v>0</v>
      </c>
      <c r="U173" s="19" t="e">
        <f t="shared" si="17"/>
        <v>#DIV/0!</v>
      </c>
      <c r="V173" s="19" t="str">
        <f t="shared" si="18"/>
        <v>n/a</v>
      </c>
    </row>
    <row r="174" spans="1:22" ht="16" x14ac:dyDescent="0.2">
      <c r="A174">
        <f>Users!A172</f>
        <v>0</v>
      </c>
      <c r="B174" s="29" t="e">
        <f>VLOOKUP(A174,Users!A:D,2,FALSE)</f>
        <v>#N/A</v>
      </c>
      <c r="C174" s="29" t="e">
        <f>VLOOKUP(A174,Users!A:D,3,FALSE)</f>
        <v>#N/A</v>
      </c>
      <c r="F174" s="1" cm="1">
        <f t="array" ref="F174">MAX(_xlfn._xlws.FILTER(Visits!U:U,Visits!E:E='User Engagement'!A174))</f>
        <v>0</v>
      </c>
      <c r="G174">
        <f>COUNTIF(Visits!$E$2:$E$995,'User Engagement'!$A174)</f>
        <v>0</v>
      </c>
      <c r="H174">
        <f>COUNTIFS(Visits!$E$2:$E$995,'User Engagement'!$A175,Visits!$U$2:$U$995,"&gt;"&amp;($B$1-7))</f>
        <v>0</v>
      </c>
      <c r="I174">
        <f>COUNTIFS(Visits!$E$2:$E$995,'User Engagement'!$A174,Visits!$U$2:$U$995,"&gt;"&amp;($B$1-30))</f>
        <v>0</v>
      </c>
      <c r="J174">
        <f>COUNTIFS(Visits!$E$2:$E$995,$A174,Visits!$U$2:$U$995,"&gt;"&amp;($B$1-60))-I174</f>
        <v>0</v>
      </c>
      <c r="K174">
        <f>COUNTIFS(Visits!$V:$V,'New Dashboard'!$A$22,Visits!$E:$E,'User Engagement'!$A174)</f>
        <v>0</v>
      </c>
      <c r="L174">
        <f>COUNTIFS(Visits!$V:$V,'New Dashboard'!$A$23,Visits!$E:$E,'User Engagement'!$A174)</f>
        <v>0</v>
      </c>
      <c r="M174">
        <f>COUNTIFS(Visits!$V:$V,'New Dashboard'!$A$24,Visits!$E:$E,'User Engagement'!$A174)</f>
        <v>0</v>
      </c>
      <c r="N174">
        <f>COUNTIFS(Visits!$V:$V,'New Dashboard'!$A$25,Visits!$E:$E,'User Engagement'!$A174)</f>
        <v>0</v>
      </c>
      <c r="O174">
        <f t="shared" si="19"/>
        <v>1</v>
      </c>
      <c r="P174">
        <f t="shared" si="20"/>
        <v>0</v>
      </c>
      <c r="Q174">
        <f t="shared" si="20"/>
        <v>0</v>
      </c>
      <c r="R174">
        <f t="shared" si="16"/>
        <v>0</v>
      </c>
      <c r="S174" s="5">
        <f>SUMIF(Visits!$E$2:$E$89,'User Engagement'!$A174,Visits!$L$2:$L$89)</f>
        <v>0</v>
      </c>
      <c r="T174" s="5">
        <f>SUMIFS(Visits!$L$2:$L$89,Visits!$E$2:$E$89,'User Engagement'!$A174,Visits!$U$2:$U$89,"&gt;3/28/24")</f>
        <v>0</v>
      </c>
      <c r="U174" s="19" t="e">
        <f t="shared" si="17"/>
        <v>#DIV/0!</v>
      </c>
      <c r="V174" s="19" t="str">
        <f t="shared" si="18"/>
        <v>n/a</v>
      </c>
    </row>
    <row r="175" spans="1:22" ht="16" x14ac:dyDescent="0.2">
      <c r="A175">
        <f>Users!A173</f>
        <v>0</v>
      </c>
      <c r="B175" s="29" t="e">
        <f>VLOOKUP(A175,Users!A:D,2,FALSE)</f>
        <v>#N/A</v>
      </c>
      <c r="C175" s="29" t="e">
        <f>VLOOKUP(A175,Users!A:D,3,FALSE)</f>
        <v>#N/A</v>
      </c>
      <c r="F175" s="1" cm="1">
        <f t="array" ref="F175">MAX(_xlfn._xlws.FILTER(Visits!U:U,Visits!E:E='User Engagement'!A175))</f>
        <v>0</v>
      </c>
      <c r="G175">
        <f>COUNTIF(Visits!$E$2:$E$995,'User Engagement'!$A175)</f>
        <v>0</v>
      </c>
      <c r="H175">
        <f>COUNTIFS(Visits!$E$2:$E$995,'User Engagement'!$A176,Visits!$U$2:$U$995,"&gt;"&amp;($B$1-7))</f>
        <v>0</v>
      </c>
      <c r="I175">
        <f>COUNTIFS(Visits!$E$2:$E$995,'User Engagement'!$A175,Visits!$U$2:$U$995,"&gt;"&amp;($B$1-30))</f>
        <v>0</v>
      </c>
      <c r="J175">
        <f>COUNTIFS(Visits!$E$2:$E$995,$A175,Visits!$U$2:$U$995,"&gt;"&amp;($B$1-60))-I175</f>
        <v>0</v>
      </c>
      <c r="K175">
        <f>COUNTIFS(Visits!$V:$V,'New Dashboard'!$A$22,Visits!$E:$E,'User Engagement'!$A175)</f>
        <v>0</v>
      </c>
      <c r="L175">
        <f>COUNTIFS(Visits!$V:$V,'New Dashboard'!$A$23,Visits!$E:$E,'User Engagement'!$A175)</f>
        <v>0</v>
      </c>
      <c r="M175">
        <f>COUNTIFS(Visits!$V:$V,'New Dashboard'!$A$24,Visits!$E:$E,'User Engagement'!$A175)</f>
        <v>0</v>
      </c>
      <c r="N175">
        <f>COUNTIFS(Visits!$V:$V,'New Dashboard'!$A$25,Visits!$E:$E,'User Engagement'!$A175)</f>
        <v>0</v>
      </c>
      <c r="O175">
        <f t="shared" si="19"/>
        <v>1</v>
      </c>
      <c r="P175">
        <f t="shared" si="20"/>
        <v>0</v>
      </c>
      <c r="Q175">
        <f t="shared" si="20"/>
        <v>0</v>
      </c>
      <c r="R175">
        <f t="shared" si="16"/>
        <v>0</v>
      </c>
      <c r="S175" s="5">
        <f>SUMIF(Visits!$E$2:$E$89,'User Engagement'!$A175,Visits!$L$2:$L$89)</f>
        <v>0</v>
      </c>
      <c r="T175" s="5">
        <f>SUMIFS(Visits!$L$2:$L$89,Visits!$E$2:$E$89,'User Engagement'!$A175,Visits!$U$2:$U$89,"&gt;3/28/24")</f>
        <v>0</v>
      </c>
      <c r="U175" s="19" t="e">
        <f t="shared" si="17"/>
        <v>#DIV/0!</v>
      </c>
      <c r="V175" s="19" t="str">
        <f t="shared" si="18"/>
        <v>n/a</v>
      </c>
    </row>
    <row r="176" spans="1:22" ht="16" x14ac:dyDescent="0.2">
      <c r="A176">
        <f>Users!A174</f>
        <v>0</v>
      </c>
      <c r="B176" s="29" t="e">
        <f>VLOOKUP(A176,Users!A:D,2,FALSE)</f>
        <v>#N/A</v>
      </c>
      <c r="C176" s="29" t="e">
        <f>VLOOKUP(A176,Users!A:D,3,FALSE)</f>
        <v>#N/A</v>
      </c>
      <c r="F176" s="1" cm="1">
        <f t="array" ref="F176">MAX(_xlfn._xlws.FILTER(Visits!U:U,Visits!E:E='User Engagement'!A176))</f>
        <v>0</v>
      </c>
      <c r="G176">
        <f>COUNTIF(Visits!$E$2:$E$995,'User Engagement'!$A176)</f>
        <v>0</v>
      </c>
      <c r="H176">
        <f>COUNTIFS(Visits!$E$2:$E$995,'User Engagement'!$A177,Visits!$U$2:$U$995,"&gt;"&amp;($B$1-7))</f>
        <v>0</v>
      </c>
      <c r="I176">
        <f>COUNTIFS(Visits!$E$2:$E$995,'User Engagement'!$A176,Visits!$U$2:$U$995,"&gt;"&amp;($B$1-30))</f>
        <v>0</v>
      </c>
      <c r="J176">
        <f>COUNTIFS(Visits!$E$2:$E$995,$A176,Visits!$U$2:$U$995,"&gt;"&amp;($B$1-60))-I176</f>
        <v>0</v>
      </c>
      <c r="K176">
        <f>COUNTIFS(Visits!$V:$V,'New Dashboard'!$A$22,Visits!$E:$E,'User Engagement'!$A176)</f>
        <v>0</v>
      </c>
      <c r="L176">
        <f>COUNTIFS(Visits!$V:$V,'New Dashboard'!$A$23,Visits!$E:$E,'User Engagement'!$A176)</f>
        <v>0</v>
      </c>
      <c r="M176">
        <f>COUNTIFS(Visits!$V:$V,'New Dashboard'!$A$24,Visits!$E:$E,'User Engagement'!$A176)</f>
        <v>0</v>
      </c>
      <c r="N176">
        <f>COUNTIFS(Visits!$V:$V,'New Dashboard'!$A$25,Visits!$E:$E,'User Engagement'!$A176)</f>
        <v>0</v>
      </c>
      <c r="O176">
        <f t="shared" si="19"/>
        <v>1</v>
      </c>
      <c r="P176">
        <f t="shared" si="20"/>
        <v>0</v>
      </c>
      <c r="Q176">
        <f t="shared" si="20"/>
        <v>0</v>
      </c>
      <c r="R176">
        <f t="shared" si="16"/>
        <v>0</v>
      </c>
      <c r="S176" s="5">
        <f>SUMIF(Visits!$E$2:$E$89,'User Engagement'!$A176,Visits!$L$2:$L$89)</f>
        <v>0</v>
      </c>
      <c r="T176" s="5">
        <f>SUMIFS(Visits!$L$2:$L$89,Visits!$E$2:$E$89,'User Engagement'!$A176,Visits!$U$2:$U$89,"&gt;3/28/24")</f>
        <v>0</v>
      </c>
      <c r="U176" s="19" t="e">
        <f t="shared" si="17"/>
        <v>#DIV/0!</v>
      </c>
      <c r="V176" s="19" t="str">
        <f t="shared" si="18"/>
        <v>n/a</v>
      </c>
    </row>
    <row r="177" spans="1:22" ht="16" x14ac:dyDescent="0.2">
      <c r="A177">
        <f>Users!A175</f>
        <v>0</v>
      </c>
      <c r="B177" s="29" t="e">
        <f>VLOOKUP(A177,Users!A:D,2,FALSE)</f>
        <v>#N/A</v>
      </c>
      <c r="C177" s="29" t="e">
        <f>VLOOKUP(A177,Users!A:D,3,FALSE)</f>
        <v>#N/A</v>
      </c>
      <c r="F177" s="1" cm="1">
        <f t="array" ref="F177">MAX(_xlfn._xlws.FILTER(Visits!U:U,Visits!E:E='User Engagement'!A177))</f>
        <v>0</v>
      </c>
      <c r="G177">
        <f>COUNTIF(Visits!$E$2:$E$995,'User Engagement'!$A177)</f>
        <v>0</v>
      </c>
      <c r="H177">
        <f>COUNTIFS(Visits!$E$2:$E$995,'User Engagement'!$A178,Visits!$U$2:$U$995,"&gt;"&amp;($B$1-7))</f>
        <v>0</v>
      </c>
      <c r="I177">
        <f>COUNTIFS(Visits!$E$2:$E$995,'User Engagement'!$A177,Visits!$U$2:$U$995,"&gt;"&amp;($B$1-30))</f>
        <v>0</v>
      </c>
      <c r="J177">
        <f>COUNTIFS(Visits!$E$2:$E$995,$A177,Visits!$U$2:$U$995,"&gt;"&amp;($B$1-60))-I177</f>
        <v>0</v>
      </c>
      <c r="K177">
        <f>COUNTIFS(Visits!$V:$V,'New Dashboard'!$A$22,Visits!$E:$E,'User Engagement'!$A177)</f>
        <v>0</v>
      </c>
      <c r="L177">
        <f>COUNTIFS(Visits!$V:$V,'New Dashboard'!$A$23,Visits!$E:$E,'User Engagement'!$A177)</f>
        <v>0</v>
      </c>
      <c r="M177">
        <f>COUNTIFS(Visits!$V:$V,'New Dashboard'!$A$24,Visits!$E:$E,'User Engagement'!$A177)</f>
        <v>0</v>
      </c>
      <c r="N177">
        <f>COUNTIFS(Visits!$V:$V,'New Dashboard'!$A$25,Visits!$E:$E,'User Engagement'!$A177)</f>
        <v>0</v>
      </c>
      <c r="O177">
        <f t="shared" si="19"/>
        <v>1</v>
      </c>
      <c r="P177">
        <f t="shared" si="20"/>
        <v>0</v>
      </c>
      <c r="Q177">
        <f t="shared" si="20"/>
        <v>0</v>
      </c>
      <c r="R177">
        <f t="shared" si="16"/>
        <v>0</v>
      </c>
      <c r="S177" s="5">
        <f>SUMIF(Visits!$E$2:$E$89,'User Engagement'!$A177,Visits!$L$2:$L$89)</f>
        <v>0</v>
      </c>
      <c r="T177" s="5">
        <f>SUMIFS(Visits!$L$2:$L$89,Visits!$E$2:$E$89,'User Engagement'!$A177,Visits!$U$2:$U$89,"&gt;3/28/24")</f>
        <v>0</v>
      </c>
      <c r="U177" s="19" t="e">
        <f t="shared" si="17"/>
        <v>#DIV/0!</v>
      </c>
      <c r="V177" s="19" t="str">
        <f t="shared" si="18"/>
        <v>n/a</v>
      </c>
    </row>
    <row r="178" spans="1:22" ht="16" x14ac:dyDescent="0.2">
      <c r="A178">
        <f>Users!A176</f>
        <v>0</v>
      </c>
      <c r="B178" s="29" t="e">
        <f>VLOOKUP(A178,Users!A:D,2,FALSE)</f>
        <v>#N/A</v>
      </c>
      <c r="C178" s="29" t="e">
        <f>VLOOKUP(A178,Users!A:D,3,FALSE)</f>
        <v>#N/A</v>
      </c>
      <c r="F178" s="1" cm="1">
        <f t="array" ref="F178">MAX(_xlfn._xlws.FILTER(Visits!U:U,Visits!E:E='User Engagement'!A178))</f>
        <v>0</v>
      </c>
      <c r="G178">
        <f>COUNTIF(Visits!$E$2:$E$995,'User Engagement'!$A178)</f>
        <v>0</v>
      </c>
      <c r="H178">
        <f>COUNTIFS(Visits!$E$2:$E$995,'User Engagement'!$A179,Visits!$U$2:$U$995,"&gt;"&amp;($B$1-7))</f>
        <v>0</v>
      </c>
      <c r="I178">
        <f>COUNTIFS(Visits!$E$2:$E$995,'User Engagement'!$A178,Visits!$U$2:$U$995,"&gt;"&amp;($B$1-30))</f>
        <v>0</v>
      </c>
      <c r="J178">
        <f>COUNTIFS(Visits!$E$2:$E$995,$A178,Visits!$U$2:$U$995,"&gt;"&amp;($B$1-60))-I178</f>
        <v>0</v>
      </c>
      <c r="K178">
        <f>COUNTIFS(Visits!$V:$V,'New Dashboard'!$A$22,Visits!$E:$E,'User Engagement'!$A178)</f>
        <v>0</v>
      </c>
      <c r="L178">
        <f>COUNTIFS(Visits!$V:$V,'New Dashboard'!$A$23,Visits!$E:$E,'User Engagement'!$A178)</f>
        <v>0</v>
      </c>
      <c r="M178">
        <f>COUNTIFS(Visits!$V:$V,'New Dashboard'!$A$24,Visits!$E:$E,'User Engagement'!$A178)</f>
        <v>0</v>
      </c>
      <c r="N178">
        <f>COUNTIFS(Visits!$V:$V,'New Dashboard'!$A$25,Visits!$E:$E,'User Engagement'!$A178)</f>
        <v>0</v>
      </c>
      <c r="O178">
        <f t="shared" si="19"/>
        <v>1</v>
      </c>
      <c r="P178">
        <f t="shared" si="20"/>
        <v>0</v>
      </c>
      <c r="Q178">
        <f t="shared" si="20"/>
        <v>0</v>
      </c>
      <c r="R178">
        <f t="shared" si="16"/>
        <v>0</v>
      </c>
      <c r="S178" s="5">
        <f>SUMIF(Visits!$E$2:$E$89,'User Engagement'!$A178,Visits!$L$2:$L$89)</f>
        <v>0</v>
      </c>
      <c r="T178" s="5">
        <f>SUMIFS(Visits!$L$2:$L$89,Visits!$E$2:$E$89,'User Engagement'!$A178,Visits!$U$2:$U$89,"&gt;3/28/24")</f>
        <v>0</v>
      </c>
      <c r="U178" s="19" t="e">
        <f t="shared" si="17"/>
        <v>#DIV/0!</v>
      </c>
      <c r="V178" s="19" t="str">
        <f t="shared" si="18"/>
        <v>n/a</v>
      </c>
    </row>
    <row r="179" spans="1:22" ht="16" x14ac:dyDescent="0.2">
      <c r="A179">
        <f>Users!A177</f>
        <v>0</v>
      </c>
      <c r="B179" s="29" t="e">
        <f>VLOOKUP(A179,Users!A:D,2,FALSE)</f>
        <v>#N/A</v>
      </c>
      <c r="C179" s="29" t="e">
        <f>VLOOKUP(A179,Users!A:D,3,FALSE)</f>
        <v>#N/A</v>
      </c>
      <c r="F179" s="1" cm="1">
        <f t="array" ref="F179">MAX(_xlfn._xlws.FILTER(Visits!U:U,Visits!E:E='User Engagement'!A179))</f>
        <v>0</v>
      </c>
      <c r="G179">
        <f>COUNTIF(Visits!$E$2:$E$995,'User Engagement'!$A179)</f>
        <v>0</v>
      </c>
      <c r="H179">
        <f>COUNTIFS(Visits!$E$2:$E$995,'User Engagement'!$A180,Visits!$U$2:$U$995,"&gt;"&amp;($B$1-7))</f>
        <v>0</v>
      </c>
      <c r="I179">
        <f>COUNTIFS(Visits!$E$2:$E$995,'User Engagement'!$A179,Visits!$U$2:$U$995,"&gt;"&amp;($B$1-30))</f>
        <v>0</v>
      </c>
      <c r="J179">
        <f>COUNTIFS(Visits!$E$2:$E$995,$A179,Visits!$U$2:$U$995,"&gt;"&amp;($B$1-60))-I179</f>
        <v>0</v>
      </c>
      <c r="K179">
        <f>COUNTIFS(Visits!$V:$V,'New Dashboard'!$A$22,Visits!$E:$E,'User Engagement'!$A179)</f>
        <v>0</v>
      </c>
      <c r="L179">
        <f>COUNTIFS(Visits!$V:$V,'New Dashboard'!$A$23,Visits!$E:$E,'User Engagement'!$A179)</f>
        <v>0</v>
      </c>
      <c r="M179">
        <f>COUNTIFS(Visits!$V:$V,'New Dashboard'!$A$24,Visits!$E:$E,'User Engagement'!$A179)</f>
        <v>0</v>
      </c>
      <c r="N179">
        <f>COUNTIFS(Visits!$V:$V,'New Dashboard'!$A$25,Visits!$E:$E,'User Engagement'!$A179)</f>
        <v>0</v>
      </c>
      <c r="O179">
        <f t="shared" si="19"/>
        <v>1</v>
      </c>
      <c r="P179">
        <f t="shared" si="20"/>
        <v>0</v>
      </c>
      <c r="Q179">
        <f t="shared" si="20"/>
        <v>0</v>
      </c>
      <c r="R179">
        <f t="shared" si="16"/>
        <v>0</v>
      </c>
      <c r="S179" s="5">
        <f>SUMIF(Visits!$E$2:$E$89,'User Engagement'!$A179,Visits!$L$2:$L$89)</f>
        <v>0</v>
      </c>
      <c r="T179" s="5">
        <f>SUMIFS(Visits!$L$2:$L$89,Visits!$E$2:$E$89,'User Engagement'!$A179,Visits!$U$2:$U$89,"&gt;3/28/24")</f>
        <v>0</v>
      </c>
      <c r="U179" s="19" t="e">
        <f t="shared" si="17"/>
        <v>#DIV/0!</v>
      </c>
      <c r="V179" s="19" t="str">
        <f t="shared" si="18"/>
        <v>n/a</v>
      </c>
    </row>
    <row r="180" spans="1:22" ht="16" x14ac:dyDescent="0.2">
      <c r="A180">
        <f>Users!A178</f>
        <v>0</v>
      </c>
      <c r="B180" s="29" t="e">
        <f>VLOOKUP(A180,Users!A:D,2,FALSE)</f>
        <v>#N/A</v>
      </c>
      <c r="C180" s="29" t="e">
        <f>VLOOKUP(A180,Users!A:D,3,FALSE)</f>
        <v>#N/A</v>
      </c>
      <c r="F180" s="1" cm="1">
        <f t="array" ref="F180">MAX(_xlfn._xlws.FILTER(Visits!U:U,Visits!E:E='User Engagement'!A180))</f>
        <v>0</v>
      </c>
      <c r="G180">
        <f>COUNTIF(Visits!$E$2:$E$995,'User Engagement'!$A180)</f>
        <v>0</v>
      </c>
      <c r="H180">
        <f>COUNTIFS(Visits!$E$2:$E$995,'User Engagement'!$A181,Visits!$U$2:$U$995,"&gt;"&amp;($B$1-7))</f>
        <v>0</v>
      </c>
      <c r="I180">
        <f>COUNTIFS(Visits!$E$2:$E$995,'User Engagement'!$A180,Visits!$U$2:$U$995,"&gt;"&amp;($B$1-30))</f>
        <v>0</v>
      </c>
      <c r="J180">
        <f>COUNTIFS(Visits!$E$2:$E$995,$A180,Visits!$U$2:$U$995,"&gt;"&amp;($B$1-60))-I180</f>
        <v>0</v>
      </c>
      <c r="K180">
        <f>COUNTIFS(Visits!$V:$V,'New Dashboard'!$A$22,Visits!$E:$E,'User Engagement'!$A180)</f>
        <v>0</v>
      </c>
      <c r="L180">
        <f>COUNTIFS(Visits!$V:$V,'New Dashboard'!$A$23,Visits!$E:$E,'User Engagement'!$A180)</f>
        <v>0</v>
      </c>
      <c r="M180">
        <f>COUNTIFS(Visits!$V:$V,'New Dashboard'!$A$24,Visits!$E:$E,'User Engagement'!$A180)</f>
        <v>0</v>
      </c>
      <c r="N180">
        <f>COUNTIFS(Visits!$V:$V,'New Dashboard'!$A$25,Visits!$E:$E,'User Engagement'!$A180)</f>
        <v>0</v>
      </c>
      <c r="O180">
        <f t="shared" si="19"/>
        <v>1</v>
      </c>
      <c r="P180">
        <f t="shared" si="20"/>
        <v>0</v>
      </c>
      <c r="Q180">
        <f t="shared" si="20"/>
        <v>0</v>
      </c>
      <c r="R180">
        <f t="shared" si="16"/>
        <v>0</v>
      </c>
      <c r="S180" s="5">
        <f>SUMIF(Visits!$E$2:$E$89,'User Engagement'!$A180,Visits!$L$2:$L$89)</f>
        <v>0</v>
      </c>
      <c r="T180" s="5">
        <f>SUMIFS(Visits!$L$2:$L$89,Visits!$E$2:$E$89,'User Engagement'!$A180,Visits!$U$2:$U$89,"&gt;3/28/24")</f>
        <v>0</v>
      </c>
      <c r="U180" s="19" t="e">
        <f t="shared" si="17"/>
        <v>#DIV/0!</v>
      </c>
      <c r="V180" s="19" t="str">
        <f t="shared" si="18"/>
        <v>n/a</v>
      </c>
    </row>
    <row r="181" spans="1:22" ht="16" x14ac:dyDescent="0.2">
      <c r="A181">
        <f>Users!A179</f>
        <v>0</v>
      </c>
      <c r="B181" s="29" t="e">
        <f>VLOOKUP(A181,Users!A:D,2,FALSE)</f>
        <v>#N/A</v>
      </c>
      <c r="C181" s="29" t="e">
        <f>VLOOKUP(A181,Users!A:D,3,FALSE)</f>
        <v>#N/A</v>
      </c>
      <c r="F181" s="1" cm="1">
        <f t="array" ref="F181">MAX(_xlfn._xlws.FILTER(Visits!U:U,Visits!E:E='User Engagement'!A181))</f>
        <v>0</v>
      </c>
      <c r="G181">
        <f>COUNTIF(Visits!$E$2:$E$995,'User Engagement'!$A181)</f>
        <v>0</v>
      </c>
      <c r="H181">
        <f>COUNTIFS(Visits!$E$2:$E$995,'User Engagement'!$A182,Visits!$U$2:$U$995,"&gt;"&amp;($B$1-7))</f>
        <v>0</v>
      </c>
      <c r="I181">
        <f>COUNTIFS(Visits!$E$2:$E$995,'User Engagement'!$A181,Visits!$U$2:$U$995,"&gt;"&amp;($B$1-30))</f>
        <v>0</v>
      </c>
      <c r="J181">
        <f>COUNTIFS(Visits!$E$2:$E$995,$A181,Visits!$U$2:$U$995,"&gt;"&amp;($B$1-60))-I181</f>
        <v>0</v>
      </c>
      <c r="K181">
        <f>COUNTIFS(Visits!$V:$V,'New Dashboard'!$A$22,Visits!$E:$E,'User Engagement'!$A181)</f>
        <v>0</v>
      </c>
      <c r="L181">
        <f>COUNTIFS(Visits!$V:$V,'New Dashboard'!$A$23,Visits!$E:$E,'User Engagement'!$A181)</f>
        <v>0</v>
      </c>
      <c r="M181">
        <f>COUNTIFS(Visits!$V:$V,'New Dashboard'!$A$24,Visits!$E:$E,'User Engagement'!$A181)</f>
        <v>0</v>
      </c>
      <c r="N181">
        <f>COUNTIFS(Visits!$V:$V,'New Dashboard'!$A$25,Visits!$E:$E,'User Engagement'!$A181)</f>
        <v>0</v>
      </c>
      <c r="O181">
        <f t="shared" si="19"/>
        <v>1</v>
      </c>
      <c r="P181">
        <f t="shared" si="20"/>
        <v>0</v>
      </c>
      <c r="Q181">
        <f t="shared" si="20"/>
        <v>0</v>
      </c>
      <c r="R181">
        <f t="shared" si="16"/>
        <v>0</v>
      </c>
      <c r="S181" s="5">
        <f>SUMIF(Visits!$E$2:$E$89,'User Engagement'!$A181,Visits!$L$2:$L$89)</f>
        <v>0</v>
      </c>
      <c r="T181" s="5">
        <f>SUMIFS(Visits!$L$2:$L$89,Visits!$E$2:$E$89,'User Engagement'!$A181,Visits!$U$2:$U$89,"&gt;3/28/24")</f>
        <v>0</v>
      </c>
      <c r="U181" s="19" t="e">
        <f t="shared" si="17"/>
        <v>#DIV/0!</v>
      </c>
      <c r="V181" s="19" t="str">
        <f t="shared" si="18"/>
        <v>n/a</v>
      </c>
    </row>
    <row r="182" spans="1:22" ht="16" x14ac:dyDescent="0.2">
      <c r="A182">
        <f>Users!A180</f>
        <v>0</v>
      </c>
      <c r="B182" s="29" t="e">
        <f>VLOOKUP(A182,Users!A:D,2,FALSE)</f>
        <v>#N/A</v>
      </c>
      <c r="C182" s="29" t="e">
        <f>VLOOKUP(A182,Users!A:D,3,FALSE)</f>
        <v>#N/A</v>
      </c>
      <c r="F182" s="1" cm="1">
        <f t="array" ref="F182">MAX(_xlfn._xlws.FILTER(Visits!U:U,Visits!E:E='User Engagement'!A182))</f>
        <v>0</v>
      </c>
      <c r="G182">
        <f>COUNTIF(Visits!$E$2:$E$995,'User Engagement'!$A182)</f>
        <v>0</v>
      </c>
      <c r="H182">
        <f>COUNTIFS(Visits!$E$2:$E$995,'User Engagement'!$A183,Visits!$U$2:$U$995,"&gt;"&amp;($B$1-7))</f>
        <v>0</v>
      </c>
      <c r="I182">
        <f>COUNTIFS(Visits!$E$2:$E$995,'User Engagement'!$A182,Visits!$U$2:$U$995,"&gt;"&amp;($B$1-30))</f>
        <v>0</v>
      </c>
      <c r="J182">
        <f>COUNTIFS(Visits!$E$2:$E$995,$A182,Visits!$U$2:$U$995,"&gt;"&amp;($B$1-60))-I182</f>
        <v>0</v>
      </c>
      <c r="K182">
        <f>COUNTIFS(Visits!$V:$V,'New Dashboard'!$A$22,Visits!$E:$E,'User Engagement'!$A182)</f>
        <v>0</v>
      </c>
      <c r="L182">
        <f>COUNTIFS(Visits!$V:$V,'New Dashboard'!$A$23,Visits!$E:$E,'User Engagement'!$A182)</f>
        <v>0</v>
      </c>
      <c r="M182">
        <f>COUNTIFS(Visits!$V:$V,'New Dashboard'!$A$24,Visits!$E:$E,'User Engagement'!$A182)</f>
        <v>0</v>
      </c>
      <c r="N182">
        <f>COUNTIFS(Visits!$V:$V,'New Dashboard'!$A$25,Visits!$E:$E,'User Engagement'!$A182)</f>
        <v>0</v>
      </c>
      <c r="O182">
        <f t="shared" si="19"/>
        <v>1</v>
      </c>
      <c r="P182">
        <f t="shared" si="20"/>
        <v>0</v>
      </c>
      <c r="Q182">
        <f t="shared" si="20"/>
        <v>0</v>
      </c>
      <c r="R182">
        <f t="shared" si="16"/>
        <v>0</v>
      </c>
      <c r="S182" s="5">
        <f>SUMIF(Visits!$E$2:$E$89,'User Engagement'!$A182,Visits!$L$2:$L$89)</f>
        <v>0</v>
      </c>
      <c r="T182" s="5">
        <f>SUMIFS(Visits!$L$2:$L$89,Visits!$E$2:$E$89,'User Engagement'!$A182,Visits!$U$2:$U$89,"&gt;3/28/24")</f>
        <v>0</v>
      </c>
      <c r="U182" s="19" t="e">
        <f t="shared" si="17"/>
        <v>#DIV/0!</v>
      </c>
      <c r="V182" s="19" t="str">
        <f t="shared" si="18"/>
        <v>n/a</v>
      </c>
    </row>
    <row r="183" spans="1:22" ht="16" x14ac:dyDescent="0.2">
      <c r="A183">
        <f>Users!A181</f>
        <v>0</v>
      </c>
      <c r="B183" s="29" t="e">
        <f>VLOOKUP(A183,Users!A:D,2,FALSE)</f>
        <v>#N/A</v>
      </c>
      <c r="C183" s="29" t="e">
        <f>VLOOKUP(A183,Users!A:D,3,FALSE)</f>
        <v>#N/A</v>
      </c>
      <c r="F183" s="1" cm="1">
        <f t="array" ref="F183">MAX(_xlfn._xlws.FILTER(Visits!U:U,Visits!E:E='User Engagement'!A183))</f>
        <v>0</v>
      </c>
      <c r="G183">
        <f>COUNTIF(Visits!$E$2:$E$995,'User Engagement'!$A183)</f>
        <v>0</v>
      </c>
      <c r="H183">
        <f>COUNTIFS(Visits!$E$2:$E$995,'User Engagement'!$A184,Visits!$U$2:$U$995,"&gt;"&amp;($B$1-7))</f>
        <v>0</v>
      </c>
      <c r="I183">
        <f>COUNTIFS(Visits!$E$2:$E$995,'User Engagement'!$A183,Visits!$U$2:$U$995,"&gt;"&amp;($B$1-30))</f>
        <v>0</v>
      </c>
      <c r="J183">
        <f>COUNTIFS(Visits!$E$2:$E$995,$A183,Visits!$U$2:$U$995,"&gt;"&amp;($B$1-60))-I183</f>
        <v>0</v>
      </c>
      <c r="K183">
        <f>COUNTIFS(Visits!$V:$V,'New Dashboard'!$A$22,Visits!$E:$E,'User Engagement'!$A183)</f>
        <v>0</v>
      </c>
      <c r="L183">
        <f>COUNTIFS(Visits!$V:$V,'New Dashboard'!$A$23,Visits!$E:$E,'User Engagement'!$A183)</f>
        <v>0</v>
      </c>
      <c r="M183">
        <f>COUNTIFS(Visits!$V:$V,'New Dashboard'!$A$24,Visits!$E:$E,'User Engagement'!$A183)</f>
        <v>0</v>
      </c>
      <c r="N183">
        <f>COUNTIFS(Visits!$V:$V,'New Dashboard'!$A$25,Visits!$E:$E,'User Engagement'!$A183)</f>
        <v>0</v>
      </c>
      <c r="O183">
        <f t="shared" si="19"/>
        <v>1</v>
      </c>
      <c r="P183">
        <f t="shared" si="20"/>
        <v>0</v>
      </c>
      <c r="Q183">
        <f t="shared" si="20"/>
        <v>0</v>
      </c>
      <c r="R183">
        <f t="shared" si="16"/>
        <v>0</v>
      </c>
      <c r="S183" s="5">
        <f>SUMIF(Visits!$E$2:$E$89,'User Engagement'!$A183,Visits!$L$2:$L$89)</f>
        <v>0</v>
      </c>
      <c r="T183" s="5">
        <f>SUMIFS(Visits!$L$2:$L$89,Visits!$E$2:$E$89,'User Engagement'!$A183,Visits!$U$2:$U$89,"&gt;3/28/24")</f>
        <v>0</v>
      </c>
      <c r="U183" s="19" t="e">
        <f t="shared" si="17"/>
        <v>#DIV/0!</v>
      </c>
      <c r="V183" s="19" t="str">
        <f t="shared" si="18"/>
        <v>n/a</v>
      </c>
    </row>
    <row r="184" spans="1:22" ht="16" x14ac:dyDescent="0.2">
      <c r="A184">
        <f>Users!A182</f>
        <v>0</v>
      </c>
      <c r="B184" s="29" t="e">
        <f>VLOOKUP(A184,Users!A:D,2,FALSE)</f>
        <v>#N/A</v>
      </c>
      <c r="C184" s="29" t="e">
        <f>VLOOKUP(A184,Users!A:D,3,FALSE)</f>
        <v>#N/A</v>
      </c>
      <c r="F184" s="1" cm="1">
        <f t="array" ref="F184">MAX(_xlfn._xlws.FILTER(Visits!U:U,Visits!E:E='User Engagement'!A184))</f>
        <v>0</v>
      </c>
      <c r="G184">
        <f>COUNTIF(Visits!$E$2:$E$995,'User Engagement'!$A184)</f>
        <v>0</v>
      </c>
      <c r="H184">
        <f>COUNTIFS(Visits!$E$2:$E$995,'User Engagement'!$A185,Visits!$U$2:$U$995,"&gt;"&amp;($B$1-7))</f>
        <v>0</v>
      </c>
      <c r="I184">
        <f>COUNTIFS(Visits!$E$2:$E$995,'User Engagement'!$A184,Visits!$U$2:$U$995,"&gt;"&amp;($B$1-30))</f>
        <v>0</v>
      </c>
      <c r="J184">
        <f>COUNTIFS(Visits!$E$2:$E$995,$A184,Visits!$U$2:$U$995,"&gt;"&amp;($B$1-60))-I184</f>
        <v>0</v>
      </c>
      <c r="K184">
        <f>COUNTIFS(Visits!$V:$V,'New Dashboard'!$A$22,Visits!$E:$E,'User Engagement'!$A184)</f>
        <v>0</v>
      </c>
      <c r="L184">
        <f>COUNTIFS(Visits!$V:$V,'New Dashboard'!$A$23,Visits!$E:$E,'User Engagement'!$A184)</f>
        <v>0</v>
      </c>
      <c r="M184">
        <f>COUNTIFS(Visits!$V:$V,'New Dashboard'!$A$24,Visits!$E:$E,'User Engagement'!$A184)</f>
        <v>0</v>
      </c>
      <c r="N184">
        <f>COUNTIFS(Visits!$V:$V,'New Dashboard'!$A$25,Visits!$E:$E,'User Engagement'!$A184)</f>
        <v>0</v>
      </c>
      <c r="O184">
        <f t="shared" si="19"/>
        <v>1</v>
      </c>
      <c r="P184">
        <f t="shared" si="20"/>
        <v>0</v>
      </c>
      <c r="Q184">
        <f t="shared" si="20"/>
        <v>0</v>
      </c>
      <c r="R184">
        <f t="shared" si="16"/>
        <v>0</v>
      </c>
      <c r="S184" s="5">
        <f>SUMIF(Visits!$E$2:$E$89,'User Engagement'!$A184,Visits!$L$2:$L$89)</f>
        <v>0</v>
      </c>
      <c r="T184" s="5">
        <f>SUMIFS(Visits!$L$2:$L$89,Visits!$E$2:$E$89,'User Engagement'!$A184,Visits!$U$2:$U$89,"&gt;3/28/24")</f>
        <v>0</v>
      </c>
      <c r="U184" s="19" t="e">
        <f t="shared" si="17"/>
        <v>#DIV/0!</v>
      </c>
      <c r="V184" s="19" t="str">
        <f t="shared" si="18"/>
        <v>n/a</v>
      </c>
    </row>
    <row r="185" spans="1:22" ht="16" x14ac:dyDescent="0.2">
      <c r="A185">
        <f>Users!A183</f>
        <v>0</v>
      </c>
      <c r="B185" s="29" t="e">
        <f>VLOOKUP(A185,Users!A:D,2,FALSE)</f>
        <v>#N/A</v>
      </c>
      <c r="C185" s="29" t="e">
        <f>VLOOKUP(A185,Users!A:D,3,FALSE)</f>
        <v>#N/A</v>
      </c>
      <c r="F185" s="1" cm="1">
        <f t="array" ref="F185">MAX(_xlfn._xlws.FILTER(Visits!U:U,Visits!E:E='User Engagement'!A185))</f>
        <v>0</v>
      </c>
      <c r="G185">
        <f>COUNTIF(Visits!$E$2:$E$995,'User Engagement'!$A185)</f>
        <v>0</v>
      </c>
      <c r="H185">
        <f>COUNTIFS(Visits!$E$2:$E$995,'User Engagement'!$A186,Visits!$U$2:$U$995,"&gt;"&amp;($B$1-7))</f>
        <v>0</v>
      </c>
      <c r="I185">
        <f>COUNTIFS(Visits!$E$2:$E$995,'User Engagement'!$A185,Visits!$U$2:$U$995,"&gt;"&amp;($B$1-30))</f>
        <v>0</v>
      </c>
      <c r="J185">
        <f>COUNTIFS(Visits!$E$2:$E$995,$A185,Visits!$U$2:$U$995,"&gt;"&amp;($B$1-60))-I185</f>
        <v>0</v>
      </c>
      <c r="K185">
        <f>COUNTIFS(Visits!$V:$V,'New Dashboard'!$A$22,Visits!$E:$E,'User Engagement'!$A185)</f>
        <v>0</v>
      </c>
      <c r="L185">
        <f>COUNTIFS(Visits!$V:$V,'New Dashboard'!$A$23,Visits!$E:$E,'User Engagement'!$A185)</f>
        <v>0</v>
      </c>
      <c r="M185">
        <f>COUNTIFS(Visits!$V:$V,'New Dashboard'!$A$24,Visits!$E:$E,'User Engagement'!$A185)</f>
        <v>0</v>
      </c>
      <c r="N185">
        <f>COUNTIFS(Visits!$V:$V,'New Dashboard'!$A$25,Visits!$E:$E,'User Engagement'!$A185)</f>
        <v>0</v>
      </c>
      <c r="O185">
        <f t="shared" si="19"/>
        <v>1</v>
      </c>
      <c r="P185">
        <f t="shared" si="20"/>
        <v>0</v>
      </c>
      <c r="Q185">
        <f t="shared" si="20"/>
        <v>0</v>
      </c>
      <c r="R185">
        <f t="shared" si="16"/>
        <v>0</v>
      </c>
      <c r="S185" s="5">
        <f>SUMIF(Visits!$E$2:$E$89,'User Engagement'!$A185,Visits!$L$2:$L$89)</f>
        <v>0</v>
      </c>
      <c r="T185" s="5">
        <f>SUMIFS(Visits!$L$2:$L$89,Visits!$E$2:$E$89,'User Engagement'!$A185,Visits!$U$2:$U$89,"&gt;3/28/24")</f>
        <v>0</v>
      </c>
      <c r="U185" s="19" t="e">
        <f t="shared" si="17"/>
        <v>#DIV/0!</v>
      </c>
      <c r="V185" s="19" t="str">
        <f t="shared" si="18"/>
        <v>n/a</v>
      </c>
    </row>
    <row r="186" spans="1:22" ht="16" x14ac:dyDescent="0.2">
      <c r="A186">
        <f>Users!A184</f>
        <v>0</v>
      </c>
      <c r="B186" s="29" t="e">
        <f>VLOOKUP(A186,Users!A:D,2,FALSE)</f>
        <v>#N/A</v>
      </c>
      <c r="C186" s="29" t="e">
        <f>VLOOKUP(A186,Users!A:D,3,FALSE)</f>
        <v>#N/A</v>
      </c>
      <c r="F186" s="1" cm="1">
        <f t="array" ref="F186">MAX(_xlfn._xlws.FILTER(Visits!U:U,Visits!E:E='User Engagement'!A186))</f>
        <v>0</v>
      </c>
      <c r="G186">
        <f>COUNTIF(Visits!$E$2:$E$995,'User Engagement'!$A186)</f>
        <v>0</v>
      </c>
      <c r="H186">
        <f>COUNTIFS(Visits!$E$2:$E$995,'User Engagement'!$A187,Visits!$U$2:$U$995,"&gt;"&amp;($B$1-7))</f>
        <v>0</v>
      </c>
      <c r="I186">
        <f>COUNTIFS(Visits!$E$2:$E$995,'User Engagement'!$A186,Visits!$U$2:$U$995,"&gt;"&amp;($B$1-30))</f>
        <v>0</v>
      </c>
      <c r="J186">
        <f>COUNTIFS(Visits!$E$2:$E$995,$A186,Visits!$U$2:$U$995,"&gt;"&amp;($B$1-60))-I186</f>
        <v>0</v>
      </c>
      <c r="K186">
        <f>COUNTIFS(Visits!$V:$V,'New Dashboard'!$A$22,Visits!$E:$E,'User Engagement'!$A186)</f>
        <v>0</v>
      </c>
      <c r="L186">
        <f>COUNTIFS(Visits!$V:$V,'New Dashboard'!$A$23,Visits!$E:$E,'User Engagement'!$A186)</f>
        <v>0</v>
      </c>
      <c r="M186">
        <f>COUNTIFS(Visits!$V:$V,'New Dashboard'!$A$24,Visits!$E:$E,'User Engagement'!$A186)</f>
        <v>0</v>
      </c>
      <c r="N186">
        <f>COUNTIFS(Visits!$V:$V,'New Dashboard'!$A$25,Visits!$E:$E,'User Engagement'!$A186)</f>
        <v>0</v>
      </c>
      <c r="O186">
        <f t="shared" si="19"/>
        <v>1</v>
      </c>
      <c r="P186">
        <f t="shared" si="20"/>
        <v>0</v>
      </c>
      <c r="Q186">
        <f t="shared" si="20"/>
        <v>0</v>
      </c>
      <c r="R186">
        <f t="shared" si="16"/>
        <v>0</v>
      </c>
      <c r="S186" s="5">
        <f>SUMIF(Visits!$E$2:$E$89,'User Engagement'!$A186,Visits!$L$2:$L$89)</f>
        <v>0</v>
      </c>
      <c r="T186" s="5">
        <f>SUMIFS(Visits!$L$2:$L$89,Visits!$E$2:$E$89,'User Engagement'!$A186,Visits!$U$2:$U$89,"&gt;3/28/24")</f>
        <v>0</v>
      </c>
      <c r="U186" s="19" t="e">
        <f t="shared" si="17"/>
        <v>#DIV/0!</v>
      </c>
      <c r="V186" s="19" t="str">
        <f t="shared" si="18"/>
        <v>n/a</v>
      </c>
    </row>
    <row r="187" spans="1:22" ht="16" x14ac:dyDescent="0.2">
      <c r="A187">
        <f>Users!A185</f>
        <v>0</v>
      </c>
      <c r="B187" s="29" t="e">
        <f>VLOOKUP(A187,Users!A:D,2,FALSE)</f>
        <v>#N/A</v>
      </c>
      <c r="C187" s="29" t="e">
        <f>VLOOKUP(A187,Users!A:D,3,FALSE)</f>
        <v>#N/A</v>
      </c>
      <c r="F187" s="1" cm="1">
        <f t="array" ref="F187">MAX(_xlfn._xlws.FILTER(Visits!U:U,Visits!E:E='User Engagement'!A187))</f>
        <v>0</v>
      </c>
      <c r="G187">
        <f>COUNTIF(Visits!$E$2:$E$995,'User Engagement'!$A187)</f>
        <v>0</v>
      </c>
      <c r="H187">
        <f>COUNTIFS(Visits!$E$2:$E$995,'User Engagement'!$A188,Visits!$U$2:$U$995,"&gt;"&amp;($B$1-7))</f>
        <v>0</v>
      </c>
      <c r="I187">
        <f>COUNTIFS(Visits!$E$2:$E$995,'User Engagement'!$A187,Visits!$U$2:$U$995,"&gt;"&amp;($B$1-30))</f>
        <v>0</v>
      </c>
      <c r="J187">
        <f>COUNTIFS(Visits!$E$2:$E$995,$A187,Visits!$U$2:$U$995,"&gt;"&amp;($B$1-60))-I187</f>
        <v>0</v>
      </c>
      <c r="K187">
        <f>COUNTIFS(Visits!$V:$V,'New Dashboard'!$A$22,Visits!$E:$E,'User Engagement'!$A187)</f>
        <v>0</v>
      </c>
      <c r="L187">
        <f>COUNTIFS(Visits!$V:$V,'New Dashboard'!$A$23,Visits!$E:$E,'User Engagement'!$A187)</f>
        <v>0</v>
      </c>
      <c r="M187">
        <f>COUNTIFS(Visits!$V:$V,'New Dashboard'!$A$24,Visits!$E:$E,'User Engagement'!$A187)</f>
        <v>0</v>
      </c>
      <c r="N187">
        <f>COUNTIFS(Visits!$V:$V,'New Dashboard'!$A$25,Visits!$E:$E,'User Engagement'!$A187)</f>
        <v>0</v>
      </c>
      <c r="O187">
        <f t="shared" si="19"/>
        <v>1</v>
      </c>
      <c r="P187">
        <f t="shared" si="20"/>
        <v>0</v>
      </c>
      <c r="Q187">
        <f t="shared" si="20"/>
        <v>0</v>
      </c>
      <c r="R187">
        <f t="shared" si="16"/>
        <v>0</v>
      </c>
      <c r="S187" s="5">
        <f>SUMIF(Visits!$E$2:$E$89,'User Engagement'!$A187,Visits!$L$2:$L$89)</f>
        <v>0</v>
      </c>
      <c r="T187" s="5">
        <f>SUMIFS(Visits!$L$2:$L$89,Visits!$E$2:$E$89,'User Engagement'!$A187,Visits!$U$2:$U$89,"&gt;3/28/24")</f>
        <v>0</v>
      </c>
      <c r="U187" s="19" t="e">
        <f t="shared" si="17"/>
        <v>#DIV/0!</v>
      </c>
      <c r="V187" s="19" t="str">
        <f t="shared" si="18"/>
        <v>n/a</v>
      </c>
    </row>
    <row r="188" spans="1:22" ht="16" x14ac:dyDescent="0.2">
      <c r="A188">
        <f>Users!A186</f>
        <v>0</v>
      </c>
      <c r="B188" s="29" t="e">
        <f>VLOOKUP(A188,Users!A:D,2,FALSE)</f>
        <v>#N/A</v>
      </c>
      <c r="C188" s="29" t="e">
        <f>VLOOKUP(A188,Users!A:D,3,FALSE)</f>
        <v>#N/A</v>
      </c>
      <c r="F188" s="1" cm="1">
        <f t="array" ref="F188">MAX(_xlfn._xlws.FILTER(Visits!U:U,Visits!E:E='User Engagement'!A188))</f>
        <v>0</v>
      </c>
      <c r="G188">
        <f>COUNTIF(Visits!$E$2:$E$995,'User Engagement'!$A188)</f>
        <v>0</v>
      </c>
      <c r="H188">
        <f>COUNTIFS(Visits!$E$2:$E$995,'User Engagement'!$A189,Visits!$U$2:$U$995,"&gt;"&amp;($B$1-7))</f>
        <v>0</v>
      </c>
      <c r="I188">
        <f>COUNTIFS(Visits!$E$2:$E$995,'User Engagement'!$A188,Visits!$U$2:$U$995,"&gt;"&amp;($B$1-30))</f>
        <v>0</v>
      </c>
      <c r="J188">
        <f>COUNTIFS(Visits!$E$2:$E$995,$A188,Visits!$U$2:$U$995,"&gt;"&amp;($B$1-60))-I188</f>
        <v>0</v>
      </c>
      <c r="K188">
        <f>COUNTIFS(Visits!$V:$V,'New Dashboard'!$A$22,Visits!$E:$E,'User Engagement'!$A188)</f>
        <v>0</v>
      </c>
      <c r="L188">
        <f>COUNTIFS(Visits!$V:$V,'New Dashboard'!$A$23,Visits!$E:$E,'User Engagement'!$A188)</f>
        <v>0</v>
      </c>
      <c r="M188">
        <f>COUNTIFS(Visits!$V:$V,'New Dashboard'!$A$24,Visits!$E:$E,'User Engagement'!$A188)</f>
        <v>0</v>
      </c>
      <c r="N188">
        <f>COUNTIFS(Visits!$V:$V,'New Dashboard'!$A$25,Visits!$E:$E,'User Engagement'!$A188)</f>
        <v>0</v>
      </c>
      <c r="O188">
        <f t="shared" si="19"/>
        <v>1</v>
      </c>
      <c r="P188">
        <f t="shared" si="20"/>
        <v>0</v>
      </c>
      <c r="Q188">
        <f t="shared" si="20"/>
        <v>0</v>
      </c>
      <c r="R188">
        <f t="shared" si="16"/>
        <v>0</v>
      </c>
      <c r="S188" s="5">
        <f>SUMIF(Visits!$E$2:$E$89,'User Engagement'!$A188,Visits!$L$2:$L$89)</f>
        <v>0</v>
      </c>
      <c r="T188" s="5">
        <f>SUMIFS(Visits!$L$2:$L$89,Visits!$E$2:$E$89,'User Engagement'!$A188,Visits!$U$2:$U$89,"&gt;3/28/24")</f>
        <v>0</v>
      </c>
      <c r="U188" s="19" t="e">
        <f t="shared" si="17"/>
        <v>#DIV/0!</v>
      </c>
      <c r="V188" s="19" t="str">
        <f t="shared" si="18"/>
        <v>n/a</v>
      </c>
    </row>
    <row r="189" spans="1:22" ht="16" x14ac:dyDescent="0.2">
      <c r="A189">
        <f>Users!A187</f>
        <v>0</v>
      </c>
      <c r="B189" s="29" t="e">
        <f>VLOOKUP(A189,Users!A:D,2,FALSE)</f>
        <v>#N/A</v>
      </c>
      <c r="C189" s="29" t="e">
        <f>VLOOKUP(A189,Users!A:D,3,FALSE)</f>
        <v>#N/A</v>
      </c>
      <c r="F189" s="1" cm="1">
        <f t="array" ref="F189">MAX(_xlfn._xlws.FILTER(Visits!U:U,Visits!E:E='User Engagement'!A189))</f>
        <v>0</v>
      </c>
      <c r="G189">
        <f>COUNTIF(Visits!$E$2:$E$995,'User Engagement'!$A189)</f>
        <v>0</v>
      </c>
      <c r="H189">
        <f>COUNTIFS(Visits!$E$2:$E$995,'User Engagement'!$A190,Visits!$U$2:$U$995,"&gt;"&amp;($B$1-7))</f>
        <v>0</v>
      </c>
      <c r="I189">
        <f>COUNTIFS(Visits!$E$2:$E$995,'User Engagement'!$A189,Visits!$U$2:$U$995,"&gt;"&amp;($B$1-30))</f>
        <v>0</v>
      </c>
      <c r="J189">
        <f>COUNTIFS(Visits!$E$2:$E$995,$A189,Visits!$U$2:$U$995,"&gt;"&amp;($B$1-60))-I189</f>
        <v>0</v>
      </c>
      <c r="K189">
        <f>COUNTIFS(Visits!$V:$V,'New Dashboard'!$A$22,Visits!$E:$E,'User Engagement'!$A189)</f>
        <v>0</v>
      </c>
      <c r="L189">
        <f>COUNTIFS(Visits!$V:$V,'New Dashboard'!$A$23,Visits!$E:$E,'User Engagement'!$A189)</f>
        <v>0</v>
      </c>
      <c r="M189">
        <f>COUNTIFS(Visits!$V:$V,'New Dashboard'!$A$24,Visits!$E:$E,'User Engagement'!$A189)</f>
        <v>0</v>
      </c>
      <c r="N189">
        <f>COUNTIFS(Visits!$V:$V,'New Dashboard'!$A$25,Visits!$E:$E,'User Engagement'!$A189)</f>
        <v>0</v>
      </c>
      <c r="O189">
        <f t="shared" si="19"/>
        <v>1</v>
      </c>
      <c r="P189">
        <f t="shared" si="20"/>
        <v>0</v>
      </c>
      <c r="Q189">
        <f t="shared" si="20"/>
        <v>0</v>
      </c>
      <c r="R189">
        <f t="shared" si="16"/>
        <v>0</v>
      </c>
      <c r="S189" s="5">
        <f>SUMIF(Visits!$E$2:$E$89,'User Engagement'!$A189,Visits!$L$2:$L$89)</f>
        <v>0</v>
      </c>
      <c r="T189" s="5">
        <f>SUMIFS(Visits!$L$2:$L$89,Visits!$E$2:$E$89,'User Engagement'!$A189,Visits!$U$2:$U$89,"&gt;3/28/24")</f>
        <v>0</v>
      </c>
      <c r="U189" s="19" t="e">
        <f t="shared" si="17"/>
        <v>#DIV/0!</v>
      </c>
      <c r="V189" s="19" t="str">
        <f t="shared" si="18"/>
        <v>n/a</v>
      </c>
    </row>
    <row r="190" spans="1:22" ht="16" x14ac:dyDescent="0.2">
      <c r="A190">
        <f>Users!A188</f>
        <v>0</v>
      </c>
      <c r="B190" s="29" t="e">
        <f>VLOOKUP(A190,Users!A:D,2,FALSE)</f>
        <v>#N/A</v>
      </c>
      <c r="C190" s="29" t="e">
        <f>VLOOKUP(A190,Users!A:D,3,FALSE)</f>
        <v>#N/A</v>
      </c>
      <c r="F190" s="1" cm="1">
        <f t="array" ref="F190">MAX(_xlfn._xlws.FILTER(Visits!U:U,Visits!E:E='User Engagement'!A190))</f>
        <v>0</v>
      </c>
      <c r="G190">
        <f>COUNTIF(Visits!$E$2:$E$995,'User Engagement'!$A190)</f>
        <v>0</v>
      </c>
      <c r="H190">
        <f>COUNTIFS(Visits!$E$2:$E$995,'User Engagement'!$A191,Visits!$U$2:$U$995,"&gt;"&amp;($B$1-7))</f>
        <v>0</v>
      </c>
      <c r="I190">
        <f>COUNTIFS(Visits!$E$2:$E$995,'User Engagement'!$A190,Visits!$U$2:$U$995,"&gt;"&amp;($B$1-30))</f>
        <v>0</v>
      </c>
      <c r="J190">
        <f>COUNTIFS(Visits!$E$2:$E$995,$A190,Visits!$U$2:$U$995,"&gt;"&amp;($B$1-60))-I190</f>
        <v>0</v>
      </c>
      <c r="K190">
        <f>COUNTIFS(Visits!$V:$V,'New Dashboard'!$A$22,Visits!$E:$E,'User Engagement'!$A190)</f>
        <v>0</v>
      </c>
      <c r="L190">
        <f>COUNTIFS(Visits!$V:$V,'New Dashboard'!$A$23,Visits!$E:$E,'User Engagement'!$A190)</f>
        <v>0</v>
      </c>
      <c r="M190">
        <f>COUNTIFS(Visits!$V:$V,'New Dashboard'!$A$24,Visits!$E:$E,'User Engagement'!$A190)</f>
        <v>0</v>
      </c>
      <c r="N190">
        <f>COUNTIFS(Visits!$V:$V,'New Dashboard'!$A$25,Visits!$E:$E,'User Engagement'!$A190)</f>
        <v>0</v>
      </c>
      <c r="O190">
        <f t="shared" si="19"/>
        <v>1</v>
      </c>
      <c r="P190">
        <f t="shared" si="20"/>
        <v>0</v>
      </c>
      <c r="Q190">
        <f t="shared" si="20"/>
        <v>0</v>
      </c>
      <c r="R190">
        <f t="shared" si="16"/>
        <v>0</v>
      </c>
      <c r="S190" s="5">
        <f>SUMIF(Visits!$E$2:$E$89,'User Engagement'!$A190,Visits!$L$2:$L$89)</f>
        <v>0</v>
      </c>
      <c r="T190" s="5">
        <f>SUMIFS(Visits!$L$2:$L$89,Visits!$E$2:$E$89,'User Engagement'!$A190,Visits!$U$2:$U$89,"&gt;3/28/24")</f>
        <v>0</v>
      </c>
      <c r="U190" s="19" t="e">
        <f t="shared" si="17"/>
        <v>#DIV/0!</v>
      </c>
      <c r="V190" s="19" t="str">
        <f t="shared" si="18"/>
        <v>n/a</v>
      </c>
    </row>
    <row r="191" spans="1:22" ht="16" x14ac:dyDescent="0.2">
      <c r="A191">
        <f>Users!A189</f>
        <v>0</v>
      </c>
      <c r="B191" s="29" t="e">
        <f>VLOOKUP(A191,Users!A:D,2,FALSE)</f>
        <v>#N/A</v>
      </c>
      <c r="C191" s="29" t="e">
        <f>VLOOKUP(A191,Users!A:D,3,FALSE)</f>
        <v>#N/A</v>
      </c>
      <c r="F191" s="1" cm="1">
        <f t="array" ref="F191">MAX(_xlfn._xlws.FILTER(Visits!U:U,Visits!E:E='User Engagement'!A191))</f>
        <v>0</v>
      </c>
      <c r="G191">
        <f>COUNTIF(Visits!$E$2:$E$995,'User Engagement'!$A191)</f>
        <v>0</v>
      </c>
      <c r="H191">
        <f>COUNTIFS(Visits!$E$2:$E$995,'User Engagement'!$A192,Visits!$U$2:$U$995,"&gt;"&amp;($B$1-7))</f>
        <v>0</v>
      </c>
      <c r="I191">
        <f>COUNTIFS(Visits!$E$2:$E$995,'User Engagement'!$A191,Visits!$U$2:$U$995,"&gt;"&amp;($B$1-30))</f>
        <v>0</v>
      </c>
      <c r="J191">
        <f>COUNTIFS(Visits!$E$2:$E$995,$A191,Visits!$U$2:$U$995,"&gt;"&amp;($B$1-60))-I191</f>
        <v>0</v>
      </c>
      <c r="K191">
        <f>COUNTIFS(Visits!$V:$V,'New Dashboard'!$A$22,Visits!$E:$E,'User Engagement'!$A191)</f>
        <v>0</v>
      </c>
      <c r="L191">
        <f>COUNTIFS(Visits!$V:$V,'New Dashboard'!$A$23,Visits!$E:$E,'User Engagement'!$A191)</f>
        <v>0</v>
      </c>
      <c r="M191">
        <f>COUNTIFS(Visits!$V:$V,'New Dashboard'!$A$24,Visits!$E:$E,'User Engagement'!$A191)</f>
        <v>0</v>
      </c>
      <c r="N191">
        <f>COUNTIFS(Visits!$V:$V,'New Dashboard'!$A$25,Visits!$E:$E,'User Engagement'!$A191)</f>
        <v>0</v>
      </c>
      <c r="O191">
        <f t="shared" si="19"/>
        <v>1</v>
      </c>
      <c r="P191">
        <f t="shared" si="20"/>
        <v>0</v>
      </c>
      <c r="Q191">
        <f t="shared" si="20"/>
        <v>0</v>
      </c>
      <c r="R191">
        <f t="shared" si="16"/>
        <v>0</v>
      </c>
      <c r="S191" s="5">
        <f>SUMIF(Visits!$E$2:$E$89,'User Engagement'!$A191,Visits!$L$2:$L$89)</f>
        <v>0</v>
      </c>
      <c r="T191" s="5">
        <f>SUMIFS(Visits!$L$2:$L$89,Visits!$E$2:$E$89,'User Engagement'!$A191,Visits!$U$2:$U$89,"&gt;3/28/24")</f>
        <v>0</v>
      </c>
      <c r="U191" s="19" t="e">
        <f t="shared" si="17"/>
        <v>#DIV/0!</v>
      </c>
      <c r="V191" s="19" t="str">
        <f t="shared" si="18"/>
        <v>n/a</v>
      </c>
    </row>
    <row r="192" spans="1:22" ht="16" x14ac:dyDescent="0.2">
      <c r="A192">
        <f>Users!A190</f>
        <v>0</v>
      </c>
      <c r="B192" s="29" t="e">
        <f>VLOOKUP(A192,Users!A:D,2,FALSE)</f>
        <v>#N/A</v>
      </c>
      <c r="C192" s="29" t="e">
        <f>VLOOKUP(A192,Users!A:D,3,FALSE)</f>
        <v>#N/A</v>
      </c>
      <c r="F192" s="1" cm="1">
        <f t="array" ref="F192">MAX(_xlfn._xlws.FILTER(Visits!U:U,Visits!E:E='User Engagement'!A192))</f>
        <v>0</v>
      </c>
      <c r="G192">
        <f>COUNTIF(Visits!$E$2:$E$995,'User Engagement'!$A192)</f>
        <v>0</v>
      </c>
      <c r="H192">
        <f>COUNTIFS(Visits!$E$2:$E$995,'User Engagement'!$A193,Visits!$U$2:$U$995,"&gt;"&amp;($B$1-7))</f>
        <v>0</v>
      </c>
      <c r="I192">
        <f>COUNTIFS(Visits!$E$2:$E$995,'User Engagement'!$A192,Visits!$U$2:$U$995,"&gt;"&amp;($B$1-30))</f>
        <v>0</v>
      </c>
      <c r="J192">
        <f>COUNTIFS(Visits!$E$2:$E$995,$A192,Visits!$U$2:$U$995,"&gt;"&amp;($B$1-60))-I192</f>
        <v>0</v>
      </c>
      <c r="K192">
        <f>COUNTIFS(Visits!$V:$V,'New Dashboard'!$A$22,Visits!$E:$E,'User Engagement'!$A192)</f>
        <v>0</v>
      </c>
      <c r="L192">
        <f>COUNTIFS(Visits!$V:$V,'New Dashboard'!$A$23,Visits!$E:$E,'User Engagement'!$A192)</f>
        <v>0</v>
      </c>
      <c r="M192">
        <f>COUNTIFS(Visits!$V:$V,'New Dashboard'!$A$24,Visits!$E:$E,'User Engagement'!$A192)</f>
        <v>0</v>
      </c>
      <c r="N192">
        <f>COUNTIFS(Visits!$V:$V,'New Dashboard'!$A$25,Visits!$E:$E,'User Engagement'!$A192)</f>
        <v>0</v>
      </c>
      <c r="O192">
        <f t="shared" si="19"/>
        <v>1</v>
      </c>
      <c r="P192">
        <f t="shared" si="20"/>
        <v>0</v>
      </c>
      <c r="Q192">
        <f t="shared" si="20"/>
        <v>0</v>
      </c>
      <c r="R192">
        <f t="shared" si="16"/>
        <v>0</v>
      </c>
      <c r="S192" s="5">
        <f>SUMIF(Visits!$E$2:$E$89,'User Engagement'!$A192,Visits!$L$2:$L$89)</f>
        <v>0</v>
      </c>
      <c r="T192" s="5">
        <f>SUMIFS(Visits!$L$2:$L$89,Visits!$E$2:$E$89,'User Engagement'!$A192,Visits!$U$2:$U$89,"&gt;3/28/24")</f>
        <v>0</v>
      </c>
      <c r="U192" s="19" t="e">
        <f t="shared" si="17"/>
        <v>#DIV/0!</v>
      </c>
      <c r="V192" s="19" t="str">
        <f t="shared" si="18"/>
        <v>n/a</v>
      </c>
    </row>
    <row r="193" spans="1:22" ht="16" x14ac:dyDescent="0.2">
      <c r="A193">
        <f>Users!A191</f>
        <v>0</v>
      </c>
      <c r="B193" s="29" t="e">
        <f>VLOOKUP(A193,Users!A:D,2,FALSE)</f>
        <v>#N/A</v>
      </c>
      <c r="C193" s="29" t="e">
        <f>VLOOKUP(A193,Users!A:D,3,FALSE)</f>
        <v>#N/A</v>
      </c>
      <c r="F193" s="1" cm="1">
        <f t="array" ref="F193">MAX(_xlfn._xlws.FILTER(Visits!U:U,Visits!E:E='User Engagement'!A193))</f>
        <v>0</v>
      </c>
      <c r="G193">
        <f>COUNTIF(Visits!$E$2:$E$995,'User Engagement'!$A193)</f>
        <v>0</v>
      </c>
      <c r="H193">
        <f>COUNTIFS(Visits!$E$2:$E$995,'User Engagement'!$A194,Visits!$U$2:$U$995,"&gt;"&amp;($B$1-7))</f>
        <v>0</v>
      </c>
      <c r="I193">
        <f>COUNTIFS(Visits!$E$2:$E$995,'User Engagement'!$A193,Visits!$U$2:$U$995,"&gt;"&amp;($B$1-30))</f>
        <v>0</v>
      </c>
      <c r="J193">
        <f>COUNTIFS(Visits!$E$2:$E$995,$A193,Visits!$U$2:$U$995,"&gt;"&amp;($B$1-60))-I193</f>
        <v>0</v>
      </c>
      <c r="K193">
        <f>COUNTIFS(Visits!$V:$V,'New Dashboard'!$A$22,Visits!$E:$E,'User Engagement'!$A193)</f>
        <v>0</v>
      </c>
      <c r="L193">
        <f>COUNTIFS(Visits!$V:$V,'New Dashboard'!$A$23,Visits!$E:$E,'User Engagement'!$A193)</f>
        <v>0</v>
      </c>
      <c r="M193">
        <f>COUNTIFS(Visits!$V:$V,'New Dashboard'!$A$24,Visits!$E:$E,'User Engagement'!$A193)</f>
        <v>0</v>
      </c>
      <c r="N193">
        <f>COUNTIFS(Visits!$V:$V,'New Dashboard'!$A$25,Visits!$E:$E,'User Engagement'!$A193)</f>
        <v>0</v>
      </c>
      <c r="O193">
        <f t="shared" si="19"/>
        <v>1</v>
      </c>
      <c r="P193">
        <f t="shared" si="20"/>
        <v>0</v>
      </c>
      <c r="Q193">
        <f t="shared" si="20"/>
        <v>0</v>
      </c>
      <c r="R193">
        <f t="shared" si="16"/>
        <v>0</v>
      </c>
      <c r="S193" s="5">
        <f>SUMIF(Visits!$E$2:$E$89,'User Engagement'!$A193,Visits!$L$2:$L$89)</f>
        <v>0</v>
      </c>
      <c r="T193" s="5">
        <f>SUMIFS(Visits!$L$2:$L$89,Visits!$E$2:$E$89,'User Engagement'!$A193,Visits!$U$2:$U$89,"&gt;3/28/24")</f>
        <v>0</v>
      </c>
      <c r="U193" s="19" t="e">
        <f t="shared" si="17"/>
        <v>#DIV/0!</v>
      </c>
      <c r="V193" s="19" t="str">
        <f t="shared" si="18"/>
        <v>n/a</v>
      </c>
    </row>
    <row r="194" spans="1:22" ht="16" x14ac:dyDescent="0.2">
      <c r="A194">
        <f>Users!A192</f>
        <v>0</v>
      </c>
      <c r="B194" s="29" t="e">
        <f>VLOOKUP(A194,Users!A:D,2,FALSE)</f>
        <v>#N/A</v>
      </c>
      <c r="C194" s="29" t="e">
        <f>VLOOKUP(A194,Users!A:D,3,FALSE)</f>
        <v>#N/A</v>
      </c>
      <c r="F194" s="1" cm="1">
        <f t="array" ref="F194">MAX(_xlfn._xlws.FILTER(Visits!U:U,Visits!E:E='User Engagement'!A194))</f>
        <v>0</v>
      </c>
      <c r="G194">
        <f>COUNTIF(Visits!$E$2:$E$995,'User Engagement'!$A194)</f>
        <v>0</v>
      </c>
      <c r="H194">
        <f>COUNTIFS(Visits!$E$2:$E$995,'User Engagement'!$A195,Visits!$U$2:$U$995,"&gt;"&amp;($B$1-7))</f>
        <v>0</v>
      </c>
      <c r="I194">
        <f>COUNTIFS(Visits!$E$2:$E$995,'User Engagement'!$A194,Visits!$U$2:$U$995,"&gt;"&amp;($B$1-30))</f>
        <v>0</v>
      </c>
      <c r="J194">
        <f>COUNTIFS(Visits!$E$2:$E$995,$A194,Visits!$U$2:$U$995,"&gt;"&amp;($B$1-60))-I194</f>
        <v>0</v>
      </c>
      <c r="K194">
        <f>COUNTIFS(Visits!$V:$V,'New Dashboard'!$A$22,Visits!$E:$E,'User Engagement'!$A194)</f>
        <v>0</v>
      </c>
      <c r="L194">
        <f>COUNTIFS(Visits!$V:$V,'New Dashboard'!$A$23,Visits!$E:$E,'User Engagement'!$A194)</f>
        <v>0</v>
      </c>
      <c r="M194">
        <f>COUNTIFS(Visits!$V:$V,'New Dashboard'!$A$24,Visits!$E:$E,'User Engagement'!$A194)</f>
        <v>0</v>
      </c>
      <c r="N194">
        <f>COUNTIFS(Visits!$V:$V,'New Dashboard'!$A$25,Visits!$E:$E,'User Engagement'!$A194)</f>
        <v>0</v>
      </c>
      <c r="O194">
        <f t="shared" si="19"/>
        <v>1</v>
      </c>
      <c r="P194">
        <f t="shared" si="20"/>
        <v>0</v>
      </c>
      <c r="Q194">
        <f t="shared" si="20"/>
        <v>0</v>
      </c>
      <c r="R194">
        <f t="shared" si="16"/>
        <v>0</v>
      </c>
      <c r="S194" s="5">
        <f>SUMIF(Visits!$E$2:$E$89,'User Engagement'!$A194,Visits!$L$2:$L$89)</f>
        <v>0</v>
      </c>
      <c r="T194" s="5">
        <f>SUMIFS(Visits!$L$2:$L$89,Visits!$E$2:$E$89,'User Engagement'!$A194,Visits!$U$2:$U$89,"&gt;3/28/24")</f>
        <v>0</v>
      </c>
      <c r="U194" s="19" t="e">
        <f t="shared" si="17"/>
        <v>#DIV/0!</v>
      </c>
      <c r="V194" s="19" t="str">
        <f t="shared" si="18"/>
        <v>n/a</v>
      </c>
    </row>
    <row r="195" spans="1:22" ht="16" x14ac:dyDescent="0.2">
      <c r="A195">
        <f>Users!A193</f>
        <v>0</v>
      </c>
      <c r="B195" s="29" t="e">
        <f>VLOOKUP(A195,Users!A:D,2,FALSE)</f>
        <v>#N/A</v>
      </c>
      <c r="C195" s="29" t="e">
        <f>VLOOKUP(A195,Users!A:D,3,FALSE)</f>
        <v>#N/A</v>
      </c>
      <c r="F195" s="1" cm="1">
        <f t="array" ref="F195">MAX(_xlfn._xlws.FILTER(Visits!U:U,Visits!E:E='User Engagement'!A195))</f>
        <v>0</v>
      </c>
      <c r="G195">
        <f>COUNTIF(Visits!$E$2:$E$995,'User Engagement'!$A195)</f>
        <v>0</v>
      </c>
      <c r="H195">
        <f>COUNTIFS(Visits!$E$2:$E$995,'User Engagement'!$A196,Visits!$U$2:$U$995,"&gt;"&amp;($B$1-7))</f>
        <v>0</v>
      </c>
      <c r="I195">
        <f>COUNTIFS(Visits!$E$2:$E$995,'User Engagement'!$A195,Visits!$U$2:$U$995,"&gt;"&amp;($B$1-30))</f>
        <v>0</v>
      </c>
      <c r="J195">
        <f>COUNTIFS(Visits!$E$2:$E$995,$A195,Visits!$U$2:$U$995,"&gt;"&amp;($B$1-60))-I195</f>
        <v>0</v>
      </c>
      <c r="K195">
        <f>COUNTIFS(Visits!$V:$V,'New Dashboard'!$A$22,Visits!$E:$E,'User Engagement'!$A195)</f>
        <v>0</v>
      </c>
      <c r="L195">
        <f>COUNTIFS(Visits!$V:$V,'New Dashboard'!$A$23,Visits!$E:$E,'User Engagement'!$A195)</f>
        <v>0</v>
      </c>
      <c r="M195">
        <f>COUNTIFS(Visits!$V:$V,'New Dashboard'!$A$24,Visits!$E:$E,'User Engagement'!$A195)</f>
        <v>0</v>
      </c>
      <c r="N195">
        <f>COUNTIFS(Visits!$V:$V,'New Dashboard'!$A$25,Visits!$E:$E,'User Engagement'!$A195)</f>
        <v>0</v>
      </c>
      <c r="O195">
        <f t="shared" si="19"/>
        <v>1</v>
      </c>
      <c r="P195">
        <f t="shared" si="20"/>
        <v>0</v>
      </c>
      <c r="Q195">
        <f t="shared" si="20"/>
        <v>0</v>
      </c>
      <c r="R195">
        <f t="shared" si="16"/>
        <v>0</v>
      </c>
      <c r="S195" s="5">
        <f>SUMIF(Visits!$E$2:$E$89,'User Engagement'!$A195,Visits!$L$2:$L$89)</f>
        <v>0</v>
      </c>
      <c r="T195" s="5">
        <f>SUMIFS(Visits!$L$2:$L$89,Visits!$E$2:$E$89,'User Engagement'!$A195,Visits!$U$2:$U$89,"&gt;3/28/24")</f>
        <v>0</v>
      </c>
      <c r="U195" s="19" t="e">
        <f t="shared" si="17"/>
        <v>#DIV/0!</v>
      </c>
      <c r="V195" s="19" t="str">
        <f t="shared" si="18"/>
        <v>n/a</v>
      </c>
    </row>
    <row r="196" spans="1:22" ht="16" x14ac:dyDescent="0.2">
      <c r="A196">
        <f>Users!A194</f>
        <v>0</v>
      </c>
      <c r="B196" s="29" t="e">
        <f>VLOOKUP(A196,Users!A:D,2,FALSE)</f>
        <v>#N/A</v>
      </c>
      <c r="C196" s="29" t="e">
        <f>VLOOKUP(A196,Users!A:D,3,FALSE)</f>
        <v>#N/A</v>
      </c>
      <c r="F196" s="1" cm="1">
        <f t="array" ref="F196">MAX(_xlfn._xlws.FILTER(Visits!U:U,Visits!E:E='User Engagement'!A196))</f>
        <v>0</v>
      </c>
      <c r="G196">
        <f>COUNTIF(Visits!$E$2:$E$995,'User Engagement'!$A196)</f>
        <v>0</v>
      </c>
      <c r="H196">
        <f>COUNTIFS(Visits!$E$2:$E$995,'User Engagement'!$A197,Visits!$U$2:$U$995,"&gt;"&amp;($B$1-7))</f>
        <v>0</v>
      </c>
      <c r="I196">
        <f>COUNTIFS(Visits!$E$2:$E$995,'User Engagement'!$A196,Visits!$U$2:$U$995,"&gt;"&amp;($B$1-30))</f>
        <v>0</v>
      </c>
      <c r="J196">
        <f>COUNTIFS(Visits!$E$2:$E$995,$A196,Visits!$U$2:$U$995,"&gt;"&amp;($B$1-60))-I196</f>
        <v>0</v>
      </c>
      <c r="K196">
        <f>COUNTIFS(Visits!$V:$V,'New Dashboard'!$A$22,Visits!$E:$E,'User Engagement'!$A196)</f>
        <v>0</v>
      </c>
      <c r="L196">
        <f>COUNTIFS(Visits!$V:$V,'New Dashboard'!$A$23,Visits!$E:$E,'User Engagement'!$A196)</f>
        <v>0</v>
      </c>
      <c r="M196">
        <f>COUNTIFS(Visits!$V:$V,'New Dashboard'!$A$24,Visits!$E:$E,'User Engagement'!$A196)</f>
        <v>0</v>
      </c>
      <c r="N196">
        <f>COUNTIFS(Visits!$V:$V,'New Dashboard'!$A$25,Visits!$E:$E,'User Engagement'!$A196)</f>
        <v>0</v>
      </c>
      <c r="O196">
        <f t="shared" si="19"/>
        <v>1</v>
      </c>
      <c r="P196">
        <f t="shared" si="20"/>
        <v>0</v>
      </c>
      <c r="Q196">
        <f t="shared" si="20"/>
        <v>0</v>
      </c>
      <c r="R196">
        <f t="shared" ref="R196:R259" si="21">IF(I196&gt;2,P196,0)</f>
        <v>0</v>
      </c>
      <c r="S196" s="5">
        <f>SUMIF(Visits!$E$2:$E$89,'User Engagement'!$A196,Visits!$L$2:$L$89)</f>
        <v>0</v>
      </c>
      <c r="T196" s="5">
        <f>SUMIFS(Visits!$L$2:$L$89,Visits!$E$2:$E$89,'User Engagement'!$A196,Visits!$U$2:$U$89,"&gt;3/28/24")</f>
        <v>0</v>
      </c>
      <c r="U196" s="19" t="e">
        <f t="shared" ref="U196:U259" si="22">S196/G196</f>
        <v>#DIV/0!</v>
      </c>
      <c r="V196" s="19" t="str">
        <f t="shared" ref="V196:V259" si="23">IFERROR(T196/I196,"n/a")</f>
        <v>n/a</v>
      </c>
    </row>
    <row r="197" spans="1:22" ht="16" x14ac:dyDescent="0.2">
      <c r="A197">
        <f>Users!A195</f>
        <v>0</v>
      </c>
      <c r="B197" s="29" t="e">
        <f>VLOOKUP(A197,Users!A:D,2,FALSE)</f>
        <v>#N/A</v>
      </c>
      <c r="C197" s="29" t="e">
        <f>VLOOKUP(A197,Users!A:D,3,FALSE)</f>
        <v>#N/A</v>
      </c>
      <c r="F197" s="1" cm="1">
        <f t="array" ref="F197">MAX(_xlfn._xlws.FILTER(Visits!U:U,Visits!E:E='User Engagement'!A197))</f>
        <v>0</v>
      </c>
      <c r="G197">
        <f>COUNTIF(Visits!$E$2:$E$995,'User Engagement'!$A197)</f>
        <v>0</v>
      </c>
      <c r="H197">
        <f>COUNTIFS(Visits!$E$2:$E$995,'User Engagement'!$A198,Visits!$U$2:$U$995,"&gt;"&amp;($B$1-7))</f>
        <v>0</v>
      </c>
      <c r="I197">
        <f>COUNTIFS(Visits!$E$2:$E$995,'User Engagement'!$A197,Visits!$U$2:$U$995,"&gt;"&amp;($B$1-30))</f>
        <v>0</v>
      </c>
      <c r="J197">
        <f>COUNTIFS(Visits!$E$2:$E$995,$A197,Visits!$U$2:$U$995,"&gt;"&amp;($B$1-60))-I197</f>
        <v>0</v>
      </c>
      <c r="K197">
        <f>COUNTIFS(Visits!$V:$V,'New Dashboard'!$A$22,Visits!$E:$E,'User Engagement'!$A197)</f>
        <v>0</v>
      </c>
      <c r="L197">
        <f>COUNTIFS(Visits!$V:$V,'New Dashboard'!$A$23,Visits!$E:$E,'User Engagement'!$A197)</f>
        <v>0</v>
      </c>
      <c r="M197">
        <f>COUNTIFS(Visits!$V:$V,'New Dashboard'!$A$24,Visits!$E:$E,'User Engagement'!$A197)</f>
        <v>0</v>
      </c>
      <c r="N197">
        <f>COUNTIFS(Visits!$V:$V,'New Dashboard'!$A$25,Visits!$E:$E,'User Engagement'!$A197)</f>
        <v>0</v>
      </c>
      <c r="O197">
        <f t="shared" si="19"/>
        <v>1</v>
      </c>
      <c r="P197">
        <f t="shared" si="20"/>
        <v>0</v>
      </c>
      <c r="Q197">
        <f t="shared" si="20"/>
        <v>0</v>
      </c>
      <c r="R197">
        <f t="shared" si="21"/>
        <v>0</v>
      </c>
      <c r="S197" s="5">
        <f>SUMIF(Visits!$E$2:$E$89,'User Engagement'!$A197,Visits!$L$2:$L$89)</f>
        <v>0</v>
      </c>
      <c r="T197" s="5">
        <f>SUMIFS(Visits!$L$2:$L$89,Visits!$E$2:$E$89,'User Engagement'!$A197,Visits!$U$2:$U$89,"&gt;3/28/24")</f>
        <v>0</v>
      </c>
      <c r="U197" s="19" t="e">
        <f t="shared" si="22"/>
        <v>#DIV/0!</v>
      </c>
      <c r="V197" s="19" t="str">
        <f t="shared" si="23"/>
        <v>n/a</v>
      </c>
    </row>
    <row r="198" spans="1:22" ht="16" x14ac:dyDescent="0.2">
      <c r="A198">
        <f>Users!A196</f>
        <v>0</v>
      </c>
      <c r="B198" s="29" t="e">
        <f>VLOOKUP(A198,Users!A:D,2,FALSE)</f>
        <v>#N/A</v>
      </c>
      <c r="C198" s="29" t="e">
        <f>VLOOKUP(A198,Users!A:D,3,FALSE)</f>
        <v>#N/A</v>
      </c>
      <c r="F198" s="1" cm="1">
        <f t="array" ref="F198">MAX(_xlfn._xlws.FILTER(Visits!U:U,Visits!E:E='User Engagement'!A198))</f>
        <v>0</v>
      </c>
      <c r="G198">
        <f>COUNTIF(Visits!$E$2:$E$995,'User Engagement'!$A198)</f>
        <v>0</v>
      </c>
      <c r="H198">
        <f>COUNTIFS(Visits!$E$2:$E$995,'User Engagement'!$A199,Visits!$U$2:$U$995,"&gt;"&amp;($B$1-7))</f>
        <v>0</v>
      </c>
      <c r="I198">
        <f>COUNTIFS(Visits!$E$2:$E$995,'User Engagement'!$A198,Visits!$U$2:$U$995,"&gt;"&amp;($B$1-30))</f>
        <v>0</v>
      </c>
      <c r="J198">
        <f>COUNTIFS(Visits!$E$2:$E$995,$A198,Visits!$U$2:$U$995,"&gt;"&amp;($B$1-60))-I198</f>
        <v>0</v>
      </c>
      <c r="K198">
        <f>COUNTIFS(Visits!$V:$V,'New Dashboard'!$A$22,Visits!$E:$E,'User Engagement'!$A198)</f>
        <v>0</v>
      </c>
      <c r="L198">
        <f>COUNTIFS(Visits!$V:$V,'New Dashboard'!$A$23,Visits!$E:$E,'User Engagement'!$A198)</f>
        <v>0</v>
      </c>
      <c r="M198">
        <f>COUNTIFS(Visits!$V:$V,'New Dashboard'!$A$24,Visits!$E:$E,'User Engagement'!$A198)</f>
        <v>0</v>
      </c>
      <c r="N198">
        <f>COUNTIFS(Visits!$V:$V,'New Dashboard'!$A$25,Visits!$E:$E,'User Engagement'!$A198)</f>
        <v>0</v>
      </c>
      <c r="O198">
        <f t="shared" si="19"/>
        <v>1</v>
      </c>
      <c r="P198">
        <f t="shared" si="20"/>
        <v>0</v>
      </c>
      <c r="Q198">
        <f t="shared" si="20"/>
        <v>0</v>
      </c>
      <c r="R198">
        <f t="shared" si="21"/>
        <v>0</v>
      </c>
      <c r="S198" s="5">
        <f>SUMIF(Visits!$E$2:$E$89,'User Engagement'!$A198,Visits!$L$2:$L$89)</f>
        <v>0</v>
      </c>
      <c r="T198" s="5">
        <f>SUMIFS(Visits!$L$2:$L$89,Visits!$E$2:$E$89,'User Engagement'!$A198,Visits!$U$2:$U$89,"&gt;3/28/24")</f>
        <v>0</v>
      </c>
      <c r="U198" s="19" t="e">
        <f t="shared" si="22"/>
        <v>#DIV/0!</v>
      </c>
      <c r="V198" s="19" t="str">
        <f t="shared" si="23"/>
        <v>n/a</v>
      </c>
    </row>
    <row r="199" spans="1:22" ht="16" x14ac:dyDescent="0.2">
      <c r="A199">
        <f>Users!A197</f>
        <v>0</v>
      </c>
      <c r="B199" s="29" t="e">
        <f>VLOOKUP(A199,Users!A:D,2,FALSE)</f>
        <v>#N/A</v>
      </c>
      <c r="C199" s="29" t="e">
        <f>VLOOKUP(A199,Users!A:D,3,FALSE)</f>
        <v>#N/A</v>
      </c>
      <c r="F199" s="1" cm="1">
        <f t="array" ref="F199">MAX(_xlfn._xlws.FILTER(Visits!U:U,Visits!E:E='User Engagement'!A199))</f>
        <v>0</v>
      </c>
      <c r="G199">
        <f>COUNTIF(Visits!$E$2:$E$995,'User Engagement'!$A199)</f>
        <v>0</v>
      </c>
      <c r="H199">
        <f>COUNTIFS(Visits!$E$2:$E$995,'User Engagement'!$A200,Visits!$U$2:$U$995,"&gt;"&amp;($B$1-7))</f>
        <v>0</v>
      </c>
      <c r="I199">
        <f>COUNTIFS(Visits!$E$2:$E$995,'User Engagement'!$A199,Visits!$U$2:$U$995,"&gt;"&amp;($B$1-30))</f>
        <v>0</v>
      </c>
      <c r="J199">
        <f>COUNTIFS(Visits!$E$2:$E$995,$A199,Visits!$U$2:$U$995,"&gt;"&amp;($B$1-60))-I199</f>
        <v>0</v>
      </c>
      <c r="K199">
        <f>COUNTIFS(Visits!$V:$V,'New Dashboard'!$A$22,Visits!$E:$E,'User Engagement'!$A199)</f>
        <v>0</v>
      </c>
      <c r="L199">
        <f>COUNTIFS(Visits!$V:$V,'New Dashboard'!$A$23,Visits!$E:$E,'User Engagement'!$A199)</f>
        <v>0</v>
      </c>
      <c r="M199">
        <f>COUNTIFS(Visits!$V:$V,'New Dashboard'!$A$24,Visits!$E:$E,'User Engagement'!$A199)</f>
        <v>0</v>
      </c>
      <c r="N199">
        <f>COUNTIFS(Visits!$V:$V,'New Dashboard'!$A$25,Visits!$E:$E,'User Engagement'!$A199)</f>
        <v>0</v>
      </c>
      <c r="O199">
        <f t="shared" si="19"/>
        <v>1</v>
      </c>
      <c r="P199">
        <f t="shared" si="20"/>
        <v>0</v>
      </c>
      <c r="Q199">
        <f t="shared" si="20"/>
        <v>0</v>
      </c>
      <c r="R199">
        <f t="shared" si="21"/>
        <v>0</v>
      </c>
      <c r="S199" s="5">
        <f>SUMIF(Visits!$E$2:$E$89,'User Engagement'!$A199,Visits!$L$2:$L$89)</f>
        <v>0</v>
      </c>
      <c r="T199" s="5">
        <f>SUMIFS(Visits!$L$2:$L$89,Visits!$E$2:$E$89,'User Engagement'!$A199,Visits!$U$2:$U$89,"&gt;3/28/24")</f>
        <v>0</v>
      </c>
      <c r="U199" s="19" t="e">
        <f t="shared" si="22"/>
        <v>#DIV/0!</v>
      </c>
      <c r="V199" s="19" t="str">
        <f t="shared" si="23"/>
        <v>n/a</v>
      </c>
    </row>
    <row r="200" spans="1:22" ht="16" x14ac:dyDescent="0.2">
      <c r="A200">
        <f>Users!A198</f>
        <v>0</v>
      </c>
      <c r="B200" s="29" t="e">
        <f>VLOOKUP(A200,Users!A:D,2,FALSE)</f>
        <v>#N/A</v>
      </c>
      <c r="C200" s="29" t="e">
        <f>VLOOKUP(A200,Users!A:D,3,FALSE)</f>
        <v>#N/A</v>
      </c>
      <c r="F200" s="1" cm="1">
        <f t="array" ref="F200">MAX(_xlfn._xlws.FILTER(Visits!U:U,Visits!E:E='User Engagement'!A200))</f>
        <v>0</v>
      </c>
      <c r="G200">
        <f>COUNTIF(Visits!$E$2:$E$995,'User Engagement'!$A200)</f>
        <v>0</v>
      </c>
      <c r="H200">
        <f>COUNTIFS(Visits!$E$2:$E$995,'User Engagement'!$A201,Visits!$U$2:$U$995,"&gt;"&amp;($B$1-7))</f>
        <v>0</v>
      </c>
      <c r="I200">
        <f>COUNTIFS(Visits!$E$2:$E$995,'User Engagement'!$A200,Visits!$U$2:$U$995,"&gt;"&amp;($B$1-30))</f>
        <v>0</v>
      </c>
      <c r="J200">
        <f>COUNTIFS(Visits!$E$2:$E$995,$A200,Visits!$U$2:$U$995,"&gt;"&amp;($B$1-60))-I200</f>
        <v>0</v>
      </c>
      <c r="K200">
        <f>COUNTIFS(Visits!$V:$V,'New Dashboard'!$A$22,Visits!$E:$E,'User Engagement'!$A200)</f>
        <v>0</v>
      </c>
      <c r="L200">
        <f>COUNTIFS(Visits!$V:$V,'New Dashboard'!$A$23,Visits!$E:$E,'User Engagement'!$A200)</f>
        <v>0</v>
      </c>
      <c r="M200">
        <f>COUNTIFS(Visits!$V:$V,'New Dashboard'!$A$24,Visits!$E:$E,'User Engagement'!$A200)</f>
        <v>0</v>
      </c>
      <c r="N200">
        <f>COUNTIFS(Visits!$V:$V,'New Dashboard'!$A$25,Visits!$E:$E,'User Engagement'!$A200)</f>
        <v>0</v>
      </c>
      <c r="O200">
        <f t="shared" si="19"/>
        <v>1</v>
      </c>
      <c r="P200">
        <f t="shared" si="20"/>
        <v>0</v>
      </c>
      <c r="Q200">
        <f t="shared" si="20"/>
        <v>0</v>
      </c>
      <c r="R200">
        <f t="shared" si="21"/>
        <v>0</v>
      </c>
      <c r="S200" s="5">
        <f>SUMIF(Visits!$E$2:$E$89,'User Engagement'!$A200,Visits!$L$2:$L$89)</f>
        <v>0</v>
      </c>
      <c r="T200" s="5">
        <f>SUMIFS(Visits!$L$2:$L$89,Visits!$E$2:$E$89,'User Engagement'!$A200,Visits!$U$2:$U$89,"&gt;3/28/24")</f>
        <v>0</v>
      </c>
      <c r="U200" s="19" t="e">
        <f t="shared" si="22"/>
        <v>#DIV/0!</v>
      </c>
      <c r="V200" s="19" t="str">
        <f t="shared" si="23"/>
        <v>n/a</v>
      </c>
    </row>
    <row r="201" spans="1:22" ht="16" x14ac:dyDescent="0.2">
      <c r="A201">
        <f>Users!A199</f>
        <v>0</v>
      </c>
      <c r="B201" s="29" t="e">
        <f>VLOOKUP(A201,Users!A:D,2,FALSE)</f>
        <v>#N/A</v>
      </c>
      <c r="C201" s="29" t="e">
        <f>VLOOKUP(A201,Users!A:D,3,FALSE)</f>
        <v>#N/A</v>
      </c>
      <c r="F201" s="1" cm="1">
        <f t="array" ref="F201">MAX(_xlfn._xlws.FILTER(Visits!U:U,Visits!E:E='User Engagement'!A201))</f>
        <v>0</v>
      </c>
      <c r="G201">
        <f>COUNTIF(Visits!$E$2:$E$995,'User Engagement'!$A201)</f>
        <v>0</v>
      </c>
      <c r="H201">
        <f>COUNTIFS(Visits!$E$2:$E$995,'User Engagement'!$A202,Visits!$U$2:$U$995,"&gt;"&amp;($B$1-7))</f>
        <v>0</v>
      </c>
      <c r="I201">
        <f>COUNTIFS(Visits!$E$2:$E$995,'User Engagement'!$A201,Visits!$U$2:$U$995,"&gt;"&amp;($B$1-30))</f>
        <v>0</v>
      </c>
      <c r="J201">
        <f>COUNTIFS(Visits!$E$2:$E$995,$A201,Visits!$U$2:$U$995,"&gt;"&amp;($B$1-60))-I201</f>
        <v>0</v>
      </c>
      <c r="K201">
        <f>COUNTIFS(Visits!$V:$V,'New Dashboard'!$A$22,Visits!$E:$E,'User Engagement'!$A201)</f>
        <v>0</v>
      </c>
      <c r="L201">
        <f>COUNTIFS(Visits!$V:$V,'New Dashboard'!$A$23,Visits!$E:$E,'User Engagement'!$A201)</f>
        <v>0</v>
      </c>
      <c r="M201">
        <f>COUNTIFS(Visits!$V:$V,'New Dashboard'!$A$24,Visits!$E:$E,'User Engagement'!$A201)</f>
        <v>0</v>
      </c>
      <c r="N201">
        <f>COUNTIFS(Visits!$V:$V,'New Dashboard'!$A$25,Visits!$E:$E,'User Engagement'!$A201)</f>
        <v>0</v>
      </c>
      <c r="O201">
        <f t="shared" si="19"/>
        <v>1</v>
      </c>
      <c r="P201">
        <f t="shared" si="20"/>
        <v>0</v>
      </c>
      <c r="Q201">
        <f t="shared" si="20"/>
        <v>0</v>
      </c>
      <c r="R201">
        <f t="shared" si="21"/>
        <v>0</v>
      </c>
      <c r="S201" s="5">
        <f>SUMIF(Visits!$E$2:$E$89,'User Engagement'!$A201,Visits!$L$2:$L$89)</f>
        <v>0</v>
      </c>
      <c r="T201" s="5">
        <f>SUMIFS(Visits!$L$2:$L$89,Visits!$E$2:$E$89,'User Engagement'!$A201,Visits!$U$2:$U$89,"&gt;3/28/24")</f>
        <v>0</v>
      </c>
      <c r="U201" s="19" t="e">
        <f t="shared" si="22"/>
        <v>#DIV/0!</v>
      </c>
      <c r="V201" s="19" t="str">
        <f t="shared" si="23"/>
        <v>n/a</v>
      </c>
    </row>
    <row r="202" spans="1:22" ht="16" x14ac:dyDescent="0.2">
      <c r="A202">
        <f>Users!A200</f>
        <v>0</v>
      </c>
      <c r="B202" s="29" t="e">
        <f>VLOOKUP(A202,Users!A:D,2,FALSE)</f>
        <v>#N/A</v>
      </c>
      <c r="C202" s="29" t="e">
        <f>VLOOKUP(A202,Users!A:D,3,FALSE)</f>
        <v>#N/A</v>
      </c>
      <c r="F202" s="1" cm="1">
        <f t="array" ref="F202">MAX(_xlfn._xlws.FILTER(Visits!U:U,Visits!E:E='User Engagement'!A202))</f>
        <v>0</v>
      </c>
      <c r="G202">
        <f>COUNTIF(Visits!$E$2:$E$995,'User Engagement'!$A202)</f>
        <v>0</v>
      </c>
      <c r="H202">
        <f>COUNTIFS(Visits!$E$2:$E$995,'User Engagement'!$A203,Visits!$U$2:$U$995,"&gt;"&amp;($B$1-7))</f>
        <v>0</v>
      </c>
      <c r="I202">
        <f>COUNTIFS(Visits!$E$2:$E$995,'User Engagement'!$A202,Visits!$U$2:$U$995,"&gt;"&amp;($B$1-30))</f>
        <v>0</v>
      </c>
      <c r="J202">
        <f>COUNTIFS(Visits!$E$2:$E$995,$A202,Visits!$U$2:$U$995,"&gt;"&amp;($B$1-60))-I202</f>
        <v>0</v>
      </c>
      <c r="K202">
        <f>COUNTIFS(Visits!$V:$V,'New Dashboard'!$A$22,Visits!$E:$E,'User Engagement'!$A202)</f>
        <v>0</v>
      </c>
      <c r="L202">
        <f>COUNTIFS(Visits!$V:$V,'New Dashboard'!$A$23,Visits!$E:$E,'User Engagement'!$A202)</f>
        <v>0</v>
      </c>
      <c r="M202">
        <f>COUNTIFS(Visits!$V:$V,'New Dashboard'!$A$24,Visits!$E:$E,'User Engagement'!$A202)</f>
        <v>0</v>
      </c>
      <c r="N202">
        <f>COUNTIFS(Visits!$V:$V,'New Dashboard'!$A$25,Visits!$E:$E,'User Engagement'!$A202)</f>
        <v>0</v>
      </c>
      <c r="O202">
        <f t="shared" ref="O202:O265" si="24">IF(G202-H202=0,1,0)</f>
        <v>1</v>
      </c>
      <c r="P202">
        <f t="shared" ref="P202:Q265" si="25">IF(I202&gt;0,1,0)</f>
        <v>0</v>
      </c>
      <c r="Q202">
        <f t="shared" si="25"/>
        <v>0</v>
      </c>
      <c r="R202">
        <f t="shared" si="21"/>
        <v>0</v>
      </c>
      <c r="S202" s="5">
        <f>SUMIF(Visits!$E$2:$E$89,'User Engagement'!$A202,Visits!$L$2:$L$89)</f>
        <v>0</v>
      </c>
      <c r="T202" s="5">
        <f>SUMIFS(Visits!$L$2:$L$89,Visits!$E$2:$E$89,'User Engagement'!$A202,Visits!$U$2:$U$89,"&gt;3/28/24")</f>
        <v>0</v>
      </c>
      <c r="U202" s="19" t="e">
        <f t="shared" si="22"/>
        <v>#DIV/0!</v>
      </c>
      <c r="V202" s="19" t="str">
        <f t="shared" si="23"/>
        <v>n/a</v>
      </c>
    </row>
    <row r="203" spans="1:22" ht="16" x14ac:dyDescent="0.2">
      <c r="A203">
        <f>Users!A201</f>
        <v>0</v>
      </c>
      <c r="B203" s="29" t="e">
        <f>VLOOKUP(A203,Users!A:D,2,FALSE)</f>
        <v>#N/A</v>
      </c>
      <c r="C203" s="29" t="e">
        <f>VLOOKUP(A203,Users!A:D,3,FALSE)</f>
        <v>#N/A</v>
      </c>
      <c r="F203" s="1" cm="1">
        <f t="array" ref="F203">MAX(_xlfn._xlws.FILTER(Visits!U:U,Visits!E:E='User Engagement'!A203))</f>
        <v>0</v>
      </c>
      <c r="G203">
        <f>COUNTIF(Visits!$E$2:$E$995,'User Engagement'!$A203)</f>
        <v>0</v>
      </c>
      <c r="H203">
        <f>COUNTIFS(Visits!$E$2:$E$995,'User Engagement'!$A204,Visits!$U$2:$U$995,"&gt;"&amp;($B$1-7))</f>
        <v>0</v>
      </c>
      <c r="I203">
        <f>COUNTIFS(Visits!$E$2:$E$995,'User Engagement'!$A203,Visits!$U$2:$U$995,"&gt;"&amp;($B$1-30))</f>
        <v>0</v>
      </c>
      <c r="J203">
        <f>COUNTIFS(Visits!$E$2:$E$995,$A203,Visits!$U$2:$U$995,"&gt;"&amp;($B$1-60))-I203</f>
        <v>0</v>
      </c>
      <c r="K203">
        <f>COUNTIFS(Visits!$V:$V,'New Dashboard'!$A$22,Visits!$E:$E,'User Engagement'!$A203)</f>
        <v>0</v>
      </c>
      <c r="L203">
        <f>COUNTIFS(Visits!$V:$V,'New Dashboard'!$A$23,Visits!$E:$E,'User Engagement'!$A203)</f>
        <v>0</v>
      </c>
      <c r="M203">
        <f>COUNTIFS(Visits!$V:$V,'New Dashboard'!$A$24,Visits!$E:$E,'User Engagement'!$A203)</f>
        <v>0</v>
      </c>
      <c r="N203">
        <f>COUNTIFS(Visits!$V:$V,'New Dashboard'!$A$25,Visits!$E:$E,'User Engagement'!$A203)</f>
        <v>0</v>
      </c>
      <c r="O203">
        <f t="shared" si="24"/>
        <v>1</v>
      </c>
      <c r="P203">
        <f t="shared" si="25"/>
        <v>0</v>
      </c>
      <c r="Q203">
        <f t="shared" si="25"/>
        <v>0</v>
      </c>
      <c r="R203">
        <f t="shared" si="21"/>
        <v>0</v>
      </c>
      <c r="S203" s="5">
        <f>SUMIF(Visits!$E$2:$E$89,'User Engagement'!$A203,Visits!$L$2:$L$89)</f>
        <v>0</v>
      </c>
      <c r="T203" s="5">
        <f>SUMIFS(Visits!$L$2:$L$89,Visits!$E$2:$E$89,'User Engagement'!$A203,Visits!$U$2:$U$89,"&gt;3/28/24")</f>
        <v>0</v>
      </c>
      <c r="U203" s="19" t="e">
        <f t="shared" si="22"/>
        <v>#DIV/0!</v>
      </c>
      <c r="V203" s="19" t="str">
        <f t="shared" si="23"/>
        <v>n/a</v>
      </c>
    </row>
    <row r="204" spans="1:22" ht="16" x14ac:dyDescent="0.2">
      <c r="A204">
        <f>Users!A202</f>
        <v>0</v>
      </c>
      <c r="B204" s="29" t="e">
        <f>VLOOKUP(A204,Users!A:D,2,FALSE)</f>
        <v>#N/A</v>
      </c>
      <c r="C204" s="29" t="e">
        <f>VLOOKUP(A204,Users!A:D,3,FALSE)</f>
        <v>#N/A</v>
      </c>
      <c r="F204" s="1" cm="1">
        <f t="array" ref="F204">MAX(_xlfn._xlws.FILTER(Visits!U:U,Visits!E:E='User Engagement'!A204))</f>
        <v>0</v>
      </c>
      <c r="G204">
        <f>COUNTIF(Visits!$E$2:$E$995,'User Engagement'!$A204)</f>
        <v>0</v>
      </c>
      <c r="H204">
        <f>COUNTIFS(Visits!$E$2:$E$995,'User Engagement'!$A205,Visits!$U$2:$U$995,"&gt;"&amp;($B$1-7))</f>
        <v>0</v>
      </c>
      <c r="I204">
        <f>COUNTIFS(Visits!$E$2:$E$995,'User Engagement'!$A204,Visits!$U$2:$U$995,"&gt;"&amp;($B$1-30))</f>
        <v>0</v>
      </c>
      <c r="J204">
        <f>COUNTIFS(Visits!$E$2:$E$995,$A204,Visits!$U$2:$U$995,"&gt;"&amp;($B$1-60))-I204</f>
        <v>0</v>
      </c>
      <c r="K204">
        <f>COUNTIFS(Visits!$V:$V,'New Dashboard'!$A$22,Visits!$E:$E,'User Engagement'!$A204)</f>
        <v>0</v>
      </c>
      <c r="L204">
        <f>COUNTIFS(Visits!$V:$V,'New Dashboard'!$A$23,Visits!$E:$E,'User Engagement'!$A204)</f>
        <v>0</v>
      </c>
      <c r="M204">
        <f>COUNTIFS(Visits!$V:$V,'New Dashboard'!$A$24,Visits!$E:$E,'User Engagement'!$A204)</f>
        <v>0</v>
      </c>
      <c r="N204">
        <f>COUNTIFS(Visits!$V:$V,'New Dashboard'!$A$25,Visits!$E:$E,'User Engagement'!$A204)</f>
        <v>0</v>
      </c>
      <c r="O204">
        <f t="shared" si="24"/>
        <v>1</v>
      </c>
      <c r="P204">
        <f t="shared" si="25"/>
        <v>0</v>
      </c>
      <c r="Q204">
        <f t="shared" si="25"/>
        <v>0</v>
      </c>
      <c r="R204">
        <f t="shared" si="21"/>
        <v>0</v>
      </c>
      <c r="S204" s="5">
        <f>SUMIF(Visits!$E$2:$E$89,'User Engagement'!$A204,Visits!$L$2:$L$89)</f>
        <v>0</v>
      </c>
      <c r="T204" s="5">
        <f>SUMIFS(Visits!$L$2:$L$89,Visits!$E$2:$E$89,'User Engagement'!$A204,Visits!$U$2:$U$89,"&gt;3/28/24")</f>
        <v>0</v>
      </c>
      <c r="U204" s="19" t="e">
        <f t="shared" si="22"/>
        <v>#DIV/0!</v>
      </c>
      <c r="V204" s="19" t="str">
        <f t="shared" si="23"/>
        <v>n/a</v>
      </c>
    </row>
    <row r="205" spans="1:22" ht="16" x14ac:dyDescent="0.2">
      <c r="A205">
        <f>Users!A203</f>
        <v>0</v>
      </c>
      <c r="B205" s="29" t="e">
        <f>VLOOKUP(A205,Users!A:D,2,FALSE)</f>
        <v>#N/A</v>
      </c>
      <c r="C205" s="29" t="e">
        <f>VLOOKUP(A205,Users!A:D,3,FALSE)</f>
        <v>#N/A</v>
      </c>
      <c r="F205" s="1" cm="1">
        <f t="array" ref="F205">MAX(_xlfn._xlws.FILTER(Visits!U:U,Visits!E:E='User Engagement'!A205))</f>
        <v>0</v>
      </c>
      <c r="G205">
        <f>COUNTIF(Visits!$E$2:$E$995,'User Engagement'!$A205)</f>
        <v>0</v>
      </c>
      <c r="H205">
        <f>COUNTIFS(Visits!$E$2:$E$995,'User Engagement'!$A206,Visits!$U$2:$U$995,"&gt;"&amp;($B$1-7))</f>
        <v>0</v>
      </c>
      <c r="I205">
        <f>COUNTIFS(Visits!$E$2:$E$995,'User Engagement'!$A205,Visits!$U$2:$U$995,"&gt;"&amp;($B$1-30))</f>
        <v>0</v>
      </c>
      <c r="J205">
        <f>COUNTIFS(Visits!$E$2:$E$995,$A205,Visits!$U$2:$U$995,"&gt;"&amp;($B$1-60))-I205</f>
        <v>0</v>
      </c>
      <c r="K205">
        <f>COUNTIFS(Visits!$V:$V,'New Dashboard'!$A$22,Visits!$E:$E,'User Engagement'!$A205)</f>
        <v>0</v>
      </c>
      <c r="L205">
        <f>COUNTIFS(Visits!$V:$V,'New Dashboard'!$A$23,Visits!$E:$E,'User Engagement'!$A205)</f>
        <v>0</v>
      </c>
      <c r="M205">
        <f>COUNTIFS(Visits!$V:$V,'New Dashboard'!$A$24,Visits!$E:$E,'User Engagement'!$A205)</f>
        <v>0</v>
      </c>
      <c r="N205">
        <f>COUNTIFS(Visits!$V:$V,'New Dashboard'!$A$25,Visits!$E:$E,'User Engagement'!$A205)</f>
        <v>0</v>
      </c>
      <c r="O205">
        <f t="shared" si="24"/>
        <v>1</v>
      </c>
      <c r="P205">
        <f t="shared" si="25"/>
        <v>0</v>
      </c>
      <c r="Q205">
        <f t="shared" si="25"/>
        <v>0</v>
      </c>
      <c r="R205">
        <f t="shared" si="21"/>
        <v>0</v>
      </c>
      <c r="S205" s="5">
        <f>SUMIF(Visits!$E$2:$E$89,'User Engagement'!$A205,Visits!$L$2:$L$89)</f>
        <v>0</v>
      </c>
      <c r="T205" s="5">
        <f>SUMIFS(Visits!$L$2:$L$89,Visits!$E$2:$E$89,'User Engagement'!$A205,Visits!$U$2:$U$89,"&gt;3/28/24")</f>
        <v>0</v>
      </c>
      <c r="U205" s="19" t="e">
        <f t="shared" si="22"/>
        <v>#DIV/0!</v>
      </c>
      <c r="V205" s="19" t="str">
        <f t="shared" si="23"/>
        <v>n/a</v>
      </c>
    </row>
    <row r="206" spans="1:22" ht="16" x14ac:dyDescent="0.2">
      <c r="A206">
        <f>Users!A204</f>
        <v>0</v>
      </c>
      <c r="B206" s="29" t="e">
        <f>VLOOKUP(A206,Users!A:D,2,FALSE)</f>
        <v>#N/A</v>
      </c>
      <c r="C206" s="29" t="e">
        <f>VLOOKUP(A206,Users!A:D,3,FALSE)</f>
        <v>#N/A</v>
      </c>
      <c r="F206" s="1" cm="1">
        <f t="array" ref="F206">MAX(_xlfn._xlws.FILTER(Visits!U:U,Visits!E:E='User Engagement'!A206))</f>
        <v>0</v>
      </c>
      <c r="G206">
        <f>COUNTIF(Visits!$E$2:$E$995,'User Engagement'!$A206)</f>
        <v>0</v>
      </c>
      <c r="H206">
        <f>COUNTIFS(Visits!$E$2:$E$995,'User Engagement'!$A207,Visits!$U$2:$U$995,"&gt;"&amp;($B$1-7))</f>
        <v>0</v>
      </c>
      <c r="I206">
        <f>COUNTIFS(Visits!$E$2:$E$995,'User Engagement'!$A206,Visits!$U$2:$U$995,"&gt;"&amp;($B$1-30))</f>
        <v>0</v>
      </c>
      <c r="J206">
        <f>COUNTIFS(Visits!$E$2:$E$995,$A206,Visits!$U$2:$U$995,"&gt;"&amp;($B$1-60))-I206</f>
        <v>0</v>
      </c>
      <c r="K206">
        <f>COUNTIFS(Visits!$V:$V,'New Dashboard'!$A$22,Visits!$E:$E,'User Engagement'!$A206)</f>
        <v>0</v>
      </c>
      <c r="L206">
        <f>COUNTIFS(Visits!$V:$V,'New Dashboard'!$A$23,Visits!$E:$E,'User Engagement'!$A206)</f>
        <v>0</v>
      </c>
      <c r="M206">
        <f>COUNTIFS(Visits!$V:$V,'New Dashboard'!$A$24,Visits!$E:$E,'User Engagement'!$A206)</f>
        <v>0</v>
      </c>
      <c r="N206">
        <f>COUNTIFS(Visits!$V:$V,'New Dashboard'!$A$25,Visits!$E:$E,'User Engagement'!$A206)</f>
        <v>0</v>
      </c>
      <c r="O206">
        <f t="shared" si="24"/>
        <v>1</v>
      </c>
      <c r="P206">
        <f t="shared" si="25"/>
        <v>0</v>
      </c>
      <c r="Q206">
        <f t="shared" si="25"/>
        <v>0</v>
      </c>
      <c r="R206">
        <f t="shared" si="21"/>
        <v>0</v>
      </c>
      <c r="S206" s="5">
        <f>SUMIF(Visits!$E$2:$E$89,'User Engagement'!$A206,Visits!$L$2:$L$89)</f>
        <v>0</v>
      </c>
      <c r="T206" s="5">
        <f>SUMIFS(Visits!$L$2:$L$89,Visits!$E$2:$E$89,'User Engagement'!$A206,Visits!$U$2:$U$89,"&gt;3/28/24")</f>
        <v>0</v>
      </c>
      <c r="U206" s="19" t="e">
        <f t="shared" si="22"/>
        <v>#DIV/0!</v>
      </c>
      <c r="V206" s="19" t="str">
        <f t="shared" si="23"/>
        <v>n/a</v>
      </c>
    </row>
    <row r="207" spans="1:22" ht="16" x14ac:dyDescent="0.2">
      <c r="A207">
        <f>Users!A205</f>
        <v>0</v>
      </c>
      <c r="B207" s="29" t="e">
        <f>VLOOKUP(A207,Users!A:D,2,FALSE)</f>
        <v>#N/A</v>
      </c>
      <c r="C207" s="29" t="e">
        <f>VLOOKUP(A207,Users!A:D,3,FALSE)</f>
        <v>#N/A</v>
      </c>
      <c r="F207" s="1" cm="1">
        <f t="array" ref="F207">MAX(_xlfn._xlws.FILTER(Visits!U:U,Visits!E:E='User Engagement'!A207))</f>
        <v>0</v>
      </c>
      <c r="G207">
        <f>COUNTIF(Visits!$E$2:$E$995,'User Engagement'!$A207)</f>
        <v>0</v>
      </c>
      <c r="H207">
        <f>COUNTIFS(Visits!$E$2:$E$995,'User Engagement'!$A208,Visits!$U$2:$U$995,"&gt;"&amp;($B$1-7))</f>
        <v>0</v>
      </c>
      <c r="I207">
        <f>COUNTIFS(Visits!$E$2:$E$995,'User Engagement'!$A207,Visits!$U$2:$U$995,"&gt;"&amp;($B$1-30))</f>
        <v>0</v>
      </c>
      <c r="J207">
        <f>COUNTIFS(Visits!$E$2:$E$995,$A207,Visits!$U$2:$U$995,"&gt;"&amp;($B$1-60))-I207</f>
        <v>0</v>
      </c>
      <c r="K207">
        <f>COUNTIFS(Visits!$V:$V,'New Dashboard'!$A$22,Visits!$E:$E,'User Engagement'!$A207)</f>
        <v>0</v>
      </c>
      <c r="L207">
        <f>COUNTIFS(Visits!$V:$V,'New Dashboard'!$A$23,Visits!$E:$E,'User Engagement'!$A207)</f>
        <v>0</v>
      </c>
      <c r="M207">
        <f>COUNTIFS(Visits!$V:$V,'New Dashboard'!$A$24,Visits!$E:$E,'User Engagement'!$A207)</f>
        <v>0</v>
      </c>
      <c r="N207">
        <f>COUNTIFS(Visits!$V:$V,'New Dashboard'!$A$25,Visits!$E:$E,'User Engagement'!$A207)</f>
        <v>0</v>
      </c>
      <c r="O207">
        <f t="shared" si="24"/>
        <v>1</v>
      </c>
      <c r="P207">
        <f t="shared" si="25"/>
        <v>0</v>
      </c>
      <c r="Q207">
        <f t="shared" si="25"/>
        <v>0</v>
      </c>
      <c r="R207">
        <f t="shared" si="21"/>
        <v>0</v>
      </c>
      <c r="S207" s="5">
        <f>SUMIF(Visits!$E$2:$E$89,'User Engagement'!$A207,Visits!$L$2:$L$89)</f>
        <v>0</v>
      </c>
      <c r="T207" s="5">
        <f>SUMIFS(Visits!$L$2:$L$89,Visits!$E$2:$E$89,'User Engagement'!$A207,Visits!$U$2:$U$89,"&gt;3/28/24")</f>
        <v>0</v>
      </c>
      <c r="U207" s="19" t="e">
        <f t="shared" si="22"/>
        <v>#DIV/0!</v>
      </c>
      <c r="V207" s="19" t="str">
        <f t="shared" si="23"/>
        <v>n/a</v>
      </c>
    </row>
    <row r="208" spans="1:22" ht="16" x14ac:dyDescent="0.2">
      <c r="A208">
        <f>Users!A206</f>
        <v>0</v>
      </c>
      <c r="B208" s="29" t="e">
        <f>VLOOKUP(A208,Users!A:D,2,FALSE)</f>
        <v>#N/A</v>
      </c>
      <c r="C208" s="29" t="e">
        <f>VLOOKUP(A208,Users!A:D,3,FALSE)</f>
        <v>#N/A</v>
      </c>
      <c r="F208" s="1" cm="1">
        <f t="array" ref="F208">MAX(_xlfn._xlws.FILTER(Visits!U:U,Visits!E:E='User Engagement'!A208))</f>
        <v>0</v>
      </c>
      <c r="G208">
        <f>COUNTIF(Visits!$E$2:$E$995,'User Engagement'!$A208)</f>
        <v>0</v>
      </c>
      <c r="H208">
        <f>COUNTIFS(Visits!$E$2:$E$995,'User Engagement'!$A209,Visits!$U$2:$U$995,"&gt;"&amp;($B$1-7))</f>
        <v>0</v>
      </c>
      <c r="I208">
        <f>COUNTIFS(Visits!$E$2:$E$995,'User Engagement'!$A208,Visits!$U$2:$U$995,"&gt;"&amp;($B$1-30))</f>
        <v>0</v>
      </c>
      <c r="J208">
        <f>COUNTIFS(Visits!$E$2:$E$995,$A208,Visits!$U$2:$U$995,"&gt;"&amp;($B$1-60))-I208</f>
        <v>0</v>
      </c>
      <c r="K208">
        <f>COUNTIFS(Visits!$V:$V,'New Dashboard'!$A$22,Visits!$E:$E,'User Engagement'!$A208)</f>
        <v>0</v>
      </c>
      <c r="L208">
        <f>COUNTIFS(Visits!$V:$V,'New Dashboard'!$A$23,Visits!$E:$E,'User Engagement'!$A208)</f>
        <v>0</v>
      </c>
      <c r="M208">
        <f>COUNTIFS(Visits!$V:$V,'New Dashboard'!$A$24,Visits!$E:$E,'User Engagement'!$A208)</f>
        <v>0</v>
      </c>
      <c r="N208">
        <f>COUNTIFS(Visits!$V:$V,'New Dashboard'!$A$25,Visits!$E:$E,'User Engagement'!$A208)</f>
        <v>0</v>
      </c>
      <c r="O208">
        <f t="shared" si="24"/>
        <v>1</v>
      </c>
      <c r="P208">
        <f t="shared" si="25"/>
        <v>0</v>
      </c>
      <c r="Q208">
        <f t="shared" si="25"/>
        <v>0</v>
      </c>
      <c r="R208">
        <f t="shared" si="21"/>
        <v>0</v>
      </c>
      <c r="S208" s="5">
        <f>SUMIF(Visits!$E$2:$E$89,'User Engagement'!$A208,Visits!$L$2:$L$89)</f>
        <v>0</v>
      </c>
      <c r="T208" s="5">
        <f>SUMIFS(Visits!$L$2:$L$89,Visits!$E$2:$E$89,'User Engagement'!$A208,Visits!$U$2:$U$89,"&gt;3/28/24")</f>
        <v>0</v>
      </c>
      <c r="U208" s="19" t="e">
        <f t="shared" si="22"/>
        <v>#DIV/0!</v>
      </c>
      <c r="V208" s="19" t="str">
        <f t="shared" si="23"/>
        <v>n/a</v>
      </c>
    </row>
    <row r="209" spans="1:22" ht="16" x14ac:dyDescent="0.2">
      <c r="A209">
        <f>Users!A207</f>
        <v>0</v>
      </c>
      <c r="B209" s="29" t="e">
        <f>VLOOKUP(A209,Users!A:D,2,FALSE)</f>
        <v>#N/A</v>
      </c>
      <c r="C209" s="29" t="e">
        <f>VLOOKUP(A209,Users!A:D,3,FALSE)</f>
        <v>#N/A</v>
      </c>
      <c r="F209" s="1" cm="1">
        <f t="array" ref="F209">MAX(_xlfn._xlws.FILTER(Visits!U:U,Visits!E:E='User Engagement'!A209))</f>
        <v>0</v>
      </c>
      <c r="G209">
        <f>COUNTIF(Visits!$E$2:$E$995,'User Engagement'!$A209)</f>
        <v>0</v>
      </c>
      <c r="H209">
        <f>COUNTIFS(Visits!$E$2:$E$995,'User Engagement'!$A210,Visits!$U$2:$U$995,"&gt;"&amp;($B$1-7))</f>
        <v>0</v>
      </c>
      <c r="I209">
        <f>COUNTIFS(Visits!$E$2:$E$995,'User Engagement'!$A209,Visits!$U$2:$U$995,"&gt;"&amp;($B$1-30))</f>
        <v>0</v>
      </c>
      <c r="J209">
        <f>COUNTIFS(Visits!$E$2:$E$995,$A209,Visits!$U$2:$U$995,"&gt;"&amp;($B$1-60))-I209</f>
        <v>0</v>
      </c>
      <c r="K209">
        <f>COUNTIFS(Visits!$V:$V,'New Dashboard'!$A$22,Visits!$E:$E,'User Engagement'!$A209)</f>
        <v>0</v>
      </c>
      <c r="L209">
        <f>COUNTIFS(Visits!$V:$V,'New Dashboard'!$A$23,Visits!$E:$E,'User Engagement'!$A209)</f>
        <v>0</v>
      </c>
      <c r="M209">
        <f>COUNTIFS(Visits!$V:$V,'New Dashboard'!$A$24,Visits!$E:$E,'User Engagement'!$A209)</f>
        <v>0</v>
      </c>
      <c r="N209">
        <f>COUNTIFS(Visits!$V:$V,'New Dashboard'!$A$25,Visits!$E:$E,'User Engagement'!$A209)</f>
        <v>0</v>
      </c>
      <c r="O209">
        <f t="shared" si="24"/>
        <v>1</v>
      </c>
      <c r="P209">
        <f t="shared" si="25"/>
        <v>0</v>
      </c>
      <c r="Q209">
        <f t="shared" si="25"/>
        <v>0</v>
      </c>
      <c r="R209">
        <f t="shared" si="21"/>
        <v>0</v>
      </c>
      <c r="S209" s="5">
        <f>SUMIF(Visits!$E$2:$E$89,'User Engagement'!$A209,Visits!$L$2:$L$89)</f>
        <v>0</v>
      </c>
      <c r="T209" s="5">
        <f>SUMIFS(Visits!$L$2:$L$89,Visits!$E$2:$E$89,'User Engagement'!$A209,Visits!$U$2:$U$89,"&gt;3/28/24")</f>
        <v>0</v>
      </c>
      <c r="U209" s="19" t="e">
        <f t="shared" si="22"/>
        <v>#DIV/0!</v>
      </c>
      <c r="V209" s="19" t="str">
        <f t="shared" si="23"/>
        <v>n/a</v>
      </c>
    </row>
    <row r="210" spans="1:22" ht="16" x14ac:dyDescent="0.2">
      <c r="A210">
        <f>Users!A208</f>
        <v>0</v>
      </c>
      <c r="B210" s="29" t="e">
        <f>VLOOKUP(A210,Users!A:D,2,FALSE)</f>
        <v>#N/A</v>
      </c>
      <c r="C210" s="29" t="e">
        <f>VLOOKUP(A210,Users!A:D,3,FALSE)</f>
        <v>#N/A</v>
      </c>
      <c r="F210" s="1" cm="1">
        <f t="array" ref="F210">MAX(_xlfn._xlws.FILTER(Visits!U:U,Visits!E:E='User Engagement'!A210))</f>
        <v>0</v>
      </c>
      <c r="G210">
        <f>COUNTIF(Visits!$E$2:$E$995,'User Engagement'!$A210)</f>
        <v>0</v>
      </c>
      <c r="H210">
        <f>COUNTIFS(Visits!$E$2:$E$995,'User Engagement'!$A211,Visits!$U$2:$U$995,"&gt;"&amp;($B$1-7))</f>
        <v>0</v>
      </c>
      <c r="I210">
        <f>COUNTIFS(Visits!$E$2:$E$995,'User Engagement'!$A210,Visits!$U$2:$U$995,"&gt;"&amp;($B$1-30))</f>
        <v>0</v>
      </c>
      <c r="J210">
        <f>COUNTIFS(Visits!$E$2:$E$995,$A210,Visits!$U$2:$U$995,"&gt;"&amp;($B$1-60))-I210</f>
        <v>0</v>
      </c>
      <c r="K210">
        <f>COUNTIFS(Visits!$V:$V,'New Dashboard'!$A$22,Visits!$E:$E,'User Engagement'!$A210)</f>
        <v>0</v>
      </c>
      <c r="L210">
        <f>COUNTIFS(Visits!$V:$V,'New Dashboard'!$A$23,Visits!$E:$E,'User Engagement'!$A210)</f>
        <v>0</v>
      </c>
      <c r="M210">
        <f>COUNTIFS(Visits!$V:$V,'New Dashboard'!$A$24,Visits!$E:$E,'User Engagement'!$A210)</f>
        <v>0</v>
      </c>
      <c r="N210">
        <f>COUNTIFS(Visits!$V:$V,'New Dashboard'!$A$25,Visits!$E:$E,'User Engagement'!$A210)</f>
        <v>0</v>
      </c>
      <c r="O210">
        <f t="shared" si="24"/>
        <v>1</v>
      </c>
      <c r="P210">
        <f t="shared" si="25"/>
        <v>0</v>
      </c>
      <c r="Q210">
        <f t="shared" si="25"/>
        <v>0</v>
      </c>
      <c r="R210">
        <f t="shared" si="21"/>
        <v>0</v>
      </c>
      <c r="S210" s="5">
        <f>SUMIF(Visits!$E$2:$E$89,'User Engagement'!$A210,Visits!$L$2:$L$89)</f>
        <v>0</v>
      </c>
      <c r="T210" s="5">
        <f>SUMIFS(Visits!$L$2:$L$89,Visits!$E$2:$E$89,'User Engagement'!$A210,Visits!$U$2:$U$89,"&gt;3/28/24")</f>
        <v>0</v>
      </c>
      <c r="U210" s="19" t="e">
        <f t="shared" si="22"/>
        <v>#DIV/0!</v>
      </c>
      <c r="V210" s="19" t="str">
        <f t="shared" si="23"/>
        <v>n/a</v>
      </c>
    </row>
    <row r="211" spans="1:22" ht="16" x14ac:dyDescent="0.2">
      <c r="A211">
        <f>Users!A209</f>
        <v>0</v>
      </c>
      <c r="B211" s="29" t="e">
        <f>VLOOKUP(A211,Users!A:D,2,FALSE)</f>
        <v>#N/A</v>
      </c>
      <c r="C211" s="29" t="e">
        <f>VLOOKUP(A211,Users!A:D,3,FALSE)</f>
        <v>#N/A</v>
      </c>
      <c r="F211" s="1" cm="1">
        <f t="array" ref="F211">MAX(_xlfn._xlws.FILTER(Visits!U:U,Visits!E:E='User Engagement'!A211))</f>
        <v>0</v>
      </c>
      <c r="G211">
        <f>COUNTIF(Visits!$E$2:$E$995,'User Engagement'!$A211)</f>
        <v>0</v>
      </c>
      <c r="H211">
        <f>COUNTIFS(Visits!$E$2:$E$995,'User Engagement'!$A212,Visits!$U$2:$U$995,"&gt;"&amp;($B$1-7))</f>
        <v>0</v>
      </c>
      <c r="I211">
        <f>COUNTIFS(Visits!$E$2:$E$995,'User Engagement'!$A211,Visits!$U$2:$U$995,"&gt;"&amp;($B$1-30))</f>
        <v>0</v>
      </c>
      <c r="J211">
        <f>COUNTIFS(Visits!$E$2:$E$995,$A211,Visits!$U$2:$U$995,"&gt;"&amp;($B$1-60))-I211</f>
        <v>0</v>
      </c>
      <c r="K211">
        <f>COUNTIFS(Visits!$V:$V,'New Dashboard'!$A$22,Visits!$E:$E,'User Engagement'!$A211)</f>
        <v>0</v>
      </c>
      <c r="L211">
        <f>COUNTIFS(Visits!$V:$V,'New Dashboard'!$A$23,Visits!$E:$E,'User Engagement'!$A211)</f>
        <v>0</v>
      </c>
      <c r="M211">
        <f>COUNTIFS(Visits!$V:$V,'New Dashboard'!$A$24,Visits!$E:$E,'User Engagement'!$A211)</f>
        <v>0</v>
      </c>
      <c r="N211">
        <f>COUNTIFS(Visits!$V:$V,'New Dashboard'!$A$25,Visits!$E:$E,'User Engagement'!$A211)</f>
        <v>0</v>
      </c>
      <c r="O211">
        <f t="shared" si="24"/>
        <v>1</v>
      </c>
      <c r="P211">
        <f t="shared" si="25"/>
        <v>0</v>
      </c>
      <c r="Q211">
        <f t="shared" si="25"/>
        <v>0</v>
      </c>
      <c r="R211">
        <f t="shared" si="21"/>
        <v>0</v>
      </c>
      <c r="S211" s="5">
        <f>SUMIF(Visits!$E$2:$E$89,'User Engagement'!$A211,Visits!$L$2:$L$89)</f>
        <v>0</v>
      </c>
      <c r="T211" s="5">
        <f>SUMIFS(Visits!$L$2:$L$89,Visits!$E$2:$E$89,'User Engagement'!$A211,Visits!$U$2:$U$89,"&gt;3/28/24")</f>
        <v>0</v>
      </c>
      <c r="U211" s="19" t="e">
        <f t="shared" si="22"/>
        <v>#DIV/0!</v>
      </c>
      <c r="V211" s="19" t="str">
        <f t="shared" si="23"/>
        <v>n/a</v>
      </c>
    </row>
    <row r="212" spans="1:22" ht="16" x14ac:dyDescent="0.2">
      <c r="A212">
        <f>Users!A210</f>
        <v>0</v>
      </c>
      <c r="B212" s="29" t="e">
        <f>VLOOKUP(A212,Users!A:D,2,FALSE)</f>
        <v>#N/A</v>
      </c>
      <c r="C212" s="29" t="e">
        <f>VLOOKUP(A212,Users!A:D,3,FALSE)</f>
        <v>#N/A</v>
      </c>
      <c r="F212" s="1" cm="1">
        <f t="array" ref="F212">MAX(_xlfn._xlws.FILTER(Visits!U:U,Visits!E:E='User Engagement'!A212))</f>
        <v>0</v>
      </c>
      <c r="G212">
        <f>COUNTIF(Visits!$E$2:$E$995,'User Engagement'!$A212)</f>
        <v>0</v>
      </c>
      <c r="H212">
        <f>COUNTIFS(Visits!$E$2:$E$995,'User Engagement'!$A213,Visits!$U$2:$U$995,"&gt;"&amp;($B$1-7))</f>
        <v>0</v>
      </c>
      <c r="I212">
        <f>COUNTIFS(Visits!$E$2:$E$995,'User Engagement'!$A212,Visits!$U$2:$U$995,"&gt;"&amp;($B$1-30))</f>
        <v>0</v>
      </c>
      <c r="J212">
        <f>COUNTIFS(Visits!$E$2:$E$995,$A212,Visits!$U$2:$U$995,"&gt;"&amp;($B$1-60))-I212</f>
        <v>0</v>
      </c>
      <c r="K212">
        <f>COUNTIFS(Visits!$V:$V,'New Dashboard'!$A$22,Visits!$E:$E,'User Engagement'!$A212)</f>
        <v>0</v>
      </c>
      <c r="L212">
        <f>COUNTIFS(Visits!$V:$V,'New Dashboard'!$A$23,Visits!$E:$E,'User Engagement'!$A212)</f>
        <v>0</v>
      </c>
      <c r="M212">
        <f>COUNTIFS(Visits!$V:$V,'New Dashboard'!$A$24,Visits!$E:$E,'User Engagement'!$A212)</f>
        <v>0</v>
      </c>
      <c r="N212">
        <f>COUNTIFS(Visits!$V:$V,'New Dashboard'!$A$25,Visits!$E:$E,'User Engagement'!$A212)</f>
        <v>0</v>
      </c>
      <c r="O212">
        <f t="shared" si="24"/>
        <v>1</v>
      </c>
      <c r="P212">
        <f t="shared" si="25"/>
        <v>0</v>
      </c>
      <c r="Q212">
        <f t="shared" si="25"/>
        <v>0</v>
      </c>
      <c r="R212">
        <f t="shared" si="21"/>
        <v>0</v>
      </c>
      <c r="S212" s="5">
        <f>SUMIF(Visits!$E$2:$E$89,'User Engagement'!$A212,Visits!$L$2:$L$89)</f>
        <v>0</v>
      </c>
      <c r="T212" s="5">
        <f>SUMIFS(Visits!$L$2:$L$89,Visits!$E$2:$E$89,'User Engagement'!$A212,Visits!$U$2:$U$89,"&gt;3/28/24")</f>
        <v>0</v>
      </c>
      <c r="U212" s="19" t="e">
        <f t="shared" si="22"/>
        <v>#DIV/0!</v>
      </c>
      <c r="V212" s="19" t="str">
        <f t="shared" si="23"/>
        <v>n/a</v>
      </c>
    </row>
    <row r="213" spans="1:22" ht="16" x14ac:dyDescent="0.2">
      <c r="A213">
        <f>Users!A211</f>
        <v>0</v>
      </c>
      <c r="B213" s="29" t="e">
        <f>VLOOKUP(A213,Users!A:D,2,FALSE)</f>
        <v>#N/A</v>
      </c>
      <c r="C213" s="29" t="e">
        <f>VLOOKUP(A213,Users!A:D,3,FALSE)</f>
        <v>#N/A</v>
      </c>
      <c r="F213" s="1" cm="1">
        <f t="array" ref="F213">MAX(_xlfn._xlws.FILTER(Visits!U:U,Visits!E:E='User Engagement'!A213))</f>
        <v>0</v>
      </c>
      <c r="G213">
        <f>COUNTIF(Visits!$E$2:$E$995,'User Engagement'!$A213)</f>
        <v>0</v>
      </c>
      <c r="H213">
        <f>COUNTIFS(Visits!$E$2:$E$995,'User Engagement'!$A214,Visits!$U$2:$U$995,"&gt;"&amp;($B$1-7))</f>
        <v>0</v>
      </c>
      <c r="I213">
        <f>COUNTIFS(Visits!$E$2:$E$995,'User Engagement'!$A213,Visits!$U$2:$U$995,"&gt;"&amp;($B$1-30))</f>
        <v>0</v>
      </c>
      <c r="J213">
        <f>COUNTIFS(Visits!$E$2:$E$995,$A213,Visits!$U$2:$U$995,"&gt;"&amp;($B$1-60))-I213</f>
        <v>0</v>
      </c>
      <c r="K213">
        <f>COUNTIFS(Visits!$V:$V,'New Dashboard'!$A$22,Visits!$E:$E,'User Engagement'!$A213)</f>
        <v>0</v>
      </c>
      <c r="L213">
        <f>COUNTIFS(Visits!$V:$V,'New Dashboard'!$A$23,Visits!$E:$E,'User Engagement'!$A213)</f>
        <v>0</v>
      </c>
      <c r="M213">
        <f>COUNTIFS(Visits!$V:$V,'New Dashboard'!$A$24,Visits!$E:$E,'User Engagement'!$A213)</f>
        <v>0</v>
      </c>
      <c r="N213">
        <f>COUNTIFS(Visits!$V:$V,'New Dashboard'!$A$25,Visits!$E:$E,'User Engagement'!$A213)</f>
        <v>0</v>
      </c>
      <c r="O213">
        <f t="shared" si="24"/>
        <v>1</v>
      </c>
      <c r="P213">
        <f t="shared" si="25"/>
        <v>0</v>
      </c>
      <c r="Q213">
        <f t="shared" si="25"/>
        <v>0</v>
      </c>
      <c r="R213">
        <f t="shared" si="21"/>
        <v>0</v>
      </c>
      <c r="S213" s="5">
        <f>SUMIF(Visits!$E$2:$E$89,'User Engagement'!$A213,Visits!$L$2:$L$89)</f>
        <v>0</v>
      </c>
      <c r="T213" s="5">
        <f>SUMIFS(Visits!$L$2:$L$89,Visits!$E$2:$E$89,'User Engagement'!$A213,Visits!$U$2:$U$89,"&gt;3/28/24")</f>
        <v>0</v>
      </c>
      <c r="U213" s="19" t="e">
        <f t="shared" si="22"/>
        <v>#DIV/0!</v>
      </c>
      <c r="V213" s="19" t="str">
        <f t="shared" si="23"/>
        <v>n/a</v>
      </c>
    </row>
    <row r="214" spans="1:22" ht="16" x14ac:dyDescent="0.2">
      <c r="A214">
        <f>Users!A212</f>
        <v>0</v>
      </c>
      <c r="B214" s="29" t="e">
        <f>VLOOKUP(A214,Users!A:D,2,FALSE)</f>
        <v>#N/A</v>
      </c>
      <c r="C214" s="29" t="e">
        <f>VLOOKUP(A214,Users!A:D,3,FALSE)</f>
        <v>#N/A</v>
      </c>
      <c r="F214" s="1" cm="1">
        <f t="array" ref="F214">MAX(_xlfn._xlws.FILTER(Visits!U:U,Visits!E:E='User Engagement'!A214))</f>
        <v>0</v>
      </c>
      <c r="G214">
        <f>COUNTIF(Visits!$E$2:$E$995,'User Engagement'!$A214)</f>
        <v>0</v>
      </c>
      <c r="H214">
        <f>COUNTIFS(Visits!$E$2:$E$995,'User Engagement'!$A215,Visits!$U$2:$U$995,"&gt;"&amp;($B$1-7))</f>
        <v>0</v>
      </c>
      <c r="I214">
        <f>COUNTIFS(Visits!$E$2:$E$995,'User Engagement'!$A214,Visits!$U$2:$U$995,"&gt;"&amp;($B$1-30))</f>
        <v>0</v>
      </c>
      <c r="J214">
        <f>COUNTIFS(Visits!$E$2:$E$995,$A214,Visits!$U$2:$U$995,"&gt;"&amp;($B$1-60))-I214</f>
        <v>0</v>
      </c>
      <c r="K214">
        <f>COUNTIFS(Visits!$V:$V,'New Dashboard'!$A$22,Visits!$E:$E,'User Engagement'!$A214)</f>
        <v>0</v>
      </c>
      <c r="L214">
        <f>COUNTIFS(Visits!$V:$V,'New Dashboard'!$A$23,Visits!$E:$E,'User Engagement'!$A214)</f>
        <v>0</v>
      </c>
      <c r="M214">
        <f>COUNTIFS(Visits!$V:$V,'New Dashboard'!$A$24,Visits!$E:$E,'User Engagement'!$A214)</f>
        <v>0</v>
      </c>
      <c r="N214">
        <f>COUNTIFS(Visits!$V:$V,'New Dashboard'!$A$25,Visits!$E:$E,'User Engagement'!$A214)</f>
        <v>0</v>
      </c>
      <c r="O214">
        <f t="shared" si="24"/>
        <v>1</v>
      </c>
      <c r="P214">
        <f t="shared" si="25"/>
        <v>0</v>
      </c>
      <c r="Q214">
        <f t="shared" si="25"/>
        <v>0</v>
      </c>
      <c r="R214">
        <f t="shared" si="21"/>
        <v>0</v>
      </c>
      <c r="S214" s="5">
        <f>SUMIF(Visits!$E$2:$E$89,'User Engagement'!$A214,Visits!$L$2:$L$89)</f>
        <v>0</v>
      </c>
      <c r="T214" s="5">
        <f>SUMIFS(Visits!$L$2:$L$89,Visits!$E$2:$E$89,'User Engagement'!$A214,Visits!$U$2:$U$89,"&gt;3/28/24")</f>
        <v>0</v>
      </c>
      <c r="U214" s="19" t="e">
        <f t="shared" si="22"/>
        <v>#DIV/0!</v>
      </c>
      <c r="V214" s="19" t="str">
        <f t="shared" si="23"/>
        <v>n/a</v>
      </c>
    </row>
    <row r="215" spans="1:22" ht="16" x14ac:dyDescent="0.2">
      <c r="A215">
        <f>Users!A213</f>
        <v>0</v>
      </c>
      <c r="B215" s="29" t="e">
        <f>VLOOKUP(A215,Users!A:D,2,FALSE)</f>
        <v>#N/A</v>
      </c>
      <c r="C215" s="29" t="e">
        <f>VLOOKUP(A215,Users!A:D,3,FALSE)</f>
        <v>#N/A</v>
      </c>
      <c r="F215" s="1" cm="1">
        <f t="array" ref="F215">MAX(_xlfn._xlws.FILTER(Visits!U:U,Visits!E:E='User Engagement'!A215))</f>
        <v>0</v>
      </c>
      <c r="G215">
        <f>COUNTIF(Visits!$E$2:$E$995,'User Engagement'!$A215)</f>
        <v>0</v>
      </c>
      <c r="H215">
        <f>COUNTIFS(Visits!$E$2:$E$995,'User Engagement'!$A216,Visits!$U$2:$U$995,"&gt;"&amp;($B$1-7))</f>
        <v>0</v>
      </c>
      <c r="I215">
        <f>COUNTIFS(Visits!$E$2:$E$995,'User Engagement'!$A215,Visits!$U$2:$U$995,"&gt;"&amp;($B$1-30))</f>
        <v>0</v>
      </c>
      <c r="J215">
        <f>COUNTIFS(Visits!$E$2:$E$995,$A215,Visits!$U$2:$U$995,"&gt;"&amp;($B$1-60))-I215</f>
        <v>0</v>
      </c>
      <c r="K215">
        <f>COUNTIFS(Visits!$V:$V,'New Dashboard'!$A$22,Visits!$E:$E,'User Engagement'!$A215)</f>
        <v>0</v>
      </c>
      <c r="L215">
        <f>COUNTIFS(Visits!$V:$V,'New Dashboard'!$A$23,Visits!$E:$E,'User Engagement'!$A215)</f>
        <v>0</v>
      </c>
      <c r="M215">
        <f>COUNTIFS(Visits!$V:$V,'New Dashboard'!$A$24,Visits!$E:$E,'User Engagement'!$A215)</f>
        <v>0</v>
      </c>
      <c r="N215">
        <f>COUNTIFS(Visits!$V:$V,'New Dashboard'!$A$25,Visits!$E:$E,'User Engagement'!$A215)</f>
        <v>0</v>
      </c>
      <c r="O215">
        <f t="shared" si="24"/>
        <v>1</v>
      </c>
      <c r="P215">
        <f t="shared" si="25"/>
        <v>0</v>
      </c>
      <c r="Q215">
        <f t="shared" si="25"/>
        <v>0</v>
      </c>
      <c r="R215">
        <f t="shared" si="21"/>
        <v>0</v>
      </c>
      <c r="S215" s="5">
        <f>SUMIF(Visits!$E$2:$E$89,'User Engagement'!$A215,Visits!$L$2:$L$89)</f>
        <v>0</v>
      </c>
      <c r="T215" s="5">
        <f>SUMIFS(Visits!$L$2:$L$89,Visits!$E$2:$E$89,'User Engagement'!$A215,Visits!$U$2:$U$89,"&gt;3/28/24")</f>
        <v>0</v>
      </c>
      <c r="U215" s="19" t="e">
        <f t="shared" si="22"/>
        <v>#DIV/0!</v>
      </c>
      <c r="V215" s="19" t="str">
        <f t="shared" si="23"/>
        <v>n/a</v>
      </c>
    </row>
    <row r="216" spans="1:22" ht="16" x14ac:dyDescent="0.2">
      <c r="A216">
        <f>Users!A214</f>
        <v>0</v>
      </c>
      <c r="B216" s="29" t="e">
        <f>VLOOKUP(A216,Users!A:D,2,FALSE)</f>
        <v>#N/A</v>
      </c>
      <c r="C216" s="29" t="e">
        <f>VLOOKUP(A216,Users!A:D,3,FALSE)</f>
        <v>#N/A</v>
      </c>
      <c r="F216" s="1" cm="1">
        <f t="array" ref="F216">MAX(_xlfn._xlws.FILTER(Visits!U:U,Visits!E:E='User Engagement'!A216))</f>
        <v>0</v>
      </c>
      <c r="G216">
        <f>COUNTIF(Visits!$E$2:$E$995,'User Engagement'!$A216)</f>
        <v>0</v>
      </c>
      <c r="H216">
        <f>COUNTIFS(Visits!$E$2:$E$995,'User Engagement'!$A217,Visits!$U$2:$U$995,"&gt;"&amp;($B$1-7))</f>
        <v>0</v>
      </c>
      <c r="I216">
        <f>COUNTIFS(Visits!$E$2:$E$995,'User Engagement'!$A216,Visits!$U$2:$U$995,"&gt;"&amp;($B$1-30))</f>
        <v>0</v>
      </c>
      <c r="J216">
        <f>COUNTIFS(Visits!$E$2:$E$995,$A216,Visits!$U$2:$U$995,"&gt;"&amp;($B$1-60))-I216</f>
        <v>0</v>
      </c>
      <c r="K216">
        <f>COUNTIFS(Visits!$V:$V,'New Dashboard'!$A$22,Visits!$E:$E,'User Engagement'!$A216)</f>
        <v>0</v>
      </c>
      <c r="L216">
        <f>COUNTIFS(Visits!$V:$V,'New Dashboard'!$A$23,Visits!$E:$E,'User Engagement'!$A216)</f>
        <v>0</v>
      </c>
      <c r="M216">
        <f>COUNTIFS(Visits!$V:$V,'New Dashboard'!$A$24,Visits!$E:$E,'User Engagement'!$A216)</f>
        <v>0</v>
      </c>
      <c r="N216">
        <f>COUNTIFS(Visits!$V:$V,'New Dashboard'!$A$25,Visits!$E:$E,'User Engagement'!$A216)</f>
        <v>0</v>
      </c>
      <c r="O216">
        <f t="shared" si="24"/>
        <v>1</v>
      </c>
      <c r="P216">
        <f t="shared" si="25"/>
        <v>0</v>
      </c>
      <c r="Q216">
        <f t="shared" si="25"/>
        <v>0</v>
      </c>
      <c r="R216">
        <f t="shared" si="21"/>
        <v>0</v>
      </c>
      <c r="S216" s="5">
        <f>SUMIF(Visits!$E$2:$E$89,'User Engagement'!$A216,Visits!$L$2:$L$89)</f>
        <v>0</v>
      </c>
      <c r="T216" s="5">
        <f>SUMIFS(Visits!$L$2:$L$89,Visits!$E$2:$E$89,'User Engagement'!$A216,Visits!$U$2:$U$89,"&gt;3/28/24")</f>
        <v>0</v>
      </c>
      <c r="U216" s="19" t="e">
        <f t="shared" si="22"/>
        <v>#DIV/0!</v>
      </c>
      <c r="V216" s="19" t="str">
        <f t="shared" si="23"/>
        <v>n/a</v>
      </c>
    </row>
    <row r="217" spans="1:22" ht="16" x14ac:dyDescent="0.2">
      <c r="A217">
        <f>Users!A215</f>
        <v>0</v>
      </c>
      <c r="B217" s="29" t="e">
        <f>VLOOKUP(A217,Users!A:D,2,FALSE)</f>
        <v>#N/A</v>
      </c>
      <c r="C217" s="29" t="e">
        <f>VLOOKUP(A217,Users!A:D,3,FALSE)</f>
        <v>#N/A</v>
      </c>
      <c r="F217" s="1" cm="1">
        <f t="array" ref="F217">MAX(_xlfn._xlws.FILTER(Visits!U:U,Visits!E:E='User Engagement'!A217))</f>
        <v>0</v>
      </c>
      <c r="G217">
        <f>COUNTIF(Visits!$E$2:$E$995,'User Engagement'!$A217)</f>
        <v>0</v>
      </c>
      <c r="H217">
        <f>COUNTIFS(Visits!$E$2:$E$995,'User Engagement'!$A218,Visits!$U$2:$U$995,"&gt;"&amp;($B$1-7))</f>
        <v>0</v>
      </c>
      <c r="I217">
        <f>COUNTIFS(Visits!$E$2:$E$995,'User Engagement'!$A217,Visits!$U$2:$U$995,"&gt;"&amp;($B$1-30))</f>
        <v>0</v>
      </c>
      <c r="J217">
        <f>COUNTIFS(Visits!$E$2:$E$995,$A217,Visits!$U$2:$U$995,"&gt;"&amp;($B$1-60))-I217</f>
        <v>0</v>
      </c>
      <c r="K217">
        <f>COUNTIFS(Visits!$V:$V,'New Dashboard'!$A$22,Visits!$E:$E,'User Engagement'!$A217)</f>
        <v>0</v>
      </c>
      <c r="L217">
        <f>COUNTIFS(Visits!$V:$V,'New Dashboard'!$A$23,Visits!$E:$E,'User Engagement'!$A217)</f>
        <v>0</v>
      </c>
      <c r="M217">
        <f>COUNTIFS(Visits!$V:$V,'New Dashboard'!$A$24,Visits!$E:$E,'User Engagement'!$A217)</f>
        <v>0</v>
      </c>
      <c r="N217">
        <f>COUNTIFS(Visits!$V:$V,'New Dashboard'!$A$25,Visits!$E:$E,'User Engagement'!$A217)</f>
        <v>0</v>
      </c>
      <c r="O217">
        <f t="shared" si="24"/>
        <v>1</v>
      </c>
      <c r="P217">
        <f t="shared" si="25"/>
        <v>0</v>
      </c>
      <c r="Q217">
        <f t="shared" si="25"/>
        <v>0</v>
      </c>
      <c r="R217">
        <f t="shared" si="21"/>
        <v>0</v>
      </c>
      <c r="S217" s="5">
        <f>SUMIF(Visits!$E$2:$E$89,'User Engagement'!$A217,Visits!$L$2:$L$89)</f>
        <v>0</v>
      </c>
      <c r="T217" s="5">
        <f>SUMIFS(Visits!$L$2:$L$89,Visits!$E$2:$E$89,'User Engagement'!$A217,Visits!$U$2:$U$89,"&gt;3/28/24")</f>
        <v>0</v>
      </c>
      <c r="U217" s="19" t="e">
        <f t="shared" si="22"/>
        <v>#DIV/0!</v>
      </c>
      <c r="V217" s="19" t="str">
        <f t="shared" si="23"/>
        <v>n/a</v>
      </c>
    </row>
    <row r="218" spans="1:22" ht="16" x14ac:dyDescent="0.2">
      <c r="A218">
        <f>Users!A216</f>
        <v>0</v>
      </c>
      <c r="B218" s="29" t="e">
        <f>VLOOKUP(A218,Users!A:D,2,FALSE)</f>
        <v>#N/A</v>
      </c>
      <c r="C218" s="29" t="e">
        <f>VLOOKUP(A218,Users!A:D,3,FALSE)</f>
        <v>#N/A</v>
      </c>
      <c r="F218" s="1" cm="1">
        <f t="array" ref="F218">MAX(_xlfn._xlws.FILTER(Visits!U:U,Visits!E:E='User Engagement'!A218))</f>
        <v>0</v>
      </c>
      <c r="G218">
        <f>COUNTIF(Visits!$E$2:$E$995,'User Engagement'!$A218)</f>
        <v>0</v>
      </c>
      <c r="H218">
        <f>COUNTIFS(Visits!$E$2:$E$995,'User Engagement'!$A219,Visits!$U$2:$U$995,"&gt;"&amp;($B$1-7))</f>
        <v>0</v>
      </c>
      <c r="I218">
        <f>COUNTIFS(Visits!$E$2:$E$995,'User Engagement'!$A218,Visits!$U$2:$U$995,"&gt;"&amp;($B$1-30))</f>
        <v>0</v>
      </c>
      <c r="J218">
        <f>COUNTIFS(Visits!$E$2:$E$995,$A218,Visits!$U$2:$U$995,"&gt;"&amp;($B$1-60))-I218</f>
        <v>0</v>
      </c>
      <c r="K218">
        <f>COUNTIFS(Visits!$V:$V,'New Dashboard'!$A$22,Visits!$E:$E,'User Engagement'!$A218)</f>
        <v>0</v>
      </c>
      <c r="L218">
        <f>COUNTIFS(Visits!$V:$V,'New Dashboard'!$A$23,Visits!$E:$E,'User Engagement'!$A218)</f>
        <v>0</v>
      </c>
      <c r="M218">
        <f>COUNTIFS(Visits!$V:$V,'New Dashboard'!$A$24,Visits!$E:$E,'User Engagement'!$A218)</f>
        <v>0</v>
      </c>
      <c r="N218">
        <f>COUNTIFS(Visits!$V:$V,'New Dashboard'!$A$25,Visits!$E:$E,'User Engagement'!$A218)</f>
        <v>0</v>
      </c>
      <c r="O218">
        <f t="shared" si="24"/>
        <v>1</v>
      </c>
      <c r="P218">
        <f t="shared" si="25"/>
        <v>0</v>
      </c>
      <c r="Q218">
        <f t="shared" si="25"/>
        <v>0</v>
      </c>
      <c r="R218">
        <f t="shared" si="21"/>
        <v>0</v>
      </c>
      <c r="S218" s="5">
        <f>SUMIF(Visits!$E$2:$E$89,'User Engagement'!$A218,Visits!$L$2:$L$89)</f>
        <v>0</v>
      </c>
      <c r="T218" s="5">
        <f>SUMIFS(Visits!$L$2:$L$89,Visits!$E$2:$E$89,'User Engagement'!$A218,Visits!$U$2:$U$89,"&gt;3/28/24")</f>
        <v>0</v>
      </c>
      <c r="U218" s="19" t="e">
        <f t="shared" si="22"/>
        <v>#DIV/0!</v>
      </c>
      <c r="V218" s="19" t="str">
        <f t="shared" si="23"/>
        <v>n/a</v>
      </c>
    </row>
    <row r="219" spans="1:22" ht="16" x14ac:dyDescent="0.2">
      <c r="A219">
        <f>Users!A217</f>
        <v>0</v>
      </c>
      <c r="B219" s="29" t="e">
        <f>VLOOKUP(A219,Users!A:D,2,FALSE)</f>
        <v>#N/A</v>
      </c>
      <c r="C219" s="29" t="e">
        <f>VLOOKUP(A219,Users!A:D,3,FALSE)</f>
        <v>#N/A</v>
      </c>
      <c r="F219" s="1" cm="1">
        <f t="array" ref="F219">MAX(_xlfn._xlws.FILTER(Visits!U:U,Visits!E:E='User Engagement'!A219))</f>
        <v>0</v>
      </c>
      <c r="G219">
        <f>COUNTIF(Visits!$E$2:$E$995,'User Engagement'!$A219)</f>
        <v>0</v>
      </c>
      <c r="H219">
        <f>COUNTIFS(Visits!$E$2:$E$995,'User Engagement'!$A220,Visits!$U$2:$U$995,"&gt;"&amp;($B$1-7))</f>
        <v>0</v>
      </c>
      <c r="I219">
        <f>COUNTIFS(Visits!$E$2:$E$995,'User Engagement'!$A219,Visits!$U$2:$U$995,"&gt;"&amp;($B$1-30))</f>
        <v>0</v>
      </c>
      <c r="J219">
        <f>COUNTIFS(Visits!$E$2:$E$995,$A219,Visits!$U$2:$U$995,"&gt;"&amp;($B$1-60))-I219</f>
        <v>0</v>
      </c>
      <c r="K219">
        <f>COUNTIFS(Visits!$V:$V,'New Dashboard'!$A$22,Visits!$E:$E,'User Engagement'!$A219)</f>
        <v>0</v>
      </c>
      <c r="L219">
        <f>COUNTIFS(Visits!$V:$V,'New Dashboard'!$A$23,Visits!$E:$E,'User Engagement'!$A219)</f>
        <v>0</v>
      </c>
      <c r="M219">
        <f>COUNTIFS(Visits!$V:$V,'New Dashboard'!$A$24,Visits!$E:$E,'User Engagement'!$A219)</f>
        <v>0</v>
      </c>
      <c r="N219">
        <f>COUNTIFS(Visits!$V:$V,'New Dashboard'!$A$25,Visits!$E:$E,'User Engagement'!$A219)</f>
        <v>0</v>
      </c>
      <c r="O219">
        <f t="shared" si="24"/>
        <v>1</v>
      </c>
      <c r="P219">
        <f t="shared" si="25"/>
        <v>0</v>
      </c>
      <c r="Q219">
        <f t="shared" si="25"/>
        <v>0</v>
      </c>
      <c r="R219">
        <f t="shared" si="21"/>
        <v>0</v>
      </c>
      <c r="S219" s="5">
        <f>SUMIF(Visits!$E$2:$E$89,'User Engagement'!$A219,Visits!$L$2:$L$89)</f>
        <v>0</v>
      </c>
      <c r="T219" s="5">
        <f>SUMIFS(Visits!$L$2:$L$89,Visits!$E$2:$E$89,'User Engagement'!$A219,Visits!$U$2:$U$89,"&gt;3/28/24")</f>
        <v>0</v>
      </c>
      <c r="U219" s="19" t="e">
        <f t="shared" si="22"/>
        <v>#DIV/0!</v>
      </c>
      <c r="V219" s="19" t="str">
        <f t="shared" si="23"/>
        <v>n/a</v>
      </c>
    </row>
    <row r="220" spans="1:22" ht="16" x14ac:dyDescent="0.2">
      <c r="A220">
        <f>Users!A218</f>
        <v>0</v>
      </c>
      <c r="B220" s="29" t="e">
        <f>VLOOKUP(A220,Users!A:D,2,FALSE)</f>
        <v>#N/A</v>
      </c>
      <c r="C220" s="29" t="e">
        <f>VLOOKUP(A220,Users!A:D,3,FALSE)</f>
        <v>#N/A</v>
      </c>
      <c r="F220" s="1" cm="1">
        <f t="array" ref="F220">MAX(_xlfn._xlws.FILTER(Visits!U:U,Visits!E:E='User Engagement'!A220))</f>
        <v>0</v>
      </c>
      <c r="G220">
        <f>COUNTIF(Visits!$E$2:$E$995,'User Engagement'!$A220)</f>
        <v>0</v>
      </c>
      <c r="H220">
        <f>COUNTIFS(Visits!$E$2:$E$995,'User Engagement'!$A221,Visits!$U$2:$U$995,"&gt;"&amp;($B$1-7))</f>
        <v>0</v>
      </c>
      <c r="I220">
        <f>COUNTIFS(Visits!$E$2:$E$995,'User Engagement'!$A220,Visits!$U$2:$U$995,"&gt;"&amp;($B$1-30))</f>
        <v>0</v>
      </c>
      <c r="J220">
        <f>COUNTIFS(Visits!$E$2:$E$995,$A220,Visits!$U$2:$U$995,"&gt;"&amp;($B$1-60))-I220</f>
        <v>0</v>
      </c>
      <c r="K220">
        <f>COUNTIFS(Visits!$V:$V,'New Dashboard'!$A$22,Visits!$E:$E,'User Engagement'!$A220)</f>
        <v>0</v>
      </c>
      <c r="L220">
        <f>COUNTIFS(Visits!$V:$V,'New Dashboard'!$A$23,Visits!$E:$E,'User Engagement'!$A220)</f>
        <v>0</v>
      </c>
      <c r="M220">
        <f>COUNTIFS(Visits!$V:$V,'New Dashboard'!$A$24,Visits!$E:$E,'User Engagement'!$A220)</f>
        <v>0</v>
      </c>
      <c r="N220">
        <f>COUNTIFS(Visits!$V:$V,'New Dashboard'!$A$25,Visits!$E:$E,'User Engagement'!$A220)</f>
        <v>0</v>
      </c>
      <c r="O220">
        <f t="shared" si="24"/>
        <v>1</v>
      </c>
      <c r="P220">
        <f t="shared" si="25"/>
        <v>0</v>
      </c>
      <c r="Q220">
        <f t="shared" si="25"/>
        <v>0</v>
      </c>
      <c r="R220">
        <f t="shared" si="21"/>
        <v>0</v>
      </c>
      <c r="S220" s="5">
        <f>SUMIF(Visits!$E$2:$E$89,'User Engagement'!$A220,Visits!$L$2:$L$89)</f>
        <v>0</v>
      </c>
      <c r="T220" s="5">
        <f>SUMIFS(Visits!$L$2:$L$89,Visits!$E$2:$E$89,'User Engagement'!$A220,Visits!$U$2:$U$89,"&gt;3/28/24")</f>
        <v>0</v>
      </c>
      <c r="U220" s="19" t="e">
        <f t="shared" si="22"/>
        <v>#DIV/0!</v>
      </c>
      <c r="V220" s="19" t="str">
        <f t="shared" si="23"/>
        <v>n/a</v>
      </c>
    </row>
    <row r="221" spans="1:22" ht="16" x14ac:dyDescent="0.2">
      <c r="A221">
        <f>Users!A219</f>
        <v>0</v>
      </c>
      <c r="B221" s="29" t="e">
        <f>VLOOKUP(A221,Users!A:D,2,FALSE)</f>
        <v>#N/A</v>
      </c>
      <c r="C221" s="29" t="e">
        <f>VLOOKUP(A221,Users!A:D,3,FALSE)</f>
        <v>#N/A</v>
      </c>
      <c r="F221" s="1" cm="1">
        <f t="array" ref="F221">MAX(_xlfn._xlws.FILTER(Visits!U:U,Visits!E:E='User Engagement'!A221))</f>
        <v>0</v>
      </c>
      <c r="G221">
        <f>COUNTIF(Visits!$E$2:$E$995,'User Engagement'!$A221)</f>
        <v>0</v>
      </c>
      <c r="H221">
        <f>COUNTIFS(Visits!$E$2:$E$995,'User Engagement'!$A222,Visits!$U$2:$U$995,"&gt;"&amp;($B$1-7))</f>
        <v>0</v>
      </c>
      <c r="I221">
        <f>COUNTIFS(Visits!$E$2:$E$995,'User Engagement'!$A221,Visits!$U$2:$U$995,"&gt;"&amp;($B$1-30))</f>
        <v>0</v>
      </c>
      <c r="J221">
        <f>COUNTIFS(Visits!$E$2:$E$995,$A221,Visits!$U$2:$U$995,"&gt;"&amp;($B$1-60))-I221</f>
        <v>0</v>
      </c>
      <c r="K221">
        <f>COUNTIFS(Visits!$V:$V,'New Dashboard'!$A$22,Visits!$E:$E,'User Engagement'!$A221)</f>
        <v>0</v>
      </c>
      <c r="L221">
        <f>COUNTIFS(Visits!$V:$V,'New Dashboard'!$A$23,Visits!$E:$E,'User Engagement'!$A221)</f>
        <v>0</v>
      </c>
      <c r="M221">
        <f>COUNTIFS(Visits!$V:$V,'New Dashboard'!$A$24,Visits!$E:$E,'User Engagement'!$A221)</f>
        <v>0</v>
      </c>
      <c r="N221">
        <f>COUNTIFS(Visits!$V:$V,'New Dashboard'!$A$25,Visits!$E:$E,'User Engagement'!$A221)</f>
        <v>0</v>
      </c>
      <c r="O221">
        <f t="shared" si="24"/>
        <v>1</v>
      </c>
      <c r="P221">
        <f t="shared" si="25"/>
        <v>0</v>
      </c>
      <c r="Q221">
        <f t="shared" si="25"/>
        <v>0</v>
      </c>
      <c r="R221">
        <f t="shared" si="21"/>
        <v>0</v>
      </c>
      <c r="S221" s="5">
        <f>SUMIF(Visits!$E$2:$E$89,'User Engagement'!$A221,Visits!$L$2:$L$89)</f>
        <v>0</v>
      </c>
      <c r="T221" s="5">
        <f>SUMIFS(Visits!$L$2:$L$89,Visits!$E$2:$E$89,'User Engagement'!$A221,Visits!$U$2:$U$89,"&gt;3/28/24")</f>
        <v>0</v>
      </c>
      <c r="U221" s="19" t="e">
        <f t="shared" si="22"/>
        <v>#DIV/0!</v>
      </c>
      <c r="V221" s="19" t="str">
        <f t="shared" si="23"/>
        <v>n/a</v>
      </c>
    </row>
    <row r="222" spans="1:22" ht="16" x14ac:dyDescent="0.2">
      <c r="A222">
        <f>Users!A220</f>
        <v>0</v>
      </c>
      <c r="B222" s="29" t="e">
        <f>VLOOKUP(A222,Users!A:D,2,FALSE)</f>
        <v>#N/A</v>
      </c>
      <c r="C222" s="29" t="e">
        <f>VLOOKUP(A222,Users!A:D,3,FALSE)</f>
        <v>#N/A</v>
      </c>
      <c r="F222" s="1" cm="1">
        <f t="array" ref="F222">MAX(_xlfn._xlws.FILTER(Visits!U:U,Visits!E:E='User Engagement'!A222))</f>
        <v>0</v>
      </c>
      <c r="G222">
        <f>COUNTIF(Visits!$E$2:$E$995,'User Engagement'!$A222)</f>
        <v>0</v>
      </c>
      <c r="H222">
        <f>COUNTIFS(Visits!$E$2:$E$995,'User Engagement'!$A223,Visits!$U$2:$U$995,"&gt;"&amp;($B$1-7))</f>
        <v>0</v>
      </c>
      <c r="I222">
        <f>COUNTIFS(Visits!$E$2:$E$995,'User Engagement'!$A222,Visits!$U$2:$U$995,"&gt;"&amp;($B$1-30))</f>
        <v>0</v>
      </c>
      <c r="J222">
        <f>COUNTIFS(Visits!$E$2:$E$995,$A222,Visits!$U$2:$U$995,"&gt;"&amp;($B$1-60))-I222</f>
        <v>0</v>
      </c>
      <c r="K222">
        <f>COUNTIFS(Visits!$V:$V,'New Dashboard'!$A$22,Visits!$E:$E,'User Engagement'!$A222)</f>
        <v>0</v>
      </c>
      <c r="L222">
        <f>COUNTIFS(Visits!$V:$V,'New Dashboard'!$A$23,Visits!$E:$E,'User Engagement'!$A222)</f>
        <v>0</v>
      </c>
      <c r="M222">
        <f>COUNTIFS(Visits!$V:$V,'New Dashboard'!$A$24,Visits!$E:$E,'User Engagement'!$A222)</f>
        <v>0</v>
      </c>
      <c r="N222">
        <f>COUNTIFS(Visits!$V:$V,'New Dashboard'!$A$25,Visits!$E:$E,'User Engagement'!$A222)</f>
        <v>0</v>
      </c>
      <c r="O222">
        <f t="shared" si="24"/>
        <v>1</v>
      </c>
      <c r="P222">
        <f t="shared" si="25"/>
        <v>0</v>
      </c>
      <c r="Q222">
        <f t="shared" si="25"/>
        <v>0</v>
      </c>
      <c r="R222">
        <f t="shared" si="21"/>
        <v>0</v>
      </c>
      <c r="S222" s="5">
        <f>SUMIF(Visits!$E$2:$E$89,'User Engagement'!$A222,Visits!$L$2:$L$89)</f>
        <v>0</v>
      </c>
      <c r="T222" s="5">
        <f>SUMIFS(Visits!$L$2:$L$89,Visits!$E$2:$E$89,'User Engagement'!$A222,Visits!$U$2:$U$89,"&gt;3/28/24")</f>
        <v>0</v>
      </c>
      <c r="U222" s="19" t="e">
        <f t="shared" si="22"/>
        <v>#DIV/0!</v>
      </c>
      <c r="V222" s="19" t="str">
        <f t="shared" si="23"/>
        <v>n/a</v>
      </c>
    </row>
    <row r="223" spans="1:22" ht="16" x14ac:dyDescent="0.2">
      <c r="A223">
        <f>Users!A221</f>
        <v>0</v>
      </c>
      <c r="B223" s="29" t="e">
        <f>VLOOKUP(A223,Users!A:D,2,FALSE)</f>
        <v>#N/A</v>
      </c>
      <c r="C223" s="29" t="e">
        <f>VLOOKUP(A223,Users!A:D,3,FALSE)</f>
        <v>#N/A</v>
      </c>
      <c r="F223" s="1" cm="1">
        <f t="array" ref="F223">MAX(_xlfn._xlws.FILTER(Visits!U:U,Visits!E:E='User Engagement'!A223))</f>
        <v>0</v>
      </c>
      <c r="G223">
        <f>COUNTIF(Visits!$E$2:$E$995,'User Engagement'!$A223)</f>
        <v>0</v>
      </c>
      <c r="H223">
        <f>COUNTIFS(Visits!$E$2:$E$995,'User Engagement'!$A224,Visits!$U$2:$U$995,"&gt;"&amp;($B$1-7))</f>
        <v>0</v>
      </c>
      <c r="I223">
        <f>COUNTIFS(Visits!$E$2:$E$995,'User Engagement'!$A223,Visits!$U$2:$U$995,"&gt;"&amp;($B$1-30))</f>
        <v>0</v>
      </c>
      <c r="J223">
        <f>COUNTIFS(Visits!$E$2:$E$995,$A223,Visits!$U$2:$U$995,"&gt;"&amp;($B$1-60))-I223</f>
        <v>0</v>
      </c>
      <c r="K223">
        <f>COUNTIFS(Visits!$V:$V,'New Dashboard'!$A$22,Visits!$E:$E,'User Engagement'!$A223)</f>
        <v>0</v>
      </c>
      <c r="L223">
        <f>COUNTIFS(Visits!$V:$V,'New Dashboard'!$A$23,Visits!$E:$E,'User Engagement'!$A223)</f>
        <v>0</v>
      </c>
      <c r="M223">
        <f>COUNTIFS(Visits!$V:$V,'New Dashboard'!$A$24,Visits!$E:$E,'User Engagement'!$A223)</f>
        <v>0</v>
      </c>
      <c r="N223">
        <f>COUNTIFS(Visits!$V:$V,'New Dashboard'!$A$25,Visits!$E:$E,'User Engagement'!$A223)</f>
        <v>0</v>
      </c>
      <c r="O223">
        <f t="shared" si="24"/>
        <v>1</v>
      </c>
      <c r="P223">
        <f t="shared" si="25"/>
        <v>0</v>
      </c>
      <c r="Q223">
        <f t="shared" si="25"/>
        <v>0</v>
      </c>
      <c r="R223">
        <f t="shared" si="21"/>
        <v>0</v>
      </c>
      <c r="S223" s="5">
        <f>SUMIF(Visits!$E$2:$E$89,'User Engagement'!$A223,Visits!$L$2:$L$89)</f>
        <v>0</v>
      </c>
      <c r="T223" s="5">
        <f>SUMIFS(Visits!$L$2:$L$89,Visits!$E$2:$E$89,'User Engagement'!$A223,Visits!$U$2:$U$89,"&gt;3/28/24")</f>
        <v>0</v>
      </c>
      <c r="U223" s="19" t="e">
        <f t="shared" si="22"/>
        <v>#DIV/0!</v>
      </c>
      <c r="V223" s="19" t="str">
        <f t="shared" si="23"/>
        <v>n/a</v>
      </c>
    </row>
    <row r="224" spans="1:22" ht="16" x14ac:dyDescent="0.2">
      <c r="A224">
        <f>Users!A222</f>
        <v>0</v>
      </c>
      <c r="B224" s="29" t="e">
        <f>VLOOKUP(A224,Users!A:D,2,FALSE)</f>
        <v>#N/A</v>
      </c>
      <c r="C224" s="29" t="e">
        <f>VLOOKUP(A224,Users!A:D,3,FALSE)</f>
        <v>#N/A</v>
      </c>
      <c r="F224" s="1" cm="1">
        <f t="array" ref="F224">MAX(_xlfn._xlws.FILTER(Visits!U:U,Visits!E:E='User Engagement'!A224))</f>
        <v>0</v>
      </c>
      <c r="G224">
        <f>COUNTIF(Visits!$E$2:$E$995,'User Engagement'!$A224)</f>
        <v>0</v>
      </c>
      <c r="H224">
        <f>COUNTIFS(Visits!$E$2:$E$995,'User Engagement'!$A225,Visits!$U$2:$U$995,"&gt;"&amp;($B$1-7))</f>
        <v>0</v>
      </c>
      <c r="I224">
        <f>COUNTIFS(Visits!$E$2:$E$995,'User Engagement'!$A224,Visits!$U$2:$U$995,"&gt;"&amp;($B$1-30))</f>
        <v>0</v>
      </c>
      <c r="J224">
        <f>COUNTIFS(Visits!$E$2:$E$995,$A224,Visits!$U$2:$U$995,"&gt;"&amp;($B$1-60))-I224</f>
        <v>0</v>
      </c>
      <c r="K224">
        <f>COUNTIFS(Visits!$V:$V,'New Dashboard'!$A$22,Visits!$E:$E,'User Engagement'!$A224)</f>
        <v>0</v>
      </c>
      <c r="L224">
        <f>COUNTIFS(Visits!$V:$V,'New Dashboard'!$A$23,Visits!$E:$E,'User Engagement'!$A224)</f>
        <v>0</v>
      </c>
      <c r="M224">
        <f>COUNTIFS(Visits!$V:$V,'New Dashboard'!$A$24,Visits!$E:$E,'User Engagement'!$A224)</f>
        <v>0</v>
      </c>
      <c r="N224">
        <f>COUNTIFS(Visits!$V:$V,'New Dashboard'!$A$25,Visits!$E:$E,'User Engagement'!$A224)</f>
        <v>0</v>
      </c>
      <c r="O224">
        <f t="shared" si="24"/>
        <v>1</v>
      </c>
      <c r="P224">
        <f t="shared" si="25"/>
        <v>0</v>
      </c>
      <c r="Q224">
        <f t="shared" si="25"/>
        <v>0</v>
      </c>
      <c r="R224">
        <f t="shared" si="21"/>
        <v>0</v>
      </c>
      <c r="S224" s="5">
        <f>SUMIF(Visits!$E$2:$E$89,'User Engagement'!$A224,Visits!$L$2:$L$89)</f>
        <v>0</v>
      </c>
      <c r="T224" s="5">
        <f>SUMIFS(Visits!$L$2:$L$89,Visits!$E$2:$E$89,'User Engagement'!$A224,Visits!$U$2:$U$89,"&gt;3/28/24")</f>
        <v>0</v>
      </c>
      <c r="U224" s="19" t="e">
        <f t="shared" si="22"/>
        <v>#DIV/0!</v>
      </c>
      <c r="V224" s="19" t="str">
        <f t="shared" si="23"/>
        <v>n/a</v>
      </c>
    </row>
    <row r="225" spans="1:22" ht="16" x14ac:dyDescent="0.2">
      <c r="A225">
        <f>Users!A223</f>
        <v>0</v>
      </c>
      <c r="B225" s="29" t="e">
        <f>VLOOKUP(A225,Users!A:D,2,FALSE)</f>
        <v>#N/A</v>
      </c>
      <c r="C225" s="29" t="e">
        <f>VLOOKUP(A225,Users!A:D,3,FALSE)</f>
        <v>#N/A</v>
      </c>
      <c r="F225" s="1" cm="1">
        <f t="array" ref="F225">MAX(_xlfn._xlws.FILTER(Visits!U:U,Visits!E:E='User Engagement'!A225))</f>
        <v>0</v>
      </c>
      <c r="G225">
        <f>COUNTIF(Visits!$E$2:$E$995,'User Engagement'!$A225)</f>
        <v>0</v>
      </c>
      <c r="H225">
        <f>COUNTIFS(Visits!$E$2:$E$995,'User Engagement'!$A226,Visits!$U$2:$U$995,"&gt;"&amp;($B$1-7))</f>
        <v>0</v>
      </c>
      <c r="I225">
        <f>COUNTIFS(Visits!$E$2:$E$995,'User Engagement'!$A225,Visits!$U$2:$U$995,"&gt;"&amp;($B$1-30))</f>
        <v>0</v>
      </c>
      <c r="J225">
        <f>COUNTIFS(Visits!$E$2:$E$995,$A225,Visits!$U$2:$U$995,"&gt;"&amp;($B$1-60))-I225</f>
        <v>0</v>
      </c>
      <c r="K225">
        <f>COUNTIFS(Visits!$V:$V,'New Dashboard'!$A$22,Visits!$E:$E,'User Engagement'!$A225)</f>
        <v>0</v>
      </c>
      <c r="L225">
        <f>COUNTIFS(Visits!$V:$V,'New Dashboard'!$A$23,Visits!$E:$E,'User Engagement'!$A225)</f>
        <v>0</v>
      </c>
      <c r="M225">
        <f>COUNTIFS(Visits!$V:$V,'New Dashboard'!$A$24,Visits!$E:$E,'User Engagement'!$A225)</f>
        <v>0</v>
      </c>
      <c r="N225">
        <f>COUNTIFS(Visits!$V:$V,'New Dashboard'!$A$25,Visits!$E:$E,'User Engagement'!$A225)</f>
        <v>0</v>
      </c>
      <c r="O225">
        <f t="shared" si="24"/>
        <v>1</v>
      </c>
      <c r="P225">
        <f t="shared" si="25"/>
        <v>0</v>
      </c>
      <c r="Q225">
        <f t="shared" si="25"/>
        <v>0</v>
      </c>
      <c r="R225">
        <f t="shared" si="21"/>
        <v>0</v>
      </c>
      <c r="S225" s="5">
        <f>SUMIF(Visits!$E$2:$E$89,'User Engagement'!$A225,Visits!$L$2:$L$89)</f>
        <v>0</v>
      </c>
      <c r="T225" s="5">
        <f>SUMIFS(Visits!$L$2:$L$89,Visits!$E$2:$E$89,'User Engagement'!$A225,Visits!$U$2:$U$89,"&gt;3/28/24")</f>
        <v>0</v>
      </c>
      <c r="U225" s="19" t="e">
        <f t="shared" si="22"/>
        <v>#DIV/0!</v>
      </c>
      <c r="V225" s="19" t="str">
        <f t="shared" si="23"/>
        <v>n/a</v>
      </c>
    </row>
    <row r="226" spans="1:22" ht="16" x14ac:dyDescent="0.2">
      <c r="A226">
        <f>Users!A224</f>
        <v>0</v>
      </c>
      <c r="B226" s="29" t="e">
        <f>VLOOKUP(A226,Users!A:D,2,FALSE)</f>
        <v>#N/A</v>
      </c>
      <c r="C226" s="29" t="e">
        <f>VLOOKUP(A226,Users!A:D,3,FALSE)</f>
        <v>#N/A</v>
      </c>
      <c r="F226" s="1" cm="1">
        <f t="array" ref="F226">MAX(_xlfn._xlws.FILTER(Visits!U:U,Visits!E:E='User Engagement'!A226))</f>
        <v>0</v>
      </c>
      <c r="G226">
        <f>COUNTIF(Visits!$E$2:$E$995,'User Engagement'!$A226)</f>
        <v>0</v>
      </c>
      <c r="H226">
        <f>COUNTIFS(Visits!$E$2:$E$995,'User Engagement'!$A227,Visits!$U$2:$U$995,"&gt;"&amp;($B$1-7))</f>
        <v>0</v>
      </c>
      <c r="I226">
        <f>COUNTIFS(Visits!$E$2:$E$995,'User Engagement'!$A226,Visits!$U$2:$U$995,"&gt;"&amp;($B$1-30))</f>
        <v>0</v>
      </c>
      <c r="J226">
        <f>COUNTIFS(Visits!$E$2:$E$995,$A226,Visits!$U$2:$U$995,"&gt;"&amp;($B$1-60))-I226</f>
        <v>0</v>
      </c>
      <c r="K226">
        <f>COUNTIFS(Visits!$V:$V,'New Dashboard'!$A$22,Visits!$E:$E,'User Engagement'!$A226)</f>
        <v>0</v>
      </c>
      <c r="L226">
        <f>COUNTIFS(Visits!$V:$V,'New Dashboard'!$A$23,Visits!$E:$E,'User Engagement'!$A226)</f>
        <v>0</v>
      </c>
      <c r="M226">
        <f>COUNTIFS(Visits!$V:$V,'New Dashboard'!$A$24,Visits!$E:$E,'User Engagement'!$A226)</f>
        <v>0</v>
      </c>
      <c r="N226">
        <f>COUNTIFS(Visits!$V:$V,'New Dashboard'!$A$25,Visits!$E:$E,'User Engagement'!$A226)</f>
        <v>0</v>
      </c>
      <c r="O226">
        <f t="shared" si="24"/>
        <v>1</v>
      </c>
      <c r="P226">
        <f t="shared" si="25"/>
        <v>0</v>
      </c>
      <c r="Q226">
        <f t="shared" si="25"/>
        <v>0</v>
      </c>
      <c r="R226">
        <f t="shared" si="21"/>
        <v>0</v>
      </c>
      <c r="S226" s="5">
        <f>SUMIF(Visits!$E$2:$E$89,'User Engagement'!$A226,Visits!$L$2:$L$89)</f>
        <v>0</v>
      </c>
      <c r="T226" s="5">
        <f>SUMIFS(Visits!$L$2:$L$89,Visits!$E$2:$E$89,'User Engagement'!$A226,Visits!$U$2:$U$89,"&gt;3/28/24")</f>
        <v>0</v>
      </c>
      <c r="U226" s="19" t="e">
        <f t="shared" si="22"/>
        <v>#DIV/0!</v>
      </c>
      <c r="V226" s="19" t="str">
        <f t="shared" si="23"/>
        <v>n/a</v>
      </c>
    </row>
    <row r="227" spans="1:22" ht="16" x14ac:dyDescent="0.2">
      <c r="A227">
        <f>Users!A225</f>
        <v>0</v>
      </c>
      <c r="B227" s="29" t="e">
        <f>VLOOKUP(A227,Users!A:D,2,FALSE)</f>
        <v>#N/A</v>
      </c>
      <c r="C227" s="29" t="e">
        <f>VLOOKUP(A227,Users!A:D,3,FALSE)</f>
        <v>#N/A</v>
      </c>
      <c r="F227" s="1" cm="1">
        <f t="array" ref="F227">MAX(_xlfn._xlws.FILTER(Visits!U:U,Visits!E:E='User Engagement'!A227))</f>
        <v>0</v>
      </c>
      <c r="G227">
        <f>COUNTIF(Visits!$E$2:$E$995,'User Engagement'!$A227)</f>
        <v>0</v>
      </c>
      <c r="H227">
        <f>COUNTIFS(Visits!$E$2:$E$995,'User Engagement'!$A228,Visits!$U$2:$U$995,"&gt;"&amp;($B$1-7))</f>
        <v>0</v>
      </c>
      <c r="I227">
        <f>COUNTIFS(Visits!$E$2:$E$995,'User Engagement'!$A227,Visits!$U$2:$U$995,"&gt;"&amp;($B$1-30))</f>
        <v>0</v>
      </c>
      <c r="J227">
        <f>COUNTIFS(Visits!$E$2:$E$995,$A227,Visits!$U$2:$U$995,"&gt;"&amp;($B$1-60))-I227</f>
        <v>0</v>
      </c>
      <c r="K227">
        <f>COUNTIFS(Visits!$V:$V,'New Dashboard'!$A$22,Visits!$E:$E,'User Engagement'!$A227)</f>
        <v>0</v>
      </c>
      <c r="L227">
        <f>COUNTIFS(Visits!$V:$V,'New Dashboard'!$A$23,Visits!$E:$E,'User Engagement'!$A227)</f>
        <v>0</v>
      </c>
      <c r="M227">
        <f>COUNTIFS(Visits!$V:$V,'New Dashboard'!$A$24,Visits!$E:$E,'User Engagement'!$A227)</f>
        <v>0</v>
      </c>
      <c r="N227">
        <f>COUNTIFS(Visits!$V:$V,'New Dashboard'!$A$25,Visits!$E:$E,'User Engagement'!$A227)</f>
        <v>0</v>
      </c>
      <c r="O227">
        <f t="shared" si="24"/>
        <v>1</v>
      </c>
      <c r="P227">
        <f t="shared" si="25"/>
        <v>0</v>
      </c>
      <c r="Q227">
        <f t="shared" si="25"/>
        <v>0</v>
      </c>
      <c r="R227">
        <f t="shared" si="21"/>
        <v>0</v>
      </c>
      <c r="S227" s="5">
        <f>SUMIF(Visits!$E$2:$E$89,'User Engagement'!$A227,Visits!$L$2:$L$89)</f>
        <v>0</v>
      </c>
      <c r="T227" s="5">
        <f>SUMIFS(Visits!$L$2:$L$89,Visits!$E$2:$E$89,'User Engagement'!$A227,Visits!$U$2:$U$89,"&gt;3/28/24")</f>
        <v>0</v>
      </c>
      <c r="U227" s="19" t="e">
        <f t="shared" si="22"/>
        <v>#DIV/0!</v>
      </c>
      <c r="V227" s="19" t="str">
        <f t="shared" si="23"/>
        <v>n/a</v>
      </c>
    </row>
    <row r="228" spans="1:22" ht="16" x14ac:dyDescent="0.2">
      <c r="A228">
        <f>Users!A226</f>
        <v>0</v>
      </c>
      <c r="B228" s="29" t="e">
        <f>VLOOKUP(A228,Users!A:D,2,FALSE)</f>
        <v>#N/A</v>
      </c>
      <c r="C228" s="29" t="e">
        <f>VLOOKUP(A228,Users!A:D,3,FALSE)</f>
        <v>#N/A</v>
      </c>
      <c r="F228" s="1" cm="1">
        <f t="array" ref="F228">MAX(_xlfn._xlws.FILTER(Visits!U:U,Visits!E:E='User Engagement'!A228))</f>
        <v>0</v>
      </c>
      <c r="G228">
        <f>COUNTIF(Visits!$E$2:$E$995,'User Engagement'!$A228)</f>
        <v>0</v>
      </c>
      <c r="H228">
        <f>COUNTIFS(Visits!$E$2:$E$995,'User Engagement'!$A229,Visits!$U$2:$U$995,"&gt;"&amp;($B$1-7))</f>
        <v>0</v>
      </c>
      <c r="I228">
        <f>COUNTIFS(Visits!$E$2:$E$995,'User Engagement'!$A228,Visits!$U$2:$U$995,"&gt;"&amp;($B$1-30))</f>
        <v>0</v>
      </c>
      <c r="J228">
        <f>COUNTIFS(Visits!$E$2:$E$995,$A228,Visits!$U$2:$U$995,"&gt;"&amp;($B$1-60))-I228</f>
        <v>0</v>
      </c>
      <c r="K228">
        <f>COUNTIFS(Visits!$V:$V,'New Dashboard'!$A$22,Visits!$E:$E,'User Engagement'!$A228)</f>
        <v>0</v>
      </c>
      <c r="L228">
        <f>COUNTIFS(Visits!$V:$V,'New Dashboard'!$A$23,Visits!$E:$E,'User Engagement'!$A228)</f>
        <v>0</v>
      </c>
      <c r="M228">
        <f>COUNTIFS(Visits!$V:$V,'New Dashboard'!$A$24,Visits!$E:$E,'User Engagement'!$A228)</f>
        <v>0</v>
      </c>
      <c r="N228">
        <f>COUNTIFS(Visits!$V:$V,'New Dashboard'!$A$25,Visits!$E:$E,'User Engagement'!$A228)</f>
        <v>0</v>
      </c>
      <c r="O228">
        <f t="shared" si="24"/>
        <v>1</v>
      </c>
      <c r="P228">
        <f t="shared" si="25"/>
        <v>0</v>
      </c>
      <c r="Q228">
        <f t="shared" si="25"/>
        <v>0</v>
      </c>
      <c r="R228">
        <f t="shared" si="21"/>
        <v>0</v>
      </c>
      <c r="S228" s="5">
        <f>SUMIF(Visits!$E$2:$E$89,'User Engagement'!$A228,Visits!$L$2:$L$89)</f>
        <v>0</v>
      </c>
      <c r="T228" s="5">
        <f>SUMIFS(Visits!$L$2:$L$89,Visits!$E$2:$E$89,'User Engagement'!$A228,Visits!$U$2:$U$89,"&gt;3/28/24")</f>
        <v>0</v>
      </c>
      <c r="U228" s="19" t="e">
        <f t="shared" si="22"/>
        <v>#DIV/0!</v>
      </c>
      <c r="V228" s="19" t="str">
        <f t="shared" si="23"/>
        <v>n/a</v>
      </c>
    </row>
    <row r="229" spans="1:22" ht="16" x14ac:dyDescent="0.2">
      <c r="A229">
        <f>Users!A227</f>
        <v>0</v>
      </c>
      <c r="B229" s="29" t="e">
        <f>VLOOKUP(A229,Users!A:D,2,FALSE)</f>
        <v>#N/A</v>
      </c>
      <c r="C229" s="29" t="e">
        <f>VLOOKUP(A229,Users!A:D,3,FALSE)</f>
        <v>#N/A</v>
      </c>
      <c r="F229" s="1" cm="1">
        <f t="array" ref="F229">MAX(_xlfn._xlws.FILTER(Visits!U:U,Visits!E:E='User Engagement'!A229))</f>
        <v>0</v>
      </c>
      <c r="G229">
        <f>COUNTIF(Visits!$E$2:$E$995,'User Engagement'!$A229)</f>
        <v>0</v>
      </c>
      <c r="H229">
        <f>COUNTIFS(Visits!$E$2:$E$995,'User Engagement'!$A230,Visits!$U$2:$U$995,"&gt;"&amp;($B$1-7))</f>
        <v>0</v>
      </c>
      <c r="I229">
        <f>COUNTIFS(Visits!$E$2:$E$995,'User Engagement'!$A229,Visits!$U$2:$U$995,"&gt;"&amp;($B$1-30))</f>
        <v>0</v>
      </c>
      <c r="J229">
        <f>COUNTIFS(Visits!$E$2:$E$995,$A229,Visits!$U$2:$U$995,"&gt;"&amp;($B$1-60))-I229</f>
        <v>0</v>
      </c>
      <c r="K229">
        <f>COUNTIFS(Visits!$V:$V,'New Dashboard'!$A$22,Visits!$E:$E,'User Engagement'!$A229)</f>
        <v>0</v>
      </c>
      <c r="L229">
        <f>COUNTIFS(Visits!$V:$V,'New Dashboard'!$A$23,Visits!$E:$E,'User Engagement'!$A229)</f>
        <v>0</v>
      </c>
      <c r="M229">
        <f>COUNTIFS(Visits!$V:$V,'New Dashboard'!$A$24,Visits!$E:$E,'User Engagement'!$A229)</f>
        <v>0</v>
      </c>
      <c r="N229">
        <f>COUNTIFS(Visits!$V:$V,'New Dashboard'!$A$25,Visits!$E:$E,'User Engagement'!$A229)</f>
        <v>0</v>
      </c>
      <c r="O229">
        <f t="shared" si="24"/>
        <v>1</v>
      </c>
      <c r="P229">
        <f t="shared" si="25"/>
        <v>0</v>
      </c>
      <c r="Q229">
        <f t="shared" si="25"/>
        <v>0</v>
      </c>
      <c r="R229">
        <f t="shared" si="21"/>
        <v>0</v>
      </c>
      <c r="S229" s="5">
        <f>SUMIF(Visits!$E$2:$E$89,'User Engagement'!$A229,Visits!$L$2:$L$89)</f>
        <v>0</v>
      </c>
      <c r="T229" s="5">
        <f>SUMIFS(Visits!$L$2:$L$89,Visits!$E$2:$E$89,'User Engagement'!$A229,Visits!$U$2:$U$89,"&gt;3/28/24")</f>
        <v>0</v>
      </c>
      <c r="U229" s="19" t="e">
        <f t="shared" si="22"/>
        <v>#DIV/0!</v>
      </c>
      <c r="V229" s="19" t="str">
        <f t="shared" si="23"/>
        <v>n/a</v>
      </c>
    </row>
    <row r="230" spans="1:22" ht="16" x14ac:dyDescent="0.2">
      <c r="A230">
        <f>Users!A228</f>
        <v>0</v>
      </c>
      <c r="B230" s="29" t="e">
        <f>VLOOKUP(A230,Users!A:D,2,FALSE)</f>
        <v>#N/A</v>
      </c>
      <c r="C230" s="29" t="e">
        <f>VLOOKUP(A230,Users!A:D,3,FALSE)</f>
        <v>#N/A</v>
      </c>
      <c r="F230" s="1" cm="1">
        <f t="array" ref="F230">MAX(_xlfn._xlws.FILTER(Visits!U:U,Visits!E:E='User Engagement'!A230))</f>
        <v>0</v>
      </c>
      <c r="G230">
        <f>COUNTIF(Visits!$E$2:$E$995,'User Engagement'!$A230)</f>
        <v>0</v>
      </c>
      <c r="H230">
        <f>COUNTIFS(Visits!$E$2:$E$995,'User Engagement'!$A231,Visits!$U$2:$U$995,"&gt;"&amp;($B$1-7))</f>
        <v>0</v>
      </c>
      <c r="I230">
        <f>COUNTIFS(Visits!$E$2:$E$995,'User Engagement'!$A230,Visits!$U$2:$U$995,"&gt;"&amp;($B$1-30))</f>
        <v>0</v>
      </c>
      <c r="J230">
        <f>COUNTIFS(Visits!$E$2:$E$995,$A230,Visits!$U$2:$U$995,"&gt;"&amp;($B$1-60))-I230</f>
        <v>0</v>
      </c>
      <c r="K230">
        <f>COUNTIFS(Visits!$V:$V,'New Dashboard'!$A$22,Visits!$E:$E,'User Engagement'!$A230)</f>
        <v>0</v>
      </c>
      <c r="L230">
        <f>COUNTIFS(Visits!$V:$V,'New Dashboard'!$A$23,Visits!$E:$E,'User Engagement'!$A230)</f>
        <v>0</v>
      </c>
      <c r="M230">
        <f>COUNTIFS(Visits!$V:$V,'New Dashboard'!$A$24,Visits!$E:$E,'User Engagement'!$A230)</f>
        <v>0</v>
      </c>
      <c r="N230">
        <f>COUNTIFS(Visits!$V:$V,'New Dashboard'!$A$25,Visits!$E:$E,'User Engagement'!$A230)</f>
        <v>0</v>
      </c>
      <c r="O230">
        <f t="shared" si="24"/>
        <v>1</v>
      </c>
      <c r="P230">
        <f t="shared" si="25"/>
        <v>0</v>
      </c>
      <c r="Q230">
        <f t="shared" si="25"/>
        <v>0</v>
      </c>
      <c r="R230">
        <f t="shared" si="21"/>
        <v>0</v>
      </c>
      <c r="S230" s="5">
        <f>SUMIF(Visits!$E$2:$E$89,'User Engagement'!$A230,Visits!$L$2:$L$89)</f>
        <v>0</v>
      </c>
      <c r="T230" s="5">
        <f>SUMIFS(Visits!$L$2:$L$89,Visits!$E$2:$E$89,'User Engagement'!$A230,Visits!$U$2:$U$89,"&gt;3/28/24")</f>
        <v>0</v>
      </c>
      <c r="U230" s="19" t="e">
        <f t="shared" si="22"/>
        <v>#DIV/0!</v>
      </c>
      <c r="V230" s="19" t="str">
        <f t="shared" si="23"/>
        <v>n/a</v>
      </c>
    </row>
    <row r="231" spans="1:22" ht="16" x14ac:dyDescent="0.2">
      <c r="A231">
        <f>Users!A229</f>
        <v>0</v>
      </c>
      <c r="B231" s="29" t="e">
        <f>VLOOKUP(A231,Users!A:D,2,FALSE)</f>
        <v>#N/A</v>
      </c>
      <c r="C231" s="29" t="e">
        <f>VLOOKUP(A231,Users!A:D,3,FALSE)</f>
        <v>#N/A</v>
      </c>
      <c r="F231" s="1" cm="1">
        <f t="array" ref="F231">MAX(_xlfn._xlws.FILTER(Visits!U:U,Visits!E:E='User Engagement'!A231))</f>
        <v>0</v>
      </c>
      <c r="G231">
        <f>COUNTIF(Visits!$E$2:$E$995,'User Engagement'!$A231)</f>
        <v>0</v>
      </c>
      <c r="H231">
        <f>COUNTIFS(Visits!$E$2:$E$995,'User Engagement'!$A232,Visits!$U$2:$U$995,"&gt;"&amp;($B$1-7))</f>
        <v>0</v>
      </c>
      <c r="I231">
        <f>COUNTIFS(Visits!$E$2:$E$995,'User Engagement'!$A231,Visits!$U$2:$U$995,"&gt;"&amp;($B$1-30))</f>
        <v>0</v>
      </c>
      <c r="J231">
        <f>COUNTIFS(Visits!$E$2:$E$995,$A231,Visits!$U$2:$U$995,"&gt;"&amp;($B$1-60))-I231</f>
        <v>0</v>
      </c>
      <c r="K231">
        <f>COUNTIFS(Visits!$V:$V,'New Dashboard'!$A$22,Visits!$E:$E,'User Engagement'!$A231)</f>
        <v>0</v>
      </c>
      <c r="L231">
        <f>COUNTIFS(Visits!$V:$V,'New Dashboard'!$A$23,Visits!$E:$E,'User Engagement'!$A231)</f>
        <v>0</v>
      </c>
      <c r="M231">
        <f>COUNTIFS(Visits!$V:$V,'New Dashboard'!$A$24,Visits!$E:$E,'User Engagement'!$A231)</f>
        <v>0</v>
      </c>
      <c r="N231">
        <f>COUNTIFS(Visits!$V:$V,'New Dashboard'!$A$25,Visits!$E:$E,'User Engagement'!$A231)</f>
        <v>0</v>
      </c>
      <c r="O231">
        <f t="shared" si="24"/>
        <v>1</v>
      </c>
      <c r="P231">
        <f t="shared" si="25"/>
        <v>0</v>
      </c>
      <c r="Q231">
        <f t="shared" si="25"/>
        <v>0</v>
      </c>
      <c r="R231">
        <f t="shared" si="21"/>
        <v>0</v>
      </c>
      <c r="S231" s="5">
        <f>SUMIF(Visits!$E$2:$E$89,'User Engagement'!$A231,Visits!$L$2:$L$89)</f>
        <v>0</v>
      </c>
      <c r="T231" s="5">
        <f>SUMIFS(Visits!$L$2:$L$89,Visits!$E$2:$E$89,'User Engagement'!$A231,Visits!$U$2:$U$89,"&gt;3/28/24")</f>
        <v>0</v>
      </c>
      <c r="U231" s="19" t="e">
        <f t="shared" si="22"/>
        <v>#DIV/0!</v>
      </c>
      <c r="V231" s="19" t="str">
        <f t="shared" si="23"/>
        <v>n/a</v>
      </c>
    </row>
    <row r="232" spans="1:22" ht="16" x14ac:dyDescent="0.2">
      <c r="A232">
        <f>Users!A230</f>
        <v>0</v>
      </c>
      <c r="B232" s="29" t="e">
        <f>VLOOKUP(A232,Users!A:D,2,FALSE)</f>
        <v>#N/A</v>
      </c>
      <c r="C232" s="29" t="e">
        <f>VLOOKUP(A232,Users!A:D,3,FALSE)</f>
        <v>#N/A</v>
      </c>
      <c r="F232" s="1" cm="1">
        <f t="array" ref="F232">MAX(_xlfn._xlws.FILTER(Visits!U:U,Visits!E:E='User Engagement'!A232))</f>
        <v>0</v>
      </c>
      <c r="G232">
        <f>COUNTIF(Visits!$E$2:$E$995,'User Engagement'!$A232)</f>
        <v>0</v>
      </c>
      <c r="H232">
        <f>COUNTIFS(Visits!$E$2:$E$995,'User Engagement'!$A233,Visits!$U$2:$U$995,"&gt;"&amp;($B$1-7))</f>
        <v>0</v>
      </c>
      <c r="I232">
        <f>COUNTIFS(Visits!$E$2:$E$995,'User Engagement'!$A232,Visits!$U$2:$U$995,"&gt;"&amp;($B$1-30))</f>
        <v>0</v>
      </c>
      <c r="J232">
        <f>COUNTIFS(Visits!$E$2:$E$995,$A232,Visits!$U$2:$U$995,"&gt;"&amp;($B$1-60))-I232</f>
        <v>0</v>
      </c>
      <c r="K232">
        <f>COUNTIFS(Visits!$V:$V,'New Dashboard'!$A$22,Visits!$E:$E,'User Engagement'!$A232)</f>
        <v>0</v>
      </c>
      <c r="L232">
        <f>COUNTIFS(Visits!$V:$V,'New Dashboard'!$A$23,Visits!$E:$E,'User Engagement'!$A232)</f>
        <v>0</v>
      </c>
      <c r="M232">
        <f>COUNTIFS(Visits!$V:$V,'New Dashboard'!$A$24,Visits!$E:$E,'User Engagement'!$A232)</f>
        <v>0</v>
      </c>
      <c r="N232">
        <f>COUNTIFS(Visits!$V:$V,'New Dashboard'!$A$25,Visits!$E:$E,'User Engagement'!$A232)</f>
        <v>0</v>
      </c>
      <c r="O232">
        <f t="shared" si="24"/>
        <v>1</v>
      </c>
      <c r="P232">
        <f t="shared" si="25"/>
        <v>0</v>
      </c>
      <c r="Q232">
        <f t="shared" si="25"/>
        <v>0</v>
      </c>
      <c r="R232">
        <f t="shared" si="21"/>
        <v>0</v>
      </c>
      <c r="S232" s="5">
        <f>SUMIF(Visits!$E$2:$E$89,'User Engagement'!$A232,Visits!$L$2:$L$89)</f>
        <v>0</v>
      </c>
      <c r="T232" s="5">
        <f>SUMIFS(Visits!$L$2:$L$89,Visits!$E$2:$E$89,'User Engagement'!$A232,Visits!$U$2:$U$89,"&gt;3/28/24")</f>
        <v>0</v>
      </c>
      <c r="U232" s="19" t="e">
        <f t="shared" si="22"/>
        <v>#DIV/0!</v>
      </c>
      <c r="V232" s="19" t="str">
        <f t="shared" si="23"/>
        <v>n/a</v>
      </c>
    </row>
    <row r="233" spans="1:22" ht="16" x14ac:dyDescent="0.2">
      <c r="A233">
        <f>Users!A231</f>
        <v>0</v>
      </c>
      <c r="B233" s="29" t="e">
        <f>VLOOKUP(A233,Users!A:D,2,FALSE)</f>
        <v>#N/A</v>
      </c>
      <c r="C233" s="29" t="e">
        <f>VLOOKUP(A233,Users!A:D,3,FALSE)</f>
        <v>#N/A</v>
      </c>
      <c r="F233" s="1" cm="1">
        <f t="array" ref="F233">MAX(_xlfn._xlws.FILTER(Visits!U:U,Visits!E:E='User Engagement'!A233))</f>
        <v>0</v>
      </c>
      <c r="G233">
        <f>COUNTIF(Visits!$E$2:$E$995,'User Engagement'!$A233)</f>
        <v>0</v>
      </c>
      <c r="H233">
        <f>COUNTIFS(Visits!$E$2:$E$995,'User Engagement'!$A234,Visits!$U$2:$U$995,"&gt;"&amp;($B$1-7))</f>
        <v>0</v>
      </c>
      <c r="I233">
        <f>COUNTIFS(Visits!$E$2:$E$995,'User Engagement'!$A233,Visits!$U$2:$U$995,"&gt;"&amp;($B$1-30))</f>
        <v>0</v>
      </c>
      <c r="J233">
        <f>COUNTIFS(Visits!$E$2:$E$995,$A233,Visits!$U$2:$U$995,"&gt;"&amp;($B$1-60))-I233</f>
        <v>0</v>
      </c>
      <c r="K233">
        <f>COUNTIFS(Visits!$V:$V,'New Dashboard'!$A$22,Visits!$E:$E,'User Engagement'!$A233)</f>
        <v>0</v>
      </c>
      <c r="L233">
        <f>COUNTIFS(Visits!$V:$V,'New Dashboard'!$A$23,Visits!$E:$E,'User Engagement'!$A233)</f>
        <v>0</v>
      </c>
      <c r="M233">
        <f>COUNTIFS(Visits!$V:$V,'New Dashboard'!$A$24,Visits!$E:$E,'User Engagement'!$A233)</f>
        <v>0</v>
      </c>
      <c r="N233">
        <f>COUNTIFS(Visits!$V:$V,'New Dashboard'!$A$25,Visits!$E:$E,'User Engagement'!$A233)</f>
        <v>0</v>
      </c>
      <c r="O233">
        <f t="shared" si="24"/>
        <v>1</v>
      </c>
      <c r="P233">
        <f t="shared" si="25"/>
        <v>0</v>
      </c>
      <c r="Q233">
        <f t="shared" si="25"/>
        <v>0</v>
      </c>
      <c r="R233">
        <f t="shared" si="21"/>
        <v>0</v>
      </c>
      <c r="S233" s="5">
        <f>SUMIF(Visits!$E$2:$E$89,'User Engagement'!$A233,Visits!$L$2:$L$89)</f>
        <v>0</v>
      </c>
      <c r="T233" s="5">
        <f>SUMIFS(Visits!$L$2:$L$89,Visits!$E$2:$E$89,'User Engagement'!$A233,Visits!$U$2:$U$89,"&gt;3/28/24")</f>
        <v>0</v>
      </c>
      <c r="U233" s="19" t="e">
        <f t="shared" si="22"/>
        <v>#DIV/0!</v>
      </c>
      <c r="V233" s="19" t="str">
        <f t="shared" si="23"/>
        <v>n/a</v>
      </c>
    </row>
    <row r="234" spans="1:22" ht="16" x14ac:dyDescent="0.2">
      <c r="A234">
        <f>Users!A232</f>
        <v>0</v>
      </c>
      <c r="B234" s="29" t="e">
        <f>VLOOKUP(A234,Users!A:D,2,FALSE)</f>
        <v>#N/A</v>
      </c>
      <c r="C234" s="29" t="e">
        <f>VLOOKUP(A234,Users!A:D,3,FALSE)</f>
        <v>#N/A</v>
      </c>
      <c r="F234" s="1" cm="1">
        <f t="array" ref="F234">MAX(_xlfn._xlws.FILTER(Visits!U:U,Visits!E:E='User Engagement'!A234))</f>
        <v>0</v>
      </c>
      <c r="G234">
        <f>COUNTIF(Visits!$E$2:$E$995,'User Engagement'!$A234)</f>
        <v>0</v>
      </c>
      <c r="H234">
        <f>COUNTIFS(Visits!$E$2:$E$995,'User Engagement'!$A235,Visits!$U$2:$U$995,"&gt;"&amp;($B$1-7))</f>
        <v>0</v>
      </c>
      <c r="I234">
        <f>COUNTIFS(Visits!$E$2:$E$995,'User Engagement'!$A234,Visits!$U$2:$U$995,"&gt;"&amp;($B$1-30))</f>
        <v>0</v>
      </c>
      <c r="J234">
        <f>COUNTIFS(Visits!$E$2:$E$995,$A234,Visits!$U$2:$U$995,"&gt;"&amp;($B$1-60))-I234</f>
        <v>0</v>
      </c>
      <c r="K234">
        <f>COUNTIFS(Visits!$V:$V,'New Dashboard'!$A$22,Visits!$E:$E,'User Engagement'!$A234)</f>
        <v>0</v>
      </c>
      <c r="L234">
        <f>COUNTIFS(Visits!$V:$V,'New Dashboard'!$A$23,Visits!$E:$E,'User Engagement'!$A234)</f>
        <v>0</v>
      </c>
      <c r="M234">
        <f>COUNTIFS(Visits!$V:$V,'New Dashboard'!$A$24,Visits!$E:$E,'User Engagement'!$A234)</f>
        <v>0</v>
      </c>
      <c r="N234">
        <f>COUNTIFS(Visits!$V:$V,'New Dashboard'!$A$25,Visits!$E:$E,'User Engagement'!$A234)</f>
        <v>0</v>
      </c>
      <c r="O234">
        <f t="shared" si="24"/>
        <v>1</v>
      </c>
      <c r="P234">
        <f t="shared" si="25"/>
        <v>0</v>
      </c>
      <c r="Q234">
        <f t="shared" si="25"/>
        <v>0</v>
      </c>
      <c r="R234">
        <f t="shared" si="21"/>
        <v>0</v>
      </c>
      <c r="S234" s="5">
        <f>SUMIF(Visits!$E$2:$E$89,'User Engagement'!$A234,Visits!$L$2:$L$89)</f>
        <v>0</v>
      </c>
      <c r="T234" s="5">
        <f>SUMIFS(Visits!$L$2:$L$89,Visits!$E$2:$E$89,'User Engagement'!$A234,Visits!$U$2:$U$89,"&gt;3/28/24")</f>
        <v>0</v>
      </c>
      <c r="U234" s="19" t="e">
        <f t="shared" si="22"/>
        <v>#DIV/0!</v>
      </c>
      <c r="V234" s="19" t="str">
        <f t="shared" si="23"/>
        <v>n/a</v>
      </c>
    </row>
    <row r="235" spans="1:22" ht="16" x14ac:dyDescent="0.2">
      <c r="A235">
        <f>Users!A233</f>
        <v>0</v>
      </c>
      <c r="B235" s="29" t="e">
        <f>VLOOKUP(A235,Users!A:D,2,FALSE)</f>
        <v>#N/A</v>
      </c>
      <c r="C235" s="29" t="e">
        <f>VLOOKUP(A235,Users!A:D,3,FALSE)</f>
        <v>#N/A</v>
      </c>
      <c r="F235" s="1" cm="1">
        <f t="array" ref="F235">MAX(_xlfn._xlws.FILTER(Visits!U:U,Visits!E:E='User Engagement'!A235))</f>
        <v>0</v>
      </c>
      <c r="G235">
        <f>COUNTIF(Visits!$E$2:$E$995,'User Engagement'!$A235)</f>
        <v>0</v>
      </c>
      <c r="H235">
        <f>COUNTIFS(Visits!$E$2:$E$995,'User Engagement'!$A236,Visits!$U$2:$U$995,"&gt;"&amp;($B$1-7))</f>
        <v>0</v>
      </c>
      <c r="I235">
        <f>COUNTIFS(Visits!$E$2:$E$995,'User Engagement'!$A235,Visits!$U$2:$U$995,"&gt;"&amp;($B$1-30))</f>
        <v>0</v>
      </c>
      <c r="J235">
        <f>COUNTIFS(Visits!$E$2:$E$995,$A235,Visits!$U$2:$U$995,"&gt;"&amp;($B$1-60))-I235</f>
        <v>0</v>
      </c>
      <c r="K235">
        <f>COUNTIFS(Visits!$V:$V,'New Dashboard'!$A$22,Visits!$E:$E,'User Engagement'!$A235)</f>
        <v>0</v>
      </c>
      <c r="L235">
        <f>COUNTIFS(Visits!$V:$V,'New Dashboard'!$A$23,Visits!$E:$E,'User Engagement'!$A235)</f>
        <v>0</v>
      </c>
      <c r="M235">
        <f>COUNTIFS(Visits!$V:$V,'New Dashboard'!$A$24,Visits!$E:$E,'User Engagement'!$A235)</f>
        <v>0</v>
      </c>
      <c r="N235">
        <f>COUNTIFS(Visits!$V:$V,'New Dashboard'!$A$25,Visits!$E:$E,'User Engagement'!$A235)</f>
        <v>0</v>
      </c>
      <c r="O235">
        <f t="shared" si="24"/>
        <v>1</v>
      </c>
      <c r="P235">
        <f t="shared" si="25"/>
        <v>0</v>
      </c>
      <c r="Q235">
        <f t="shared" si="25"/>
        <v>0</v>
      </c>
      <c r="R235">
        <f t="shared" si="21"/>
        <v>0</v>
      </c>
      <c r="S235" s="5">
        <f>SUMIF(Visits!$E$2:$E$89,'User Engagement'!$A235,Visits!$L$2:$L$89)</f>
        <v>0</v>
      </c>
      <c r="T235" s="5">
        <f>SUMIFS(Visits!$L$2:$L$89,Visits!$E$2:$E$89,'User Engagement'!$A235,Visits!$U$2:$U$89,"&gt;3/28/24")</f>
        <v>0</v>
      </c>
      <c r="U235" s="19" t="e">
        <f t="shared" si="22"/>
        <v>#DIV/0!</v>
      </c>
      <c r="V235" s="19" t="str">
        <f t="shared" si="23"/>
        <v>n/a</v>
      </c>
    </row>
    <row r="236" spans="1:22" ht="16" x14ac:dyDescent="0.2">
      <c r="A236">
        <f>Users!A234</f>
        <v>0</v>
      </c>
      <c r="B236" s="29" t="e">
        <f>VLOOKUP(A236,Users!A:D,2,FALSE)</f>
        <v>#N/A</v>
      </c>
      <c r="C236" s="29" t="e">
        <f>VLOOKUP(A236,Users!A:D,3,FALSE)</f>
        <v>#N/A</v>
      </c>
      <c r="F236" s="1" cm="1">
        <f t="array" ref="F236">MAX(_xlfn._xlws.FILTER(Visits!U:U,Visits!E:E='User Engagement'!A236))</f>
        <v>0</v>
      </c>
      <c r="G236">
        <f>COUNTIF(Visits!$E$2:$E$995,'User Engagement'!$A236)</f>
        <v>0</v>
      </c>
      <c r="H236">
        <f>COUNTIFS(Visits!$E$2:$E$995,'User Engagement'!$A237,Visits!$U$2:$U$995,"&gt;"&amp;($B$1-7))</f>
        <v>0</v>
      </c>
      <c r="I236">
        <f>COUNTIFS(Visits!$E$2:$E$995,'User Engagement'!$A236,Visits!$U$2:$U$995,"&gt;"&amp;($B$1-30))</f>
        <v>0</v>
      </c>
      <c r="J236">
        <f>COUNTIFS(Visits!$E$2:$E$995,$A236,Visits!$U$2:$U$995,"&gt;"&amp;($B$1-60))-I236</f>
        <v>0</v>
      </c>
      <c r="K236">
        <f>COUNTIFS(Visits!$V:$V,'New Dashboard'!$A$22,Visits!$E:$E,'User Engagement'!$A236)</f>
        <v>0</v>
      </c>
      <c r="L236">
        <f>COUNTIFS(Visits!$V:$V,'New Dashboard'!$A$23,Visits!$E:$E,'User Engagement'!$A236)</f>
        <v>0</v>
      </c>
      <c r="M236">
        <f>COUNTIFS(Visits!$V:$V,'New Dashboard'!$A$24,Visits!$E:$E,'User Engagement'!$A236)</f>
        <v>0</v>
      </c>
      <c r="N236">
        <f>COUNTIFS(Visits!$V:$V,'New Dashboard'!$A$25,Visits!$E:$E,'User Engagement'!$A236)</f>
        <v>0</v>
      </c>
      <c r="O236">
        <f t="shared" si="24"/>
        <v>1</v>
      </c>
      <c r="P236">
        <f t="shared" si="25"/>
        <v>0</v>
      </c>
      <c r="Q236">
        <f t="shared" si="25"/>
        <v>0</v>
      </c>
      <c r="R236">
        <f t="shared" si="21"/>
        <v>0</v>
      </c>
      <c r="S236" s="5">
        <f>SUMIF(Visits!$E$2:$E$89,'User Engagement'!$A236,Visits!$L$2:$L$89)</f>
        <v>0</v>
      </c>
      <c r="T236" s="5">
        <f>SUMIFS(Visits!$L$2:$L$89,Visits!$E$2:$E$89,'User Engagement'!$A236,Visits!$U$2:$U$89,"&gt;3/28/24")</f>
        <v>0</v>
      </c>
      <c r="U236" s="19" t="e">
        <f t="shared" si="22"/>
        <v>#DIV/0!</v>
      </c>
      <c r="V236" s="19" t="str">
        <f t="shared" si="23"/>
        <v>n/a</v>
      </c>
    </row>
    <row r="237" spans="1:22" ht="16" x14ac:dyDescent="0.2">
      <c r="A237">
        <f>Users!A235</f>
        <v>0</v>
      </c>
      <c r="B237" s="29" t="e">
        <f>VLOOKUP(A237,Users!A:D,2,FALSE)</f>
        <v>#N/A</v>
      </c>
      <c r="C237" s="29" t="e">
        <f>VLOOKUP(A237,Users!A:D,3,FALSE)</f>
        <v>#N/A</v>
      </c>
      <c r="F237" s="1" cm="1">
        <f t="array" ref="F237">MAX(_xlfn._xlws.FILTER(Visits!U:U,Visits!E:E='User Engagement'!A237))</f>
        <v>0</v>
      </c>
      <c r="G237">
        <f>COUNTIF(Visits!$E$2:$E$995,'User Engagement'!$A237)</f>
        <v>0</v>
      </c>
      <c r="H237">
        <f>COUNTIFS(Visits!$E$2:$E$995,'User Engagement'!$A238,Visits!$U$2:$U$995,"&gt;"&amp;($B$1-7))</f>
        <v>0</v>
      </c>
      <c r="I237">
        <f>COUNTIFS(Visits!$E$2:$E$995,'User Engagement'!$A237,Visits!$U$2:$U$995,"&gt;"&amp;($B$1-30))</f>
        <v>0</v>
      </c>
      <c r="J237">
        <f>COUNTIFS(Visits!$E$2:$E$995,$A237,Visits!$U$2:$U$995,"&gt;"&amp;($B$1-60))-I237</f>
        <v>0</v>
      </c>
      <c r="K237">
        <f>COUNTIFS(Visits!$V:$V,'New Dashboard'!$A$22,Visits!$E:$E,'User Engagement'!$A237)</f>
        <v>0</v>
      </c>
      <c r="L237">
        <f>COUNTIFS(Visits!$V:$V,'New Dashboard'!$A$23,Visits!$E:$E,'User Engagement'!$A237)</f>
        <v>0</v>
      </c>
      <c r="M237">
        <f>COUNTIFS(Visits!$V:$V,'New Dashboard'!$A$24,Visits!$E:$E,'User Engagement'!$A237)</f>
        <v>0</v>
      </c>
      <c r="N237">
        <f>COUNTIFS(Visits!$V:$V,'New Dashboard'!$A$25,Visits!$E:$E,'User Engagement'!$A237)</f>
        <v>0</v>
      </c>
      <c r="O237">
        <f t="shared" si="24"/>
        <v>1</v>
      </c>
      <c r="P237">
        <f t="shared" si="25"/>
        <v>0</v>
      </c>
      <c r="Q237">
        <f t="shared" si="25"/>
        <v>0</v>
      </c>
      <c r="R237">
        <f t="shared" si="21"/>
        <v>0</v>
      </c>
      <c r="S237" s="5">
        <f>SUMIF(Visits!$E$2:$E$89,'User Engagement'!$A237,Visits!$L$2:$L$89)</f>
        <v>0</v>
      </c>
      <c r="T237" s="5">
        <f>SUMIFS(Visits!$L$2:$L$89,Visits!$E$2:$E$89,'User Engagement'!$A237,Visits!$U$2:$U$89,"&gt;3/28/24")</f>
        <v>0</v>
      </c>
      <c r="U237" s="19" t="e">
        <f t="shared" si="22"/>
        <v>#DIV/0!</v>
      </c>
      <c r="V237" s="19" t="str">
        <f t="shared" si="23"/>
        <v>n/a</v>
      </c>
    </row>
    <row r="238" spans="1:22" ht="16" x14ac:dyDescent="0.2">
      <c r="A238">
        <f>Users!A236</f>
        <v>0</v>
      </c>
      <c r="B238" s="29" t="e">
        <f>VLOOKUP(A238,Users!A:D,2,FALSE)</f>
        <v>#N/A</v>
      </c>
      <c r="C238" s="29" t="e">
        <f>VLOOKUP(A238,Users!A:D,3,FALSE)</f>
        <v>#N/A</v>
      </c>
      <c r="F238" s="1" cm="1">
        <f t="array" ref="F238">MAX(_xlfn._xlws.FILTER(Visits!U:U,Visits!E:E='User Engagement'!A238))</f>
        <v>0</v>
      </c>
      <c r="G238">
        <f>COUNTIF(Visits!$E$2:$E$995,'User Engagement'!$A238)</f>
        <v>0</v>
      </c>
      <c r="H238">
        <f>COUNTIFS(Visits!$E$2:$E$995,'User Engagement'!$A239,Visits!$U$2:$U$995,"&gt;"&amp;($B$1-7))</f>
        <v>0</v>
      </c>
      <c r="I238">
        <f>COUNTIFS(Visits!$E$2:$E$995,'User Engagement'!$A238,Visits!$U$2:$U$995,"&gt;"&amp;($B$1-30))</f>
        <v>0</v>
      </c>
      <c r="J238">
        <f>COUNTIFS(Visits!$E$2:$E$995,$A238,Visits!$U$2:$U$995,"&gt;"&amp;($B$1-60))-I238</f>
        <v>0</v>
      </c>
      <c r="K238">
        <f>COUNTIFS(Visits!$V:$V,'New Dashboard'!$A$22,Visits!$E:$E,'User Engagement'!$A238)</f>
        <v>0</v>
      </c>
      <c r="L238">
        <f>COUNTIFS(Visits!$V:$V,'New Dashboard'!$A$23,Visits!$E:$E,'User Engagement'!$A238)</f>
        <v>0</v>
      </c>
      <c r="M238">
        <f>COUNTIFS(Visits!$V:$V,'New Dashboard'!$A$24,Visits!$E:$E,'User Engagement'!$A238)</f>
        <v>0</v>
      </c>
      <c r="N238">
        <f>COUNTIFS(Visits!$V:$V,'New Dashboard'!$A$25,Visits!$E:$E,'User Engagement'!$A238)</f>
        <v>0</v>
      </c>
      <c r="O238">
        <f t="shared" si="24"/>
        <v>1</v>
      </c>
      <c r="P238">
        <f t="shared" si="25"/>
        <v>0</v>
      </c>
      <c r="Q238">
        <f t="shared" si="25"/>
        <v>0</v>
      </c>
      <c r="R238">
        <f t="shared" si="21"/>
        <v>0</v>
      </c>
      <c r="S238" s="5">
        <f>SUMIF(Visits!$E$2:$E$89,'User Engagement'!$A238,Visits!$L$2:$L$89)</f>
        <v>0</v>
      </c>
      <c r="T238" s="5">
        <f>SUMIFS(Visits!$L$2:$L$89,Visits!$E$2:$E$89,'User Engagement'!$A238,Visits!$U$2:$U$89,"&gt;3/28/24")</f>
        <v>0</v>
      </c>
      <c r="U238" s="19" t="e">
        <f t="shared" si="22"/>
        <v>#DIV/0!</v>
      </c>
      <c r="V238" s="19" t="str">
        <f t="shared" si="23"/>
        <v>n/a</v>
      </c>
    </row>
    <row r="239" spans="1:22" ht="16" x14ac:dyDescent="0.2">
      <c r="A239">
        <f>Users!A237</f>
        <v>0</v>
      </c>
      <c r="B239" s="29" t="e">
        <f>VLOOKUP(A239,Users!A:D,2,FALSE)</f>
        <v>#N/A</v>
      </c>
      <c r="C239" s="29" t="e">
        <f>VLOOKUP(A239,Users!A:D,3,FALSE)</f>
        <v>#N/A</v>
      </c>
      <c r="F239" s="1" cm="1">
        <f t="array" ref="F239">MAX(_xlfn._xlws.FILTER(Visits!U:U,Visits!E:E='User Engagement'!A239))</f>
        <v>0</v>
      </c>
      <c r="G239">
        <f>COUNTIF(Visits!$E$2:$E$995,'User Engagement'!$A239)</f>
        <v>0</v>
      </c>
      <c r="H239">
        <f>COUNTIFS(Visits!$E$2:$E$995,'User Engagement'!$A240,Visits!$U$2:$U$995,"&gt;"&amp;($B$1-7))</f>
        <v>0</v>
      </c>
      <c r="I239">
        <f>COUNTIFS(Visits!$E$2:$E$995,'User Engagement'!$A239,Visits!$U$2:$U$995,"&gt;"&amp;($B$1-30))</f>
        <v>0</v>
      </c>
      <c r="J239">
        <f>COUNTIFS(Visits!$E$2:$E$995,$A239,Visits!$U$2:$U$995,"&gt;"&amp;($B$1-60))-I239</f>
        <v>0</v>
      </c>
      <c r="K239">
        <f>COUNTIFS(Visits!$V:$V,'New Dashboard'!$A$22,Visits!$E:$E,'User Engagement'!$A239)</f>
        <v>0</v>
      </c>
      <c r="L239">
        <f>COUNTIFS(Visits!$V:$V,'New Dashboard'!$A$23,Visits!$E:$E,'User Engagement'!$A239)</f>
        <v>0</v>
      </c>
      <c r="M239">
        <f>COUNTIFS(Visits!$V:$V,'New Dashboard'!$A$24,Visits!$E:$E,'User Engagement'!$A239)</f>
        <v>0</v>
      </c>
      <c r="N239">
        <f>COUNTIFS(Visits!$V:$V,'New Dashboard'!$A$25,Visits!$E:$E,'User Engagement'!$A239)</f>
        <v>0</v>
      </c>
      <c r="O239">
        <f t="shared" si="24"/>
        <v>1</v>
      </c>
      <c r="P239">
        <f t="shared" si="25"/>
        <v>0</v>
      </c>
      <c r="Q239">
        <f t="shared" si="25"/>
        <v>0</v>
      </c>
      <c r="R239">
        <f t="shared" si="21"/>
        <v>0</v>
      </c>
      <c r="S239" s="5">
        <f>SUMIF(Visits!$E$2:$E$89,'User Engagement'!$A239,Visits!$L$2:$L$89)</f>
        <v>0</v>
      </c>
      <c r="T239" s="5">
        <f>SUMIFS(Visits!$L$2:$L$89,Visits!$E$2:$E$89,'User Engagement'!$A239,Visits!$U$2:$U$89,"&gt;3/28/24")</f>
        <v>0</v>
      </c>
      <c r="U239" s="19" t="e">
        <f t="shared" si="22"/>
        <v>#DIV/0!</v>
      </c>
      <c r="V239" s="19" t="str">
        <f t="shared" si="23"/>
        <v>n/a</v>
      </c>
    </row>
    <row r="240" spans="1:22" ht="16" x14ac:dyDescent="0.2">
      <c r="A240">
        <f>Users!A238</f>
        <v>0</v>
      </c>
      <c r="B240" s="29" t="e">
        <f>VLOOKUP(A240,Users!A:D,2,FALSE)</f>
        <v>#N/A</v>
      </c>
      <c r="C240" s="29" t="e">
        <f>VLOOKUP(A240,Users!A:D,3,FALSE)</f>
        <v>#N/A</v>
      </c>
      <c r="F240" s="1" cm="1">
        <f t="array" ref="F240">MAX(_xlfn._xlws.FILTER(Visits!U:U,Visits!E:E='User Engagement'!A240))</f>
        <v>0</v>
      </c>
      <c r="G240">
        <f>COUNTIF(Visits!$E$2:$E$995,'User Engagement'!$A240)</f>
        <v>0</v>
      </c>
      <c r="H240">
        <f>COUNTIFS(Visits!$E$2:$E$995,'User Engagement'!$A241,Visits!$U$2:$U$995,"&gt;"&amp;($B$1-7))</f>
        <v>0</v>
      </c>
      <c r="I240">
        <f>COUNTIFS(Visits!$E$2:$E$995,'User Engagement'!$A240,Visits!$U$2:$U$995,"&gt;"&amp;($B$1-30))</f>
        <v>0</v>
      </c>
      <c r="J240">
        <f>COUNTIFS(Visits!$E$2:$E$995,$A240,Visits!$U$2:$U$995,"&gt;"&amp;($B$1-60))-I240</f>
        <v>0</v>
      </c>
      <c r="K240">
        <f>COUNTIFS(Visits!$V:$V,'New Dashboard'!$A$22,Visits!$E:$E,'User Engagement'!$A240)</f>
        <v>0</v>
      </c>
      <c r="L240">
        <f>COUNTIFS(Visits!$V:$V,'New Dashboard'!$A$23,Visits!$E:$E,'User Engagement'!$A240)</f>
        <v>0</v>
      </c>
      <c r="M240">
        <f>COUNTIFS(Visits!$V:$V,'New Dashboard'!$A$24,Visits!$E:$E,'User Engagement'!$A240)</f>
        <v>0</v>
      </c>
      <c r="N240">
        <f>COUNTIFS(Visits!$V:$V,'New Dashboard'!$A$25,Visits!$E:$E,'User Engagement'!$A240)</f>
        <v>0</v>
      </c>
      <c r="O240">
        <f t="shared" si="24"/>
        <v>1</v>
      </c>
      <c r="P240">
        <f t="shared" si="25"/>
        <v>0</v>
      </c>
      <c r="Q240">
        <f t="shared" si="25"/>
        <v>0</v>
      </c>
      <c r="R240">
        <f t="shared" si="21"/>
        <v>0</v>
      </c>
      <c r="S240" s="5">
        <f>SUMIF(Visits!$E$2:$E$89,'User Engagement'!$A240,Visits!$L$2:$L$89)</f>
        <v>0</v>
      </c>
      <c r="T240" s="5">
        <f>SUMIFS(Visits!$L$2:$L$89,Visits!$E$2:$E$89,'User Engagement'!$A240,Visits!$U$2:$U$89,"&gt;3/28/24")</f>
        <v>0</v>
      </c>
      <c r="U240" s="19" t="e">
        <f t="shared" si="22"/>
        <v>#DIV/0!</v>
      </c>
      <c r="V240" s="19" t="str">
        <f t="shared" si="23"/>
        <v>n/a</v>
      </c>
    </row>
    <row r="241" spans="1:22" ht="16" x14ac:dyDescent="0.2">
      <c r="A241">
        <f>Users!A239</f>
        <v>0</v>
      </c>
      <c r="B241" s="29" t="e">
        <f>VLOOKUP(A241,Users!A:D,2,FALSE)</f>
        <v>#N/A</v>
      </c>
      <c r="C241" s="29" t="e">
        <f>VLOOKUP(A241,Users!A:D,3,FALSE)</f>
        <v>#N/A</v>
      </c>
      <c r="F241" s="1" cm="1">
        <f t="array" ref="F241">MAX(_xlfn._xlws.FILTER(Visits!U:U,Visits!E:E='User Engagement'!A241))</f>
        <v>0</v>
      </c>
      <c r="G241">
        <f>COUNTIF(Visits!$E$2:$E$995,'User Engagement'!$A241)</f>
        <v>0</v>
      </c>
      <c r="H241">
        <f>COUNTIFS(Visits!$E$2:$E$995,'User Engagement'!$A242,Visits!$U$2:$U$995,"&gt;"&amp;($B$1-7))</f>
        <v>0</v>
      </c>
      <c r="I241">
        <f>COUNTIFS(Visits!$E$2:$E$995,'User Engagement'!$A241,Visits!$U$2:$U$995,"&gt;"&amp;($B$1-30))</f>
        <v>0</v>
      </c>
      <c r="J241">
        <f>COUNTIFS(Visits!$E$2:$E$995,$A241,Visits!$U$2:$U$995,"&gt;"&amp;($B$1-60))-I241</f>
        <v>0</v>
      </c>
      <c r="K241">
        <f>COUNTIFS(Visits!$V:$V,'New Dashboard'!$A$22,Visits!$E:$E,'User Engagement'!$A241)</f>
        <v>0</v>
      </c>
      <c r="L241">
        <f>COUNTIFS(Visits!$V:$V,'New Dashboard'!$A$23,Visits!$E:$E,'User Engagement'!$A241)</f>
        <v>0</v>
      </c>
      <c r="M241">
        <f>COUNTIFS(Visits!$V:$V,'New Dashboard'!$A$24,Visits!$E:$E,'User Engagement'!$A241)</f>
        <v>0</v>
      </c>
      <c r="N241">
        <f>COUNTIFS(Visits!$V:$V,'New Dashboard'!$A$25,Visits!$E:$E,'User Engagement'!$A241)</f>
        <v>0</v>
      </c>
      <c r="O241">
        <f t="shared" si="24"/>
        <v>1</v>
      </c>
      <c r="P241">
        <f t="shared" si="25"/>
        <v>0</v>
      </c>
      <c r="Q241">
        <f t="shared" si="25"/>
        <v>0</v>
      </c>
      <c r="R241">
        <f t="shared" si="21"/>
        <v>0</v>
      </c>
      <c r="S241" s="5">
        <f>SUMIF(Visits!$E$2:$E$89,'User Engagement'!$A241,Visits!$L$2:$L$89)</f>
        <v>0</v>
      </c>
      <c r="T241" s="5">
        <f>SUMIFS(Visits!$L$2:$L$89,Visits!$E$2:$E$89,'User Engagement'!$A241,Visits!$U$2:$U$89,"&gt;3/28/24")</f>
        <v>0</v>
      </c>
      <c r="U241" s="19" t="e">
        <f t="shared" si="22"/>
        <v>#DIV/0!</v>
      </c>
      <c r="V241" s="19" t="str">
        <f t="shared" si="23"/>
        <v>n/a</v>
      </c>
    </row>
    <row r="242" spans="1:22" ht="16" x14ac:dyDescent="0.2">
      <c r="A242">
        <f>Users!A240</f>
        <v>0</v>
      </c>
      <c r="B242" s="29" t="e">
        <f>VLOOKUP(A242,Users!A:D,2,FALSE)</f>
        <v>#N/A</v>
      </c>
      <c r="C242" s="29" t="e">
        <f>VLOOKUP(A242,Users!A:D,3,FALSE)</f>
        <v>#N/A</v>
      </c>
      <c r="F242" s="1" cm="1">
        <f t="array" ref="F242">MAX(_xlfn._xlws.FILTER(Visits!U:U,Visits!E:E='User Engagement'!A242))</f>
        <v>0</v>
      </c>
      <c r="G242">
        <f>COUNTIF(Visits!$E$2:$E$995,'User Engagement'!$A242)</f>
        <v>0</v>
      </c>
      <c r="H242">
        <f>COUNTIFS(Visits!$E$2:$E$995,'User Engagement'!$A243,Visits!$U$2:$U$995,"&gt;"&amp;($B$1-7))</f>
        <v>0</v>
      </c>
      <c r="I242">
        <f>COUNTIFS(Visits!$E$2:$E$995,'User Engagement'!$A242,Visits!$U$2:$U$995,"&gt;"&amp;($B$1-30))</f>
        <v>0</v>
      </c>
      <c r="J242">
        <f>COUNTIFS(Visits!$E$2:$E$995,$A242,Visits!$U$2:$U$995,"&gt;"&amp;($B$1-60))-I242</f>
        <v>0</v>
      </c>
      <c r="K242">
        <f>COUNTIFS(Visits!$V:$V,'New Dashboard'!$A$22,Visits!$E:$E,'User Engagement'!$A242)</f>
        <v>0</v>
      </c>
      <c r="L242">
        <f>COUNTIFS(Visits!$V:$V,'New Dashboard'!$A$23,Visits!$E:$E,'User Engagement'!$A242)</f>
        <v>0</v>
      </c>
      <c r="M242">
        <f>COUNTIFS(Visits!$V:$V,'New Dashboard'!$A$24,Visits!$E:$E,'User Engagement'!$A242)</f>
        <v>0</v>
      </c>
      <c r="N242">
        <f>COUNTIFS(Visits!$V:$V,'New Dashboard'!$A$25,Visits!$E:$E,'User Engagement'!$A242)</f>
        <v>0</v>
      </c>
      <c r="O242">
        <f t="shared" si="24"/>
        <v>1</v>
      </c>
      <c r="P242">
        <f t="shared" si="25"/>
        <v>0</v>
      </c>
      <c r="Q242">
        <f t="shared" si="25"/>
        <v>0</v>
      </c>
      <c r="R242">
        <f t="shared" si="21"/>
        <v>0</v>
      </c>
      <c r="S242" s="5">
        <f>SUMIF(Visits!$E$2:$E$89,'User Engagement'!$A242,Visits!$L$2:$L$89)</f>
        <v>0</v>
      </c>
      <c r="T242" s="5">
        <f>SUMIFS(Visits!$L$2:$L$89,Visits!$E$2:$E$89,'User Engagement'!$A242,Visits!$U$2:$U$89,"&gt;3/28/24")</f>
        <v>0</v>
      </c>
      <c r="U242" s="19" t="e">
        <f t="shared" si="22"/>
        <v>#DIV/0!</v>
      </c>
      <c r="V242" s="19" t="str">
        <f t="shared" si="23"/>
        <v>n/a</v>
      </c>
    </row>
    <row r="243" spans="1:22" ht="16" x14ac:dyDescent="0.2">
      <c r="A243">
        <f>Users!A241</f>
        <v>0</v>
      </c>
      <c r="B243" s="29" t="e">
        <f>VLOOKUP(A243,Users!A:D,2,FALSE)</f>
        <v>#N/A</v>
      </c>
      <c r="C243" s="29" t="e">
        <f>VLOOKUP(A243,Users!A:D,3,FALSE)</f>
        <v>#N/A</v>
      </c>
      <c r="F243" s="1" cm="1">
        <f t="array" ref="F243">MAX(_xlfn._xlws.FILTER(Visits!U:U,Visits!E:E='User Engagement'!A243))</f>
        <v>0</v>
      </c>
      <c r="G243">
        <f>COUNTIF(Visits!$E$2:$E$995,'User Engagement'!$A243)</f>
        <v>0</v>
      </c>
      <c r="H243">
        <f>COUNTIFS(Visits!$E$2:$E$995,'User Engagement'!$A244,Visits!$U$2:$U$995,"&gt;"&amp;($B$1-7))</f>
        <v>0</v>
      </c>
      <c r="I243">
        <f>COUNTIFS(Visits!$E$2:$E$995,'User Engagement'!$A243,Visits!$U$2:$U$995,"&gt;"&amp;($B$1-30))</f>
        <v>0</v>
      </c>
      <c r="J243">
        <f>COUNTIFS(Visits!$E$2:$E$995,$A243,Visits!$U$2:$U$995,"&gt;"&amp;($B$1-60))-I243</f>
        <v>0</v>
      </c>
      <c r="K243">
        <f>COUNTIFS(Visits!$V:$V,'New Dashboard'!$A$22,Visits!$E:$E,'User Engagement'!$A243)</f>
        <v>0</v>
      </c>
      <c r="L243">
        <f>COUNTIFS(Visits!$V:$V,'New Dashboard'!$A$23,Visits!$E:$E,'User Engagement'!$A243)</f>
        <v>0</v>
      </c>
      <c r="M243">
        <f>COUNTIFS(Visits!$V:$V,'New Dashboard'!$A$24,Visits!$E:$E,'User Engagement'!$A243)</f>
        <v>0</v>
      </c>
      <c r="N243">
        <f>COUNTIFS(Visits!$V:$V,'New Dashboard'!$A$25,Visits!$E:$E,'User Engagement'!$A243)</f>
        <v>0</v>
      </c>
      <c r="O243">
        <f t="shared" si="24"/>
        <v>1</v>
      </c>
      <c r="P243">
        <f t="shared" si="25"/>
        <v>0</v>
      </c>
      <c r="Q243">
        <f t="shared" si="25"/>
        <v>0</v>
      </c>
      <c r="R243">
        <f t="shared" si="21"/>
        <v>0</v>
      </c>
      <c r="S243" s="5">
        <f>SUMIF(Visits!$E$2:$E$89,'User Engagement'!$A243,Visits!$L$2:$L$89)</f>
        <v>0</v>
      </c>
      <c r="T243" s="5">
        <f>SUMIFS(Visits!$L$2:$L$89,Visits!$E$2:$E$89,'User Engagement'!$A243,Visits!$U$2:$U$89,"&gt;3/28/24")</f>
        <v>0</v>
      </c>
      <c r="U243" s="19" t="e">
        <f t="shared" si="22"/>
        <v>#DIV/0!</v>
      </c>
      <c r="V243" s="19" t="str">
        <f t="shared" si="23"/>
        <v>n/a</v>
      </c>
    </row>
    <row r="244" spans="1:22" ht="16" x14ac:dyDescent="0.2">
      <c r="A244">
        <f>Users!A242</f>
        <v>0</v>
      </c>
      <c r="B244" s="29" t="e">
        <f>VLOOKUP(A244,Users!A:D,2,FALSE)</f>
        <v>#N/A</v>
      </c>
      <c r="C244" s="29" t="e">
        <f>VLOOKUP(A244,Users!A:D,3,FALSE)</f>
        <v>#N/A</v>
      </c>
      <c r="F244" s="1" cm="1">
        <f t="array" ref="F244">MAX(_xlfn._xlws.FILTER(Visits!U:U,Visits!E:E='User Engagement'!A244))</f>
        <v>0</v>
      </c>
      <c r="G244">
        <f>COUNTIF(Visits!$E$2:$E$995,'User Engagement'!$A244)</f>
        <v>0</v>
      </c>
      <c r="H244">
        <f>COUNTIFS(Visits!$E$2:$E$995,'User Engagement'!$A245,Visits!$U$2:$U$995,"&gt;"&amp;($B$1-7))</f>
        <v>0</v>
      </c>
      <c r="I244">
        <f>COUNTIFS(Visits!$E$2:$E$995,'User Engagement'!$A244,Visits!$U$2:$U$995,"&gt;"&amp;($B$1-30))</f>
        <v>0</v>
      </c>
      <c r="J244">
        <f>COUNTIFS(Visits!$E$2:$E$995,$A244,Visits!$U$2:$U$995,"&gt;"&amp;($B$1-60))-I244</f>
        <v>0</v>
      </c>
      <c r="K244">
        <f>COUNTIFS(Visits!$V:$V,'New Dashboard'!$A$22,Visits!$E:$E,'User Engagement'!$A244)</f>
        <v>0</v>
      </c>
      <c r="L244">
        <f>COUNTIFS(Visits!$V:$V,'New Dashboard'!$A$23,Visits!$E:$E,'User Engagement'!$A244)</f>
        <v>0</v>
      </c>
      <c r="M244">
        <f>COUNTIFS(Visits!$V:$V,'New Dashboard'!$A$24,Visits!$E:$E,'User Engagement'!$A244)</f>
        <v>0</v>
      </c>
      <c r="N244">
        <f>COUNTIFS(Visits!$V:$V,'New Dashboard'!$A$25,Visits!$E:$E,'User Engagement'!$A244)</f>
        <v>0</v>
      </c>
      <c r="O244">
        <f t="shared" si="24"/>
        <v>1</v>
      </c>
      <c r="P244">
        <f t="shared" si="25"/>
        <v>0</v>
      </c>
      <c r="Q244">
        <f t="shared" si="25"/>
        <v>0</v>
      </c>
      <c r="R244">
        <f t="shared" si="21"/>
        <v>0</v>
      </c>
      <c r="S244" s="5">
        <f>SUMIF(Visits!$E$2:$E$89,'User Engagement'!$A244,Visits!$L$2:$L$89)</f>
        <v>0</v>
      </c>
      <c r="T244" s="5">
        <f>SUMIFS(Visits!$L$2:$L$89,Visits!$E$2:$E$89,'User Engagement'!$A244,Visits!$U$2:$U$89,"&gt;3/28/24")</f>
        <v>0</v>
      </c>
      <c r="U244" s="19" t="e">
        <f t="shared" si="22"/>
        <v>#DIV/0!</v>
      </c>
      <c r="V244" s="19" t="str">
        <f t="shared" si="23"/>
        <v>n/a</v>
      </c>
    </row>
    <row r="245" spans="1:22" ht="16" x14ac:dyDescent="0.2">
      <c r="A245">
        <f>Users!A243</f>
        <v>0</v>
      </c>
      <c r="B245" s="29" t="e">
        <f>VLOOKUP(A245,Users!A:D,2,FALSE)</f>
        <v>#N/A</v>
      </c>
      <c r="C245" s="29" t="e">
        <f>VLOOKUP(A245,Users!A:D,3,FALSE)</f>
        <v>#N/A</v>
      </c>
      <c r="F245" s="1" cm="1">
        <f t="array" ref="F245">MAX(_xlfn._xlws.FILTER(Visits!U:U,Visits!E:E='User Engagement'!A245))</f>
        <v>0</v>
      </c>
      <c r="G245">
        <f>COUNTIF(Visits!$E$2:$E$995,'User Engagement'!$A245)</f>
        <v>0</v>
      </c>
      <c r="H245">
        <f>COUNTIFS(Visits!$E$2:$E$995,'User Engagement'!$A246,Visits!$U$2:$U$995,"&gt;"&amp;($B$1-7))</f>
        <v>0</v>
      </c>
      <c r="I245">
        <f>COUNTIFS(Visits!$E$2:$E$995,'User Engagement'!$A245,Visits!$U$2:$U$995,"&gt;"&amp;($B$1-30))</f>
        <v>0</v>
      </c>
      <c r="J245">
        <f>COUNTIFS(Visits!$E$2:$E$995,$A245,Visits!$U$2:$U$995,"&gt;"&amp;($B$1-60))-I245</f>
        <v>0</v>
      </c>
      <c r="K245">
        <f>COUNTIFS(Visits!$V:$V,'New Dashboard'!$A$22,Visits!$E:$E,'User Engagement'!$A245)</f>
        <v>0</v>
      </c>
      <c r="L245">
        <f>COUNTIFS(Visits!$V:$V,'New Dashboard'!$A$23,Visits!$E:$E,'User Engagement'!$A245)</f>
        <v>0</v>
      </c>
      <c r="M245">
        <f>COUNTIFS(Visits!$V:$V,'New Dashboard'!$A$24,Visits!$E:$E,'User Engagement'!$A245)</f>
        <v>0</v>
      </c>
      <c r="N245">
        <f>COUNTIFS(Visits!$V:$V,'New Dashboard'!$A$25,Visits!$E:$E,'User Engagement'!$A245)</f>
        <v>0</v>
      </c>
      <c r="O245">
        <f t="shared" si="24"/>
        <v>1</v>
      </c>
      <c r="P245">
        <f t="shared" si="25"/>
        <v>0</v>
      </c>
      <c r="Q245">
        <f t="shared" si="25"/>
        <v>0</v>
      </c>
      <c r="R245">
        <f t="shared" si="21"/>
        <v>0</v>
      </c>
      <c r="S245" s="5">
        <f>SUMIF(Visits!$E$2:$E$89,'User Engagement'!$A245,Visits!$L$2:$L$89)</f>
        <v>0</v>
      </c>
      <c r="T245" s="5">
        <f>SUMIFS(Visits!$L$2:$L$89,Visits!$E$2:$E$89,'User Engagement'!$A245,Visits!$U$2:$U$89,"&gt;3/28/24")</f>
        <v>0</v>
      </c>
      <c r="U245" s="19" t="e">
        <f t="shared" si="22"/>
        <v>#DIV/0!</v>
      </c>
      <c r="V245" s="19" t="str">
        <f t="shared" si="23"/>
        <v>n/a</v>
      </c>
    </row>
    <row r="246" spans="1:22" ht="16" x14ac:dyDescent="0.2">
      <c r="A246">
        <f>Users!A244</f>
        <v>0</v>
      </c>
      <c r="B246" s="29" t="e">
        <f>VLOOKUP(A246,Users!A:D,2,FALSE)</f>
        <v>#N/A</v>
      </c>
      <c r="C246" s="29" t="e">
        <f>VLOOKUP(A246,Users!A:D,3,FALSE)</f>
        <v>#N/A</v>
      </c>
      <c r="F246" s="1" cm="1">
        <f t="array" ref="F246">MAX(_xlfn._xlws.FILTER(Visits!U:U,Visits!E:E='User Engagement'!A246))</f>
        <v>0</v>
      </c>
      <c r="G246">
        <f>COUNTIF(Visits!$E$2:$E$995,'User Engagement'!$A246)</f>
        <v>0</v>
      </c>
      <c r="H246">
        <f>COUNTIFS(Visits!$E$2:$E$995,'User Engagement'!$A247,Visits!$U$2:$U$995,"&gt;"&amp;($B$1-7))</f>
        <v>0</v>
      </c>
      <c r="I246">
        <f>COUNTIFS(Visits!$E$2:$E$995,'User Engagement'!$A246,Visits!$U$2:$U$995,"&gt;"&amp;($B$1-30))</f>
        <v>0</v>
      </c>
      <c r="J246">
        <f>COUNTIFS(Visits!$E$2:$E$995,$A246,Visits!$U$2:$U$995,"&gt;"&amp;($B$1-60))-I246</f>
        <v>0</v>
      </c>
      <c r="K246">
        <f>COUNTIFS(Visits!$V:$V,'New Dashboard'!$A$22,Visits!$E:$E,'User Engagement'!$A246)</f>
        <v>0</v>
      </c>
      <c r="L246">
        <f>COUNTIFS(Visits!$V:$V,'New Dashboard'!$A$23,Visits!$E:$E,'User Engagement'!$A246)</f>
        <v>0</v>
      </c>
      <c r="M246">
        <f>COUNTIFS(Visits!$V:$V,'New Dashboard'!$A$24,Visits!$E:$E,'User Engagement'!$A246)</f>
        <v>0</v>
      </c>
      <c r="N246">
        <f>COUNTIFS(Visits!$V:$V,'New Dashboard'!$A$25,Visits!$E:$E,'User Engagement'!$A246)</f>
        <v>0</v>
      </c>
      <c r="O246">
        <f t="shared" si="24"/>
        <v>1</v>
      </c>
      <c r="P246">
        <f t="shared" si="25"/>
        <v>0</v>
      </c>
      <c r="Q246">
        <f t="shared" si="25"/>
        <v>0</v>
      </c>
      <c r="R246">
        <f t="shared" si="21"/>
        <v>0</v>
      </c>
      <c r="S246" s="5">
        <f>SUMIF(Visits!$E$2:$E$89,'User Engagement'!$A246,Visits!$L$2:$L$89)</f>
        <v>0</v>
      </c>
      <c r="T246" s="5">
        <f>SUMIFS(Visits!$L$2:$L$89,Visits!$E$2:$E$89,'User Engagement'!$A246,Visits!$U$2:$U$89,"&gt;3/28/24")</f>
        <v>0</v>
      </c>
      <c r="U246" s="19" t="e">
        <f t="shared" si="22"/>
        <v>#DIV/0!</v>
      </c>
      <c r="V246" s="19" t="str">
        <f t="shared" si="23"/>
        <v>n/a</v>
      </c>
    </row>
    <row r="247" spans="1:22" ht="16" x14ac:dyDescent="0.2">
      <c r="A247">
        <f>Users!A245</f>
        <v>0</v>
      </c>
      <c r="B247" s="29" t="e">
        <f>VLOOKUP(A247,Users!A:D,2,FALSE)</f>
        <v>#N/A</v>
      </c>
      <c r="C247" s="29" t="e">
        <f>VLOOKUP(A247,Users!A:D,3,FALSE)</f>
        <v>#N/A</v>
      </c>
      <c r="F247" s="1" cm="1">
        <f t="array" ref="F247">MAX(_xlfn._xlws.FILTER(Visits!U:U,Visits!E:E='User Engagement'!A247))</f>
        <v>0</v>
      </c>
      <c r="G247">
        <f>COUNTIF(Visits!$E$2:$E$995,'User Engagement'!$A247)</f>
        <v>0</v>
      </c>
      <c r="H247">
        <f>COUNTIFS(Visits!$E$2:$E$995,'User Engagement'!$A248,Visits!$U$2:$U$995,"&gt;"&amp;($B$1-7))</f>
        <v>0</v>
      </c>
      <c r="I247">
        <f>COUNTIFS(Visits!$E$2:$E$995,'User Engagement'!$A247,Visits!$U$2:$U$995,"&gt;"&amp;($B$1-30))</f>
        <v>0</v>
      </c>
      <c r="J247">
        <f>COUNTIFS(Visits!$E$2:$E$995,$A247,Visits!$U$2:$U$995,"&gt;"&amp;($B$1-60))-I247</f>
        <v>0</v>
      </c>
      <c r="K247">
        <f>COUNTIFS(Visits!$V:$V,'New Dashboard'!$A$22,Visits!$E:$E,'User Engagement'!$A247)</f>
        <v>0</v>
      </c>
      <c r="L247">
        <f>COUNTIFS(Visits!$V:$V,'New Dashboard'!$A$23,Visits!$E:$E,'User Engagement'!$A247)</f>
        <v>0</v>
      </c>
      <c r="M247">
        <f>COUNTIFS(Visits!$V:$V,'New Dashboard'!$A$24,Visits!$E:$E,'User Engagement'!$A247)</f>
        <v>0</v>
      </c>
      <c r="N247">
        <f>COUNTIFS(Visits!$V:$V,'New Dashboard'!$A$25,Visits!$E:$E,'User Engagement'!$A247)</f>
        <v>0</v>
      </c>
      <c r="O247">
        <f t="shared" si="24"/>
        <v>1</v>
      </c>
      <c r="P247">
        <f t="shared" si="25"/>
        <v>0</v>
      </c>
      <c r="Q247">
        <f t="shared" si="25"/>
        <v>0</v>
      </c>
      <c r="R247">
        <f t="shared" si="21"/>
        <v>0</v>
      </c>
      <c r="S247" s="5">
        <f>SUMIF(Visits!$E$2:$E$89,'User Engagement'!$A247,Visits!$L$2:$L$89)</f>
        <v>0</v>
      </c>
      <c r="T247" s="5">
        <f>SUMIFS(Visits!$L$2:$L$89,Visits!$E$2:$E$89,'User Engagement'!$A247,Visits!$U$2:$U$89,"&gt;3/28/24")</f>
        <v>0</v>
      </c>
      <c r="U247" s="19" t="e">
        <f t="shared" si="22"/>
        <v>#DIV/0!</v>
      </c>
      <c r="V247" s="19" t="str">
        <f t="shared" si="23"/>
        <v>n/a</v>
      </c>
    </row>
    <row r="248" spans="1:22" ht="16" x14ac:dyDescent="0.2">
      <c r="A248">
        <f>Users!A246</f>
        <v>0</v>
      </c>
      <c r="B248" s="29" t="e">
        <f>VLOOKUP(A248,Users!A:D,2,FALSE)</f>
        <v>#N/A</v>
      </c>
      <c r="C248" s="29" t="e">
        <f>VLOOKUP(A248,Users!A:D,3,FALSE)</f>
        <v>#N/A</v>
      </c>
      <c r="F248" s="1" cm="1">
        <f t="array" ref="F248">MAX(_xlfn._xlws.FILTER(Visits!U:U,Visits!E:E='User Engagement'!A248))</f>
        <v>0</v>
      </c>
      <c r="G248">
        <f>COUNTIF(Visits!$E$2:$E$995,'User Engagement'!$A248)</f>
        <v>0</v>
      </c>
      <c r="H248">
        <f>COUNTIFS(Visits!$E$2:$E$995,'User Engagement'!$A249,Visits!$U$2:$U$995,"&gt;"&amp;($B$1-7))</f>
        <v>0</v>
      </c>
      <c r="I248">
        <f>COUNTIFS(Visits!$E$2:$E$995,'User Engagement'!$A248,Visits!$U$2:$U$995,"&gt;"&amp;($B$1-30))</f>
        <v>0</v>
      </c>
      <c r="J248">
        <f>COUNTIFS(Visits!$E$2:$E$995,$A248,Visits!$U$2:$U$995,"&gt;"&amp;($B$1-60))-I248</f>
        <v>0</v>
      </c>
      <c r="K248">
        <f>COUNTIFS(Visits!$V:$V,'New Dashboard'!$A$22,Visits!$E:$E,'User Engagement'!$A248)</f>
        <v>0</v>
      </c>
      <c r="L248">
        <f>COUNTIFS(Visits!$V:$V,'New Dashboard'!$A$23,Visits!$E:$E,'User Engagement'!$A248)</f>
        <v>0</v>
      </c>
      <c r="M248">
        <f>COUNTIFS(Visits!$V:$V,'New Dashboard'!$A$24,Visits!$E:$E,'User Engagement'!$A248)</f>
        <v>0</v>
      </c>
      <c r="N248">
        <f>COUNTIFS(Visits!$V:$V,'New Dashboard'!$A$25,Visits!$E:$E,'User Engagement'!$A248)</f>
        <v>0</v>
      </c>
      <c r="O248">
        <f t="shared" si="24"/>
        <v>1</v>
      </c>
      <c r="P248">
        <f t="shared" si="25"/>
        <v>0</v>
      </c>
      <c r="Q248">
        <f t="shared" si="25"/>
        <v>0</v>
      </c>
      <c r="R248">
        <f t="shared" si="21"/>
        <v>0</v>
      </c>
      <c r="S248" s="5">
        <f>SUMIF(Visits!$E$2:$E$89,'User Engagement'!$A248,Visits!$L$2:$L$89)</f>
        <v>0</v>
      </c>
      <c r="T248" s="5">
        <f>SUMIFS(Visits!$L$2:$L$89,Visits!$E$2:$E$89,'User Engagement'!$A248,Visits!$U$2:$U$89,"&gt;3/28/24")</f>
        <v>0</v>
      </c>
      <c r="U248" s="19" t="e">
        <f t="shared" si="22"/>
        <v>#DIV/0!</v>
      </c>
      <c r="V248" s="19" t="str">
        <f t="shared" si="23"/>
        <v>n/a</v>
      </c>
    </row>
    <row r="249" spans="1:22" ht="16" x14ac:dyDescent="0.2">
      <c r="A249">
        <f>Users!A247</f>
        <v>0</v>
      </c>
      <c r="B249" s="29" t="e">
        <f>VLOOKUP(A249,Users!A:D,2,FALSE)</f>
        <v>#N/A</v>
      </c>
      <c r="C249" s="29" t="e">
        <f>VLOOKUP(A249,Users!A:D,3,FALSE)</f>
        <v>#N/A</v>
      </c>
      <c r="F249" s="1" cm="1">
        <f t="array" ref="F249">MAX(_xlfn._xlws.FILTER(Visits!U:U,Visits!E:E='User Engagement'!A249))</f>
        <v>0</v>
      </c>
      <c r="G249">
        <f>COUNTIF(Visits!$E$2:$E$995,'User Engagement'!$A249)</f>
        <v>0</v>
      </c>
      <c r="H249">
        <f>COUNTIFS(Visits!$E$2:$E$995,'User Engagement'!$A250,Visits!$U$2:$U$995,"&gt;"&amp;($B$1-7))</f>
        <v>0</v>
      </c>
      <c r="I249">
        <f>COUNTIFS(Visits!$E$2:$E$995,'User Engagement'!$A249,Visits!$U$2:$U$995,"&gt;"&amp;($B$1-30))</f>
        <v>0</v>
      </c>
      <c r="J249">
        <f>COUNTIFS(Visits!$E$2:$E$995,$A249,Visits!$U$2:$U$995,"&gt;"&amp;($B$1-60))-I249</f>
        <v>0</v>
      </c>
      <c r="K249">
        <f>COUNTIFS(Visits!$V:$V,'New Dashboard'!$A$22,Visits!$E:$E,'User Engagement'!$A249)</f>
        <v>0</v>
      </c>
      <c r="L249">
        <f>COUNTIFS(Visits!$V:$V,'New Dashboard'!$A$23,Visits!$E:$E,'User Engagement'!$A249)</f>
        <v>0</v>
      </c>
      <c r="M249">
        <f>COUNTIFS(Visits!$V:$V,'New Dashboard'!$A$24,Visits!$E:$E,'User Engagement'!$A249)</f>
        <v>0</v>
      </c>
      <c r="N249">
        <f>COUNTIFS(Visits!$V:$V,'New Dashboard'!$A$25,Visits!$E:$E,'User Engagement'!$A249)</f>
        <v>0</v>
      </c>
      <c r="O249">
        <f t="shared" si="24"/>
        <v>1</v>
      </c>
      <c r="P249">
        <f t="shared" si="25"/>
        <v>0</v>
      </c>
      <c r="Q249">
        <f t="shared" si="25"/>
        <v>0</v>
      </c>
      <c r="R249">
        <f t="shared" si="21"/>
        <v>0</v>
      </c>
      <c r="S249" s="5">
        <f>SUMIF(Visits!$E$2:$E$89,'User Engagement'!$A249,Visits!$L$2:$L$89)</f>
        <v>0</v>
      </c>
      <c r="T249" s="5">
        <f>SUMIFS(Visits!$L$2:$L$89,Visits!$E$2:$E$89,'User Engagement'!$A249,Visits!$U$2:$U$89,"&gt;3/28/24")</f>
        <v>0</v>
      </c>
      <c r="U249" s="19" t="e">
        <f t="shared" si="22"/>
        <v>#DIV/0!</v>
      </c>
      <c r="V249" s="19" t="str">
        <f t="shared" si="23"/>
        <v>n/a</v>
      </c>
    </row>
    <row r="250" spans="1:22" ht="16" x14ac:dyDescent="0.2">
      <c r="A250">
        <f>Users!A248</f>
        <v>0</v>
      </c>
      <c r="B250" s="29" t="e">
        <f>VLOOKUP(A250,Users!A:D,2,FALSE)</f>
        <v>#N/A</v>
      </c>
      <c r="C250" s="29" t="e">
        <f>VLOOKUP(A250,Users!A:D,3,FALSE)</f>
        <v>#N/A</v>
      </c>
      <c r="F250" s="1" cm="1">
        <f t="array" ref="F250">MAX(_xlfn._xlws.FILTER(Visits!U:U,Visits!E:E='User Engagement'!A250))</f>
        <v>0</v>
      </c>
      <c r="G250">
        <f>COUNTIF(Visits!$E$2:$E$995,'User Engagement'!$A250)</f>
        <v>0</v>
      </c>
      <c r="H250">
        <f>COUNTIFS(Visits!$E$2:$E$995,'User Engagement'!$A251,Visits!$U$2:$U$995,"&gt;"&amp;($B$1-7))</f>
        <v>0</v>
      </c>
      <c r="I250">
        <f>COUNTIFS(Visits!$E$2:$E$995,'User Engagement'!$A250,Visits!$U$2:$U$995,"&gt;"&amp;($B$1-30))</f>
        <v>0</v>
      </c>
      <c r="J250">
        <f>COUNTIFS(Visits!$E$2:$E$995,$A250,Visits!$U$2:$U$995,"&gt;"&amp;($B$1-60))-I250</f>
        <v>0</v>
      </c>
      <c r="K250">
        <f>COUNTIFS(Visits!$V:$V,'New Dashboard'!$A$22,Visits!$E:$E,'User Engagement'!$A250)</f>
        <v>0</v>
      </c>
      <c r="L250">
        <f>COUNTIFS(Visits!$V:$V,'New Dashboard'!$A$23,Visits!$E:$E,'User Engagement'!$A250)</f>
        <v>0</v>
      </c>
      <c r="M250">
        <f>COUNTIFS(Visits!$V:$V,'New Dashboard'!$A$24,Visits!$E:$E,'User Engagement'!$A250)</f>
        <v>0</v>
      </c>
      <c r="N250">
        <f>COUNTIFS(Visits!$V:$V,'New Dashboard'!$A$25,Visits!$E:$E,'User Engagement'!$A250)</f>
        <v>0</v>
      </c>
      <c r="O250">
        <f t="shared" si="24"/>
        <v>1</v>
      </c>
      <c r="P250">
        <f t="shared" si="25"/>
        <v>0</v>
      </c>
      <c r="Q250">
        <f t="shared" si="25"/>
        <v>0</v>
      </c>
      <c r="R250">
        <f t="shared" si="21"/>
        <v>0</v>
      </c>
      <c r="S250" s="5">
        <f>SUMIF(Visits!$E$2:$E$89,'User Engagement'!$A250,Visits!$L$2:$L$89)</f>
        <v>0</v>
      </c>
      <c r="T250" s="5">
        <f>SUMIFS(Visits!$L$2:$L$89,Visits!$E$2:$E$89,'User Engagement'!$A250,Visits!$U$2:$U$89,"&gt;3/28/24")</f>
        <v>0</v>
      </c>
      <c r="U250" s="19" t="e">
        <f t="shared" si="22"/>
        <v>#DIV/0!</v>
      </c>
      <c r="V250" s="19" t="str">
        <f t="shared" si="23"/>
        <v>n/a</v>
      </c>
    </row>
    <row r="251" spans="1:22" ht="16" x14ac:dyDescent="0.2">
      <c r="A251">
        <f>Users!A249</f>
        <v>0</v>
      </c>
      <c r="B251" s="29" t="e">
        <f>VLOOKUP(A251,Users!A:D,2,FALSE)</f>
        <v>#N/A</v>
      </c>
      <c r="C251" s="29" t="e">
        <f>VLOOKUP(A251,Users!A:D,3,FALSE)</f>
        <v>#N/A</v>
      </c>
      <c r="F251" s="1" cm="1">
        <f t="array" ref="F251">MAX(_xlfn._xlws.FILTER(Visits!U:U,Visits!E:E='User Engagement'!A251))</f>
        <v>0</v>
      </c>
      <c r="G251">
        <f>COUNTIF(Visits!$E$2:$E$995,'User Engagement'!$A251)</f>
        <v>0</v>
      </c>
      <c r="H251">
        <f>COUNTIFS(Visits!$E$2:$E$995,'User Engagement'!$A252,Visits!$U$2:$U$995,"&gt;"&amp;($B$1-7))</f>
        <v>0</v>
      </c>
      <c r="I251">
        <f>COUNTIFS(Visits!$E$2:$E$995,'User Engagement'!$A251,Visits!$U$2:$U$995,"&gt;"&amp;($B$1-30))</f>
        <v>0</v>
      </c>
      <c r="J251">
        <f>COUNTIFS(Visits!$E$2:$E$995,$A251,Visits!$U$2:$U$995,"&gt;"&amp;($B$1-60))-I251</f>
        <v>0</v>
      </c>
      <c r="K251">
        <f>COUNTIFS(Visits!$V:$V,'New Dashboard'!$A$22,Visits!$E:$E,'User Engagement'!$A251)</f>
        <v>0</v>
      </c>
      <c r="L251">
        <f>COUNTIFS(Visits!$V:$V,'New Dashboard'!$A$23,Visits!$E:$E,'User Engagement'!$A251)</f>
        <v>0</v>
      </c>
      <c r="M251">
        <f>COUNTIFS(Visits!$V:$V,'New Dashboard'!$A$24,Visits!$E:$E,'User Engagement'!$A251)</f>
        <v>0</v>
      </c>
      <c r="N251">
        <f>COUNTIFS(Visits!$V:$V,'New Dashboard'!$A$25,Visits!$E:$E,'User Engagement'!$A251)</f>
        <v>0</v>
      </c>
      <c r="O251">
        <f t="shared" si="24"/>
        <v>1</v>
      </c>
      <c r="P251">
        <f t="shared" si="25"/>
        <v>0</v>
      </c>
      <c r="Q251">
        <f t="shared" si="25"/>
        <v>0</v>
      </c>
      <c r="R251">
        <f t="shared" si="21"/>
        <v>0</v>
      </c>
      <c r="S251" s="5">
        <f>SUMIF(Visits!$E$2:$E$89,'User Engagement'!$A251,Visits!$L$2:$L$89)</f>
        <v>0</v>
      </c>
      <c r="T251" s="5">
        <f>SUMIFS(Visits!$L$2:$L$89,Visits!$E$2:$E$89,'User Engagement'!$A251,Visits!$U$2:$U$89,"&gt;3/28/24")</f>
        <v>0</v>
      </c>
      <c r="U251" s="19" t="e">
        <f t="shared" si="22"/>
        <v>#DIV/0!</v>
      </c>
      <c r="V251" s="19" t="str">
        <f t="shared" si="23"/>
        <v>n/a</v>
      </c>
    </row>
    <row r="252" spans="1:22" ht="16" x14ac:dyDescent="0.2">
      <c r="A252">
        <f>Users!A250</f>
        <v>0</v>
      </c>
      <c r="B252" s="29" t="e">
        <f>VLOOKUP(A252,Users!A:D,2,FALSE)</f>
        <v>#N/A</v>
      </c>
      <c r="C252" s="29" t="e">
        <f>VLOOKUP(A252,Users!A:D,3,FALSE)</f>
        <v>#N/A</v>
      </c>
      <c r="F252" s="1" cm="1">
        <f t="array" ref="F252">MAX(_xlfn._xlws.FILTER(Visits!U:U,Visits!E:E='User Engagement'!A252))</f>
        <v>0</v>
      </c>
      <c r="G252">
        <f>COUNTIF(Visits!$E$2:$E$995,'User Engagement'!$A252)</f>
        <v>0</v>
      </c>
      <c r="H252">
        <f>COUNTIFS(Visits!$E$2:$E$995,'User Engagement'!$A253,Visits!$U$2:$U$995,"&gt;"&amp;($B$1-7))</f>
        <v>0</v>
      </c>
      <c r="I252">
        <f>COUNTIFS(Visits!$E$2:$E$995,'User Engagement'!$A252,Visits!$U$2:$U$995,"&gt;"&amp;($B$1-30))</f>
        <v>0</v>
      </c>
      <c r="J252">
        <f>COUNTIFS(Visits!$E$2:$E$995,$A252,Visits!$U$2:$U$995,"&gt;"&amp;($B$1-60))-I252</f>
        <v>0</v>
      </c>
      <c r="K252">
        <f>COUNTIFS(Visits!$V:$V,'New Dashboard'!$A$22,Visits!$E:$E,'User Engagement'!$A252)</f>
        <v>0</v>
      </c>
      <c r="L252">
        <f>COUNTIFS(Visits!$V:$V,'New Dashboard'!$A$23,Visits!$E:$E,'User Engagement'!$A252)</f>
        <v>0</v>
      </c>
      <c r="M252">
        <f>COUNTIFS(Visits!$V:$V,'New Dashboard'!$A$24,Visits!$E:$E,'User Engagement'!$A252)</f>
        <v>0</v>
      </c>
      <c r="N252">
        <f>COUNTIFS(Visits!$V:$V,'New Dashboard'!$A$25,Visits!$E:$E,'User Engagement'!$A252)</f>
        <v>0</v>
      </c>
      <c r="O252">
        <f t="shared" si="24"/>
        <v>1</v>
      </c>
      <c r="P252">
        <f t="shared" si="25"/>
        <v>0</v>
      </c>
      <c r="Q252">
        <f t="shared" si="25"/>
        <v>0</v>
      </c>
      <c r="R252">
        <f t="shared" si="21"/>
        <v>0</v>
      </c>
      <c r="S252" s="5">
        <f>SUMIF(Visits!$E$2:$E$89,'User Engagement'!$A252,Visits!$L$2:$L$89)</f>
        <v>0</v>
      </c>
      <c r="T252" s="5">
        <f>SUMIFS(Visits!$L$2:$L$89,Visits!$E$2:$E$89,'User Engagement'!$A252,Visits!$U$2:$U$89,"&gt;3/28/24")</f>
        <v>0</v>
      </c>
      <c r="U252" s="19" t="e">
        <f t="shared" si="22"/>
        <v>#DIV/0!</v>
      </c>
      <c r="V252" s="19" t="str">
        <f t="shared" si="23"/>
        <v>n/a</v>
      </c>
    </row>
    <row r="253" spans="1:22" ht="16" x14ac:dyDescent="0.2">
      <c r="A253">
        <f>Users!A251</f>
        <v>0</v>
      </c>
      <c r="B253" s="29" t="e">
        <f>VLOOKUP(A253,Users!A:D,2,FALSE)</f>
        <v>#N/A</v>
      </c>
      <c r="C253" s="29" t="e">
        <f>VLOOKUP(A253,Users!A:D,3,FALSE)</f>
        <v>#N/A</v>
      </c>
      <c r="F253" s="1" cm="1">
        <f t="array" ref="F253">MAX(_xlfn._xlws.FILTER(Visits!U:U,Visits!E:E='User Engagement'!A253))</f>
        <v>0</v>
      </c>
      <c r="G253">
        <f>COUNTIF(Visits!$E$2:$E$995,'User Engagement'!$A253)</f>
        <v>0</v>
      </c>
      <c r="H253">
        <f>COUNTIFS(Visits!$E$2:$E$995,'User Engagement'!$A254,Visits!$U$2:$U$995,"&gt;"&amp;($B$1-7))</f>
        <v>0</v>
      </c>
      <c r="I253">
        <f>COUNTIFS(Visits!$E$2:$E$995,'User Engagement'!$A253,Visits!$U$2:$U$995,"&gt;"&amp;($B$1-30))</f>
        <v>0</v>
      </c>
      <c r="J253">
        <f>COUNTIFS(Visits!$E$2:$E$995,$A253,Visits!$U$2:$U$995,"&gt;"&amp;($B$1-60))-I253</f>
        <v>0</v>
      </c>
      <c r="K253">
        <f>COUNTIFS(Visits!$V:$V,'New Dashboard'!$A$22,Visits!$E:$E,'User Engagement'!$A253)</f>
        <v>0</v>
      </c>
      <c r="L253">
        <f>COUNTIFS(Visits!$V:$V,'New Dashboard'!$A$23,Visits!$E:$E,'User Engagement'!$A253)</f>
        <v>0</v>
      </c>
      <c r="M253">
        <f>COUNTIFS(Visits!$V:$V,'New Dashboard'!$A$24,Visits!$E:$E,'User Engagement'!$A253)</f>
        <v>0</v>
      </c>
      <c r="N253">
        <f>COUNTIFS(Visits!$V:$V,'New Dashboard'!$A$25,Visits!$E:$E,'User Engagement'!$A253)</f>
        <v>0</v>
      </c>
      <c r="O253">
        <f t="shared" si="24"/>
        <v>1</v>
      </c>
      <c r="P253">
        <f t="shared" si="25"/>
        <v>0</v>
      </c>
      <c r="Q253">
        <f t="shared" si="25"/>
        <v>0</v>
      </c>
      <c r="R253">
        <f t="shared" si="21"/>
        <v>0</v>
      </c>
      <c r="S253" s="5">
        <f>SUMIF(Visits!$E$2:$E$89,'User Engagement'!$A253,Visits!$L$2:$L$89)</f>
        <v>0</v>
      </c>
      <c r="T253" s="5">
        <f>SUMIFS(Visits!$L$2:$L$89,Visits!$E$2:$E$89,'User Engagement'!$A253,Visits!$U$2:$U$89,"&gt;3/28/24")</f>
        <v>0</v>
      </c>
      <c r="U253" s="19" t="e">
        <f t="shared" si="22"/>
        <v>#DIV/0!</v>
      </c>
      <c r="V253" s="19" t="str">
        <f t="shared" si="23"/>
        <v>n/a</v>
      </c>
    </row>
    <row r="254" spans="1:22" ht="16" x14ac:dyDescent="0.2">
      <c r="A254">
        <f>Users!A252</f>
        <v>0</v>
      </c>
      <c r="B254" s="29" t="e">
        <f>VLOOKUP(A254,Users!A:D,2,FALSE)</f>
        <v>#N/A</v>
      </c>
      <c r="C254" s="29" t="e">
        <f>VLOOKUP(A254,Users!A:D,3,FALSE)</f>
        <v>#N/A</v>
      </c>
      <c r="F254" s="1" cm="1">
        <f t="array" ref="F254">MAX(_xlfn._xlws.FILTER(Visits!U:U,Visits!E:E='User Engagement'!A254))</f>
        <v>0</v>
      </c>
      <c r="G254">
        <f>COUNTIF(Visits!$E$2:$E$995,'User Engagement'!$A254)</f>
        <v>0</v>
      </c>
      <c r="H254">
        <f>COUNTIFS(Visits!$E$2:$E$995,'User Engagement'!$A255,Visits!$U$2:$U$995,"&gt;"&amp;($B$1-7))</f>
        <v>0</v>
      </c>
      <c r="I254">
        <f>COUNTIFS(Visits!$E$2:$E$995,'User Engagement'!$A254,Visits!$U$2:$U$995,"&gt;"&amp;($B$1-30))</f>
        <v>0</v>
      </c>
      <c r="J254">
        <f>COUNTIFS(Visits!$E$2:$E$995,$A254,Visits!$U$2:$U$995,"&gt;"&amp;($B$1-60))-I254</f>
        <v>0</v>
      </c>
      <c r="K254">
        <f>COUNTIFS(Visits!$V:$V,'New Dashboard'!$A$22,Visits!$E:$E,'User Engagement'!$A254)</f>
        <v>0</v>
      </c>
      <c r="L254">
        <f>COUNTIFS(Visits!$V:$V,'New Dashboard'!$A$23,Visits!$E:$E,'User Engagement'!$A254)</f>
        <v>0</v>
      </c>
      <c r="M254">
        <f>COUNTIFS(Visits!$V:$V,'New Dashboard'!$A$24,Visits!$E:$E,'User Engagement'!$A254)</f>
        <v>0</v>
      </c>
      <c r="N254">
        <f>COUNTIFS(Visits!$V:$V,'New Dashboard'!$A$25,Visits!$E:$E,'User Engagement'!$A254)</f>
        <v>0</v>
      </c>
      <c r="O254">
        <f t="shared" si="24"/>
        <v>1</v>
      </c>
      <c r="P254">
        <f t="shared" si="25"/>
        <v>0</v>
      </c>
      <c r="Q254">
        <f t="shared" si="25"/>
        <v>0</v>
      </c>
      <c r="R254">
        <f t="shared" si="21"/>
        <v>0</v>
      </c>
      <c r="S254" s="5">
        <f>SUMIF(Visits!$E$2:$E$89,'User Engagement'!$A254,Visits!$L$2:$L$89)</f>
        <v>0</v>
      </c>
      <c r="T254" s="5">
        <f>SUMIFS(Visits!$L$2:$L$89,Visits!$E$2:$E$89,'User Engagement'!$A254,Visits!$U$2:$U$89,"&gt;3/28/24")</f>
        <v>0</v>
      </c>
      <c r="U254" s="19" t="e">
        <f t="shared" si="22"/>
        <v>#DIV/0!</v>
      </c>
      <c r="V254" s="19" t="str">
        <f t="shared" si="23"/>
        <v>n/a</v>
      </c>
    </row>
    <row r="255" spans="1:22" ht="16" x14ac:dyDescent="0.2">
      <c r="A255">
        <f>Users!A253</f>
        <v>0</v>
      </c>
      <c r="B255" s="29" t="e">
        <f>VLOOKUP(A255,Users!A:D,2,FALSE)</f>
        <v>#N/A</v>
      </c>
      <c r="C255" s="29" t="e">
        <f>VLOOKUP(A255,Users!A:D,3,FALSE)</f>
        <v>#N/A</v>
      </c>
      <c r="F255" s="1" cm="1">
        <f t="array" ref="F255">MAX(_xlfn._xlws.FILTER(Visits!U:U,Visits!E:E='User Engagement'!A255))</f>
        <v>0</v>
      </c>
      <c r="G255">
        <f>COUNTIF(Visits!$E$2:$E$995,'User Engagement'!$A255)</f>
        <v>0</v>
      </c>
      <c r="H255">
        <f>COUNTIFS(Visits!$E$2:$E$995,'User Engagement'!$A256,Visits!$U$2:$U$995,"&gt;"&amp;($B$1-7))</f>
        <v>0</v>
      </c>
      <c r="I255">
        <f>COUNTIFS(Visits!$E$2:$E$995,'User Engagement'!$A255,Visits!$U$2:$U$995,"&gt;"&amp;($B$1-30))</f>
        <v>0</v>
      </c>
      <c r="J255">
        <f>COUNTIFS(Visits!$E$2:$E$995,$A255,Visits!$U$2:$U$995,"&gt;"&amp;($B$1-60))-I255</f>
        <v>0</v>
      </c>
      <c r="K255">
        <f>COUNTIFS(Visits!$V:$V,'New Dashboard'!$A$22,Visits!$E:$E,'User Engagement'!$A255)</f>
        <v>0</v>
      </c>
      <c r="L255">
        <f>COUNTIFS(Visits!$V:$V,'New Dashboard'!$A$23,Visits!$E:$E,'User Engagement'!$A255)</f>
        <v>0</v>
      </c>
      <c r="M255">
        <f>COUNTIFS(Visits!$V:$V,'New Dashboard'!$A$24,Visits!$E:$E,'User Engagement'!$A255)</f>
        <v>0</v>
      </c>
      <c r="N255">
        <f>COUNTIFS(Visits!$V:$V,'New Dashboard'!$A$25,Visits!$E:$E,'User Engagement'!$A255)</f>
        <v>0</v>
      </c>
      <c r="O255">
        <f t="shared" si="24"/>
        <v>1</v>
      </c>
      <c r="P255">
        <f t="shared" si="25"/>
        <v>0</v>
      </c>
      <c r="Q255">
        <f t="shared" si="25"/>
        <v>0</v>
      </c>
      <c r="R255">
        <f t="shared" si="21"/>
        <v>0</v>
      </c>
      <c r="S255" s="5">
        <f>SUMIF(Visits!$E$2:$E$89,'User Engagement'!$A255,Visits!$L$2:$L$89)</f>
        <v>0</v>
      </c>
      <c r="T255" s="5">
        <f>SUMIFS(Visits!$L$2:$L$89,Visits!$E$2:$E$89,'User Engagement'!$A255,Visits!$U$2:$U$89,"&gt;3/28/24")</f>
        <v>0</v>
      </c>
      <c r="U255" s="19" t="e">
        <f t="shared" si="22"/>
        <v>#DIV/0!</v>
      </c>
      <c r="V255" s="19" t="str">
        <f t="shared" si="23"/>
        <v>n/a</v>
      </c>
    </row>
    <row r="256" spans="1:22" ht="16" x14ac:dyDescent="0.2">
      <c r="A256">
        <f>Users!A254</f>
        <v>0</v>
      </c>
      <c r="B256" s="29" t="e">
        <f>VLOOKUP(A256,Users!A:D,2,FALSE)</f>
        <v>#N/A</v>
      </c>
      <c r="C256" s="29" t="e">
        <f>VLOOKUP(A256,Users!A:D,3,FALSE)</f>
        <v>#N/A</v>
      </c>
      <c r="F256" s="1" cm="1">
        <f t="array" ref="F256">MAX(_xlfn._xlws.FILTER(Visits!U:U,Visits!E:E='User Engagement'!A256))</f>
        <v>0</v>
      </c>
      <c r="G256">
        <f>COUNTIF(Visits!$E$2:$E$995,'User Engagement'!$A256)</f>
        <v>0</v>
      </c>
      <c r="H256">
        <f>COUNTIFS(Visits!$E$2:$E$995,'User Engagement'!$A257,Visits!$U$2:$U$995,"&gt;"&amp;($B$1-7))</f>
        <v>0</v>
      </c>
      <c r="I256">
        <f>COUNTIFS(Visits!$E$2:$E$995,'User Engagement'!$A256,Visits!$U$2:$U$995,"&gt;"&amp;($B$1-30))</f>
        <v>0</v>
      </c>
      <c r="J256">
        <f>COUNTIFS(Visits!$E$2:$E$995,$A256,Visits!$U$2:$U$995,"&gt;"&amp;($B$1-60))-I256</f>
        <v>0</v>
      </c>
      <c r="K256">
        <f>COUNTIFS(Visits!$V:$V,'New Dashboard'!$A$22,Visits!$E:$E,'User Engagement'!$A256)</f>
        <v>0</v>
      </c>
      <c r="L256">
        <f>COUNTIFS(Visits!$V:$V,'New Dashboard'!$A$23,Visits!$E:$E,'User Engagement'!$A256)</f>
        <v>0</v>
      </c>
      <c r="M256">
        <f>COUNTIFS(Visits!$V:$V,'New Dashboard'!$A$24,Visits!$E:$E,'User Engagement'!$A256)</f>
        <v>0</v>
      </c>
      <c r="N256">
        <f>COUNTIFS(Visits!$V:$V,'New Dashboard'!$A$25,Visits!$E:$E,'User Engagement'!$A256)</f>
        <v>0</v>
      </c>
      <c r="O256">
        <f t="shared" si="24"/>
        <v>1</v>
      </c>
      <c r="P256">
        <f t="shared" si="25"/>
        <v>0</v>
      </c>
      <c r="Q256">
        <f t="shared" si="25"/>
        <v>0</v>
      </c>
      <c r="R256">
        <f t="shared" si="21"/>
        <v>0</v>
      </c>
      <c r="S256" s="5">
        <f>SUMIF(Visits!$E$2:$E$89,'User Engagement'!$A256,Visits!$L$2:$L$89)</f>
        <v>0</v>
      </c>
      <c r="T256" s="5">
        <f>SUMIFS(Visits!$L$2:$L$89,Visits!$E$2:$E$89,'User Engagement'!$A256,Visits!$U$2:$U$89,"&gt;3/28/24")</f>
        <v>0</v>
      </c>
      <c r="U256" s="19" t="e">
        <f t="shared" si="22"/>
        <v>#DIV/0!</v>
      </c>
      <c r="V256" s="19" t="str">
        <f t="shared" si="23"/>
        <v>n/a</v>
      </c>
    </row>
    <row r="257" spans="1:22" ht="16" x14ac:dyDescent="0.2">
      <c r="A257">
        <f>Users!A255</f>
        <v>0</v>
      </c>
      <c r="B257" s="29" t="e">
        <f>VLOOKUP(A257,Users!A:D,2,FALSE)</f>
        <v>#N/A</v>
      </c>
      <c r="C257" s="29" t="e">
        <f>VLOOKUP(A257,Users!A:D,3,FALSE)</f>
        <v>#N/A</v>
      </c>
      <c r="F257" s="1" cm="1">
        <f t="array" ref="F257">MAX(_xlfn._xlws.FILTER(Visits!U:U,Visits!E:E='User Engagement'!A257))</f>
        <v>0</v>
      </c>
      <c r="G257">
        <f>COUNTIF(Visits!$E$2:$E$995,'User Engagement'!$A257)</f>
        <v>0</v>
      </c>
      <c r="H257">
        <f>COUNTIFS(Visits!$E$2:$E$995,'User Engagement'!$A258,Visits!$U$2:$U$995,"&gt;"&amp;($B$1-7))</f>
        <v>0</v>
      </c>
      <c r="I257">
        <f>COUNTIFS(Visits!$E$2:$E$995,'User Engagement'!$A257,Visits!$U$2:$U$995,"&gt;"&amp;($B$1-30))</f>
        <v>0</v>
      </c>
      <c r="J257">
        <f>COUNTIFS(Visits!$E$2:$E$995,$A257,Visits!$U$2:$U$995,"&gt;"&amp;($B$1-60))-I257</f>
        <v>0</v>
      </c>
      <c r="K257">
        <f>COUNTIFS(Visits!$V:$V,'New Dashboard'!$A$22,Visits!$E:$E,'User Engagement'!$A257)</f>
        <v>0</v>
      </c>
      <c r="L257">
        <f>COUNTIFS(Visits!$V:$V,'New Dashboard'!$A$23,Visits!$E:$E,'User Engagement'!$A257)</f>
        <v>0</v>
      </c>
      <c r="M257">
        <f>COUNTIFS(Visits!$V:$V,'New Dashboard'!$A$24,Visits!$E:$E,'User Engagement'!$A257)</f>
        <v>0</v>
      </c>
      <c r="N257">
        <f>COUNTIFS(Visits!$V:$V,'New Dashboard'!$A$25,Visits!$E:$E,'User Engagement'!$A257)</f>
        <v>0</v>
      </c>
      <c r="O257">
        <f t="shared" si="24"/>
        <v>1</v>
      </c>
      <c r="P257">
        <f t="shared" si="25"/>
        <v>0</v>
      </c>
      <c r="Q257">
        <f t="shared" si="25"/>
        <v>0</v>
      </c>
      <c r="R257">
        <f t="shared" si="21"/>
        <v>0</v>
      </c>
      <c r="S257" s="5">
        <f>SUMIF(Visits!$E$2:$E$89,'User Engagement'!$A257,Visits!$L$2:$L$89)</f>
        <v>0</v>
      </c>
      <c r="T257" s="5">
        <f>SUMIFS(Visits!$L$2:$L$89,Visits!$E$2:$E$89,'User Engagement'!$A257,Visits!$U$2:$U$89,"&gt;3/28/24")</f>
        <v>0</v>
      </c>
      <c r="U257" s="19" t="e">
        <f t="shared" si="22"/>
        <v>#DIV/0!</v>
      </c>
      <c r="V257" s="19" t="str">
        <f t="shared" si="23"/>
        <v>n/a</v>
      </c>
    </row>
    <row r="258" spans="1:22" ht="16" x14ac:dyDescent="0.2">
      <c r="A258">
        <f>Users!A256</f>
        <v>0</v>
      </c>
      <c r="B258" s="29" t="e">
        <f>VLOOKUP(A258,Users!A:D,2,FALSE)</f>
        <v>#N/A</v>
      </c>
      <c r="C258" s="29" t="e">
        <f>VLOOKUP(A258,Users!A:D,3,FALSE)</f>
        <v>#N/A</v>
      </c>
      <c r="F258" s="1" cm="1">
        <f t="array" ref="F258">MAX(_xlfn._xlws.FILTER(Visits!U:U,Visits!E:E='User Engagement'!A258))</f>
        <v>0</v>
      </c>
      <c r="G258">
        <f>COUNTIF(Visits!$E$2:$E$995,'User Engagement'!$A258)</f>
        <v>0</v>
      </c>
      <c r="H258">
        <f>COUNTIFS(Visits!$E$2:$E$995,'User Engagement'!$A259,Visits!$U$2:$U$995,"&gt;"&amp;($B$1-7))</f>
        <v>0</v>
      </c>
      <c r="I258">
        <f>COUNTIFS(Visits!$E$2:$E$995,'User Engagement'!$A258,Visits!$U$2:$U$995,"&gt;"&amp;($B$1-30))</f>
        <v>0</v>
      </c>
      <c r="J258">
        <f>COUNTIFS(Visits!$E$2:$E$995,$A258,Visits!$U$2:$U$995,"&gt;"&amp;($B$1-60))-I258</f>
        <v>0</v>
      </c>
      <c r="K258">
        <f>COUNTIFS(Visits!$V:$V,'New Dashboard'!$A$22,Visits!$E:$E,'User Engagement'!$A258)</f>
        <v>0</v>
      </c>
      <c r="L258">
        <f>COUNTIFS(Visits!$V:$V,'New Dashboard'!$A$23,Visits!$E:$E,'User Engagement'!$A258)</f>
        <v>0</v>
      </c>
      <c r="M258">
        <f>COUNTIFS(Visits!$V:$V,'New Dashboard'!$A$24,Visits!$E:$E,'User Engagement'!$A258)</f>
        <v>0</v>
      </c>
      <c r="N258">
        <f>COUNTIFS(Visits!$V:$V,'New Dashboard'!$A$25,Visits!$E:$E,'User Engagement'!$A258)</f>
        <v>0</v>
      </c>
      <c r="O258">
        <f t="shared" si="24"/>
        <v>1</v>
      </c>
      <c r="P258">
        <f t="shared" si="25"/>
        <v>0</v>
      </c>
      <c r="Q258">
        <f t="shared" si="25"/>
        <v>0</v>
      </c>
      <c r="R258">
        <f t="shared" si="21"/>
        <v>0</v>
      </c>
      <c r="S258" s="5">
        <f>SUMIF(Visits!$E$2:$E$89,'User Engagement'!$A258,Visits!$L$2:$L$89)</f>
        <v>0</v>
      </c>
      <c r="T258" s="5">
        <f>SUMIFS(Visits!$L$2:$L$89,Visits!$E$2:$E$89,'User Engagement'!$A258,Visits!$U$2:$U$89,"&gt;3/28/24")</f>
        <v>0</v>
      </c>
      <c r="U258" s="19" t="e">
        <f t="shared" si="22"/>
        <v>#DIV/0!</v>
      </c>
      <c r="V258" s="19" t="str">
        <f t="shared" si="23"/>
        <v>n/a</v>
      </c>
    </row>
    <row r="259" spans="1:22" ht="16" x14ac:dyDescent="0.2">
      <c r="A259">
        <f>Users!A257</f>
        <v>0</v>
      </c>
      <c r="B259" s="29" t="e">
        <f>VLOOKUP(A259,Users!A:D,2,FALSE)</f>
        <v>#N/A</v>
      </c>
      <c r="C259" s="29" t="e">
        <f>VLOOKUP(A259,Users!A:D,3,FALSE)</f>
        <v>#N/A</v>
      </c>
      <c r="F259" s="1" cm="1">
        <f t="array" ref="F259">MAX(_xlfn._xlws.FILTER(Visits!U:U,Visits!E:E='User Engagement'!A259))</f>
        <v>0</v>
      </c>
      <c r="G259">
        <f>COUNTIF(Visits!$E$2:$E$995,'User Engagement'!$A259)</f>
        <v>0</v>
      </c>
      <c r="H259">
        <f>COUNTIFS(Visits!$E$2:$E$995,'User Engagement'!$A260,Visits!$U$2:$U$995,"&gt;"&amp;($B$1-7))</f>
        <v>0</v>
      </c>
      <c r="I259">
        <f>COUNTIFS(Visits!$E$2:$E$995,'User Engagement'!$A259,Visits!$U$2:$U$995,"&gt;"&amp;($B$1-30))</f>
        <v>0</v>
      </c>
      <c r="J259">
        <f>COUNTIFS(Visits!$E$2:$E$995,$A259,Visits!$U$2:$U$995,"&gt;"&amp;($B$1-60))-I259</f>
        <v>0</v>
      </c>
      <c r="K259">
        <f>COUNTIFS(Visits!$V:$V,'New Dashboard'!$A$22,Visits!$E:$E,'User Engagement'!$A259)</f>
        <v>0</v>
      </c>
      <c r="L259">
        <f>COUNTIFS(Visits!$V:$V,'New Dashboard'!$A$23,Visits!$E:$E,'User Engagement'!$A259)</f>
        <v>0</v>
      </c>
      <c r="M259">
        <f>COUNTIFS(Visits!$V:$V,'New Dashboard'!$A$24,Visits!$E:$E,'User Engagement'!$A259)</f>
        <v>0</v>
      </c>
      <c r="N259">
        <f>COUNTIFS(Visits!$V:$V,'New Dashboard'!$A$25,Visits!$E:$E,'User Engagement'!$A259)</f>
        <v>0</v>
      </c>
      <c r="O259">
        <f t="shared" si="24"/>
        <v>1</v>
      </c>
      <c r="P259">
        <f t="shared" si="25"/>
        <v>0</v>
      </c>
      <c r="Q259">
        <f t="shared" si="25"/>
        <v>0</v>
      </c>
      <c r="R259">
        <f t="shared" si="21"/>
        <v>0</v>
      </c>
      <c r="S259" s="5">
        <f>SUMIF(Visits!$E$2:$E$89,'User Engagement'!$A259,Visits!$L$2:$L$89)</f>
        <v>0</v>
      </c>
      <c r="T259" s="5">
        <f>SUMIFS(Visits!$L$2:$L$89,Visits!$E$2:$E$89,'User Engagement'!$A259,Visits!$U$2:$U$89,"&gt;3/28/24")</f>
        <v>0</v>
      </c>
      <c r="U259" s="19" t="e">
        <f t="shared" si="22"/>
        <v>#DIV/0!</v>
      </c>
      <c r="V259" s="19" t="str">
        <f t="shared" si="23"/>
        <v>n/a</v>
      </c>
    </row>
    <row r="260" spans="1:22" ht="16" x14ac:dyDescent="0.2">
      <c r="A260">
        <f>Users!A258</f>
        <v>0</v>
      </c>
      <c r="B260" s="29" t="e">
        <f>VLOOKUP(A260,Users!A:D,2,FALSE)</f>
        <v>#N/A</v>
      </c>
      <c r="C260" s="29" t="e">
        <f>VLOOKUP(A260,Users!A:D,3,FALSE)</f>
        <v>#N/A</v>
      </c>
      <c r="F260" s="1" cm="1">
        <f t="array" ref="F260">MAX(_xlfn._xlws.FILTER(Visits!U:U,Visits!E:E='User Engagement'!A260))</f>
        <v>0</v>
      </c>
      <c r="G260">
        <f>COUNTIF(Visits!$E$2:$E$995,'User Engagement'!$A260)</f>
        <v>0</v>
      </c>
      <c r="H260">
        <f>COUNTIFS(Visits!$E$2:$E$995,'User Engagement'!$A261,Visits!$U$2:$U$995,"&gt;"&amp;($B$1-7))</f>
        <v>0</v>
      </c>
      <c r="I260">
        <f>COUNTIFS(Visits!$E$2:$E$995,'User Engagement'!$A260,Visits!$U$2:$U$995,"&gt;"&amp;($B$1-30))</f>
        <v>0</v>
      </c>
      <c r="J260">
        <f>COUNTIFS(Visits!$E$2:$E$995,$A260,Visits!$U$2:$U$995,"&gt;"&amp;($B$1-60))-I260</f>
        <v>0</v>
      </c>
      <c r="K260">
        <f>COUNTIFS(Visits!$V:$V,'New Dashboard'!$A$22,Visits!$E:$E,'User Engagement'!$A260)</f>
        <v>0</v>
      </c>
      <c r="L260">
        <f>COUNTIFS(Visits!$V:$V,'New Dashboard'!$A$23,Visits!$E:$E,'User Engagement'!$A260)</f>
        <v>0</v>
      </c>
      <c r="M260">
        <f>COUNTIFS(Visits!$V:$V,'New Dashboard'!$A$24,Visits!$E:$E,'User Engagement'!$A260)</f>
        <v>0</v>
      </c>
      <c r="N260">
        <f>COUNTIFS(Visits!$V:$V,'New Dashboard'!$A$25,Visits!$E:$E,'User Engagement'!$A260)</f>
        <v>0</v>
      </c>
      <c r="O260">
        <f t="shared" si="24"/>
        <v>1</v>
      </c>
      <c r="P260">
        <f t="shared" si="25"/>
        <v>0</v>
      </c>
      <c r="Q260">
        <f t="shared" si="25"/>
        <v>0</v>
      </c>
      <c r="R260">
        <f t="shared" ref="R260:R316" si="26">IF(I260&gt;2,P260,0)</f>
        <v>0</v>
      </c>
      <c r="S260" s="5">
        <f>SUMIF(Visits!$E$2:$E$89,'User Engagement'!$A260,Visits!$L$2:$L$89)</f>
        <v>0</v>
      </c>
      <c r="T260" s="5">
        <f>SUMIFS(Visits!$L$2:$L$89,Visits!$E$2:$E$89,'User Engagement'!$A260,Visits!$U$2:$U$89,"&gt;3/28/24")</f>
        <v>0</v>
      </c>
      <c r="U260" s="19" t="e">
        <f t="shared" ref="U260:U316" si="27">S260/G260</f>
        <v>#DIV/0!</v>
      </c>
      <c r="V260" s="19" t="str">
        <f t="shared" ref="V260:V316" si="28">IFERROR(T260/I260,"n/a")</f>
        <v>n/a</v>
      </c>
    </row>
    <row r="261" spans="1:22" ht="16" x14ac:dyDescent="0.2">
      <c r="A261">
        <f>Users!A259</f>
        <v>0</v>
      </c>
      <c r="B261" s="29" t="e">
        <f>VLOOKUP(A261,Users!A:D,2,FALSE)</f>
        <v>#N/A</v>
      </c>
      <c r="C261" s="29" t="e">
        <f>VLOOKUP(A261,Users!A:D,3,FALSE)</f>
        <v>#N/A</v>
      </c>
      <c r="F261" s="1" cm="1">
        <f t="array" ref="F261">MAX(_xlfn._xlws.FILTER(Visits!U:U,Visits!E:E='User Engagement'!A261))</f>
        <v>0</v>
      </c>
      <c r="G261">
        <f>COUNTIF(Visits!$E$2:$E$995,'User Engagement'!$A261)</f>
        <v>0</v>
      </c>
      <c r="H261">
        <f>COUNTIFS(Visits!$E$2:$E$995,'User Engagement'!$A262,Visits!$U$2:$U$995,"&gt;"&amp;($B$1-7))</f>
        <v>0</v>
      </c>
      <c r="I261">
        <f>COUNTIFS(Visits!$E$2:$E$995,'User Engagement'!$A261,Visits!$U$2:$U$995,"&gt;"&amp;($B$1-30))</f>
        <v>0</v>
      </c>
      <c r="J261">
        <f>COUNTIFS(Visits!$E$2:$E$995,$A261,Visits!$U$2:$U$995,"&gt;"&amp;($B$1-60))-I261</f>
        <v>0</v>
      </c>
      <c r="K261">
        <f>COUNTIFS(Visits!$V:$V,'New Dashboard'!$A$22,Visits!$E:$E,'User Engagement'!$A261)</f>
        <v>0</v>
      </c>
      <c r="L261">
        <f>COUNTIFS(Visits!$V:$V,'New Dashboard'!$A$23,Visits!$E:$E,'User Engagement'!$A261)</f>
        <v>0</v>
      </c>
      <c r="M261">
        <f>COUNTIFS(Visits!$V:$V,'New Dashboard'!$A$24,Visits!$E:$E,'User Engagement'!$A261)</f>
        <v>0</v>
      </c>
      <c r="N261">
        <f>COUNTIFS(Visits!$V:$V,'New Dashboard'!$A$25,Visits!$E:$E,'User Engagement'!$A261)</f>
        <v>0</v>
      </c>
      <c r="O261">
        <f t="shared" si="24"/>
        <v>1</v>
      </c>
      <c r="P261">
        <f t="shared" si="25"/>
        <v>0</v>
      </c>
      <c r="Q261">
        <f t="shared" si="25"/>
        <v>0</v>
      </c>
      <c r="R261">
        <f t="shared" si="26"/>
        <v>0</v>
      </c>
      <c r="S261" s="5">
        <f>SUMIF(Visits!$E$2:$E$89,'User Engagement'!$A261,Visits!$L$2:$L$89)</f>
        <v>0</v>
      </c>
      <c r="T261" s="5">
        <f>SUMIFS(Visits!$L$2:$L$89,Visits!$E$2:$E$89,'User Engagement'!$A261,Visits!$U$2:$U$89,"&gt;3/28/24")</f>
        <v>0</v>
      </c>
      <c r="U261" s="19" t="e">
        <f t="shared" si="27"/>
        <v>#DIV/0!</v>
      </c>
      <c r="V261" s="19" t="str">
        <f t="shared" si="28"/>
        <v>n/a</v>
      </c>
    </row>
    <row r="262" spans="1:22" ht="16" x14ac:dyDescent="0.2">
      <c r="A262">
        <f>Users!A260</f>
        <v>0</v>
      </c>
      <c r="B262" s="29" t="e">
        <f>VLOOKUP(A262,Users!A:D,2,FALSE)</f>
        <v>#N/A</v>
      </c>
      <c r="C262" s="29" t="e">
        <f>VLOOKUP(A262,Users!A:D,3,FALSE)</f>
        <v>#N/A</v>
      </c>
      <c r="F262" s="1" cm="1">
        <f t="array" ref="F262">MAX(_xlfn._xlws.FILTER(Visits!U:U,Visits!E:E='User Engagement'!A262))</f>
        <v>0</v>
      </c>
      <c r="G262">
        <f>COUNTIF(Visits!$E$2:$E$995,'User Engagement'!$A262)</f>
        <v>0</v>
      </c>
      <c r="H262">
        <f>COUNTIFS(Visits!$E$2:$E$995,'User Engagement'!$A263,Visits!$U$2:$U$995,"&gt;"&amp;($B$1-7))</f>
        <v>0</v>
      </c>
      <c r="I262">
        <f>COUNTIFS(Visits!$E$2:$E$995,'User Engagement'!$A262,Visits!$U$2:$U$995,"&gt;"&amp;($B$1-30))</f>
        <v>0</v>
      </c>
      <c r="J262">
        <f>COUNTIFS(Visits!$E$2:$E$995,$A262,Visits!$U$2:$U$995,"&gt;"&amp;($B$1-60))-I262</f>
        <v>0</v>
      </c>
      <c r="K262">
        <f>COUNTIFS(Visits!$V:$V,'New Dashboard'!$A$22,Visits!$E:$E,'User Engagement'!$A262)</f>
        <v>0</v>
      </c>
      <c r="L262">
        <f>COUNTIFS(Visits!$V:$V,'New Dashboard'!$A$23,Visits!$E:$E,'User Engagement'!$A262)</f>
        <v>0</v>
      </c>
      <c r="M262">
        <f>COUNTIFS(Visits!$V:$V,'New Dashboard'!$A$24,Visits!$E:$E,'User Engagement'!$A262)</f>
        <v>0</v>
      </c>
      <c r="N262">
        <f>COUNTIFS(Visits!$V:$V,'New Dashboard'!$A$25,Visits!$E:$E,'User Engagement'!$A262)</f>
        <v>0</v>
      </c>
      <c r="O262">
        <f t="shared" si="24"/>
        <v>1</v>
      </c>
      <c r="P262">
        <f t="shared" si="25"/>
        <v>0</v>
      </c>
      <c r="Q262">
        <f t="shared" si="25"/>
        <v>0</v>
      </c>
      <c r="R262">
        <f t="shared" si="26"/>
        <v>0</v>
      </c>
      <c r="S262" s="5">
        <f>SUMIF(Visits!$E$2:$E$89,'User Engagement'!$A262,Visits!$L$2:$L$89)</f>
        <v>0</v>
      </c>
      <c r="T262" s="5">
        <f>SUMIFS(Visits!$L$2:$L$89,Visits!$E$2:$E$89,'User Engagement'!$A262,Visits!$U$2:$U$89,"&gt;3/28/24")</f>
        <v>0</v>
      </c>
      <c r="U262" s="19" t="e">
        <f t="shared" si="27"/>
        <v>#DIV/0!</v>
      </c>
      <c r="V262" s="19" t="str">
        <f t="shared" si="28"/>
        <v>n/a</v>
      </c>
    </row>
    <row r="263" spans="1:22" ht="16" x14ac:dyDescent="0.2">
      <c r="A263">
        <f>Users!A261</f>
        <v>0</v>
      </c>
      <c r="B263" s="29" t="e">
        <f>VLOOKUP(A263,Users!A:D,2,FALSE)</f>
        <v>#N/A</v>
      </c>
      <c r="C263" s="29" t="e">
        <f>VLOOKUP(A263,Users!A:D,3,FALSE)</f>
        <v>#N/A</v>
      </c>
      <c r="F263" s="1" cm="1">
        <f t="array" ref="F263">MAX(_xlfn._xlws.FILTER(Visits!U:U,Visits!E:E='User Engagement'!A263))</f>
        <v>0</v>
      </c>
      <c r="G263">
        <f>COUNTIF(Visits!$E$2:$E$995,'User Engagement'!$A263)</f>
        <v>0</v>
      </c>
      <c r="H263">
        <f>COUNTIFS(Visits!$E$2:$E$995,'User Engagement'!$A264,Visits!$U$2:$U$995,"&gt;"&amp;($B$1-7))</f>
        <v>0</v>
      </c>
      <c r="I263">
        <f>COUNTIFS(Visits!$E$2:$E$995,'User Engagement'!$A263,Visits!$U$2:$U$995,"&gt;"&amp;($B$1-30))</f>
        <v>0</v>
      </c>
      <c r="J263">
        <f>COUNTIFS(Visits!$E$2:$E$995,$A263,Visits!$U$2:$U$995,"&gt;"&amp;($B$1-60))-I263</f>
        <v>0</v>
      </c>
      <c r="K263">
        <f>COUNTIFS(Visits!$V:$V,'New Dashboard'!$A$22,Visits!$E:$E,'User Engagement'!$A263)</f>
        <v>0</v>
      </c>
      <c r="L263">
        <f>COUNTIFS(Visits!$V:$V,'New Dashboard'!$A$23,Visits!$E:$E,'User Engagement'!$A263)</f>
        <v>0</v>
      </c>
      <c r="M263">
        <f>COUNTIFS(Visits!$V:$V,'New Dashboard'!$A$24,Visits!$E:$E,'User Engagement'!$A263)</f>
        <v>0</v>
      </c>
      <c r="N263">
        <f>COUNTIFS(Visits!$V:$V,'New Dashboard'!$A$25,Visits!$E:$E,'User Engagement'!$A263)</f>
        <v>0</v>
      </c>
      <c r="O263">
        <f t="shared" si="24"/>
        <v>1</v>
      </c>
      <c r="P263">
        <f t="shared" si="25"/>
        <v>0</v>
      </c>
      <c r="Q263">
        <f t="shared" si="25"/>
        <v>0</v>
      </c>
      <c r="R263">
        <f t="shared" si="26"/>
        <v>0</v>
      </c>
      <c r="S263" s="5">
        <f>SUMIF(Visits!$E$2:$E$89,'User Engagement'!$A263,Visits!$L$2:$L$89)</f>
        <v>0</v>
      </c>
      <c r="T263" s="5">
        <f>SUMIFS(Visits!$L$2:$L$89,Visits!$E$2:$E$89,'User Engagement'!$A263,Visits!$U$2:$U$89,"&gt;3/28/24")</f>
        <v>0</v>
      </c>
      <c r="U263" s="19" t="e">
        <f t="shared" si="27"/>
        <v>#DIV/0!</v>
      </c>
      <c r="V263" s="19" t="str">
        <f t="shared" si="28"/>
        <v>n/a</v>
      </c>
    </row>
    <row r="264" spans="1:22" ht="16" x14ac:dyDescent="0.2">
      <c r="A264">
        <f>Users!A262</f>
        <v>0</v>
      </c>
      <c r="B264" s="29" t="e">
        <f>VLOOKUP(A264,Users!A:D,2,FALSE)</f>
        <v>#N/A</v>
      </c>
      <c r="C264" s="29" t="e">
        <f>VLOOKUP(A264,Users!A:D,3,FALSE)</f>
        <v>#N/A</v>
      </c>
      <c r="F264" s="1" cm="1">
        <f t="array" ref="F264">MAX(_xlfn._xlws.FILTER(Visits!U:U,Visits!E:E='User Engagement'!A264))</f>
        <v>0</v>
      </c>
      <c r="G264">
        <f>COUNTIF(Visits!$E$2:$E$995,'User Engagement'!$A264)</f>
        <v>0</v>
      </c>
      <c r="H264">
        <f>COUNTIFS(Visits!$E$2:$E$995,'User Engagement'!$A265,Visits!$U$2:$U$995,"&gt;"&amp;($B$1-7))</f>
        <v>0</v>
      </c>
      <c r="I264">
        <f>COUNTIFS(Visits!$E$2:$E$995,'User Engagement'!$A264,Visits!$U$2:$U$995,"&gt;"&amp;($B$1-30))</f>
        <v>0</v>
      </c>
      <c r="J264">
        <f>COUNTIFS(Visits!$E$2:$E$995,$A264,Visits!$U$2:$U$995,"&gt;"&amp;($B$1-60))-I264</f>
        <v>0</v>
      </c>
      <c r="K264">
        <f>COUNTIFS(Visits!$V:$V,'New Dashboard'!$A$22,Visits!$E:$E,'User Engagement'!$A264)</f>
        <v>0</v>
      </c>
      <c r="L264">
        <f>COUNTIFS(Visits!$V:$V,'New Dashboard'!$A$23,Visits!$E:$E,'User Engagement'!$A264)</f>
        <v>0</v>
      </c>
      <c r="M264">
        <f>COUNTIFS(Visits!$V:$V,'New Dashboard'!$A$24,Visits!$E:$E,'User Engagement'!$A264)</f>
        <v>0</v>
      </c>
      <c r="N264">
        <f>COUNTIFS(Visits!$V:$V,'New Dashboard'!$A$25,Visits!$E:$E,'User Engagement'!$A264)</f>
        <v>0</v>
      </c>
      <c r="O264">
        <f t="shared" si="24"/>
        <v>1</v>
      </c>
      <c r="P264">
        <f t="shared" si="25"/>
        <v>0</v>
      </c>
      <c r="Q264">
        <f t="shared" si="25"/>
        <v>0</v>
      </c>
      <c r="R264">
        <f t="shared" si="26"/>
        <v>0</v>
      </c>
      <c r="S264" s="5">
        <f>SUMIF(Visits!$E$2:$E$89,'User Engagement'!$A264,Visits!$L$2:$L$89)</f>
        <v>0</v>
      </c>
      <c r="T264" s="5">
        <f>SUMIFS(Visits!$L$2:$L$89,Visits!$E$2:$E$89,'User Engagement'!$A264,Visits!$U$2:$U$89,"&gt;3/28/24")</f>
        <v>0</v>
      </c>
      <c r="U264" s="19" t="e">
        <f t="shared" si="27"/>
        <v>#DIV/0!</v>
      </c>
      <c r="V264" s="19" t="str">
        <f t="shared" si="28"/>
        <v>n/a</v>
      </c>
    </row>
    <row r="265" spans="1:22" ht="16" x14ac:dyDescent="0.2">
      <c r="A265">
        <f>Users!A263</f>
        <v>0</v>
      </c>
      <c r="B265" s="29" t="e">
        <f>VLOOKUP(A265,Users!A:D,2,FALSE)</f>
        <v>#N/A</v>
      </c>
      <c r="C265" s="29" t="e">
        <f>VLOOKUP(A265,Users!A:D,3,FALSE)</f>
        <v>#N/A</v>
      </c>
      <c r="F265" s="1" cm="1">
        <f t="array" ref="F265">MAX(_xlfn._xlws.FILTER(Visits!U:U,Visits!E:E='User Engagement'!A265))</f>
        <v>0</v>
      </c>
      <c r="G265">
        <f>COUNTIF(Visits!$E$2:$E$995,'User Engagement'!$A265)</f>
        <v>0</v>
      </c>
      <c r="H265">
        <f>COUNTIFS(Visits!$E$2:$E$995,'User Engagement'!$A266,Visits!$U$2:$U$995,"&gt;"&amp;($B$1-7))</f>
        <v>0</v>
      </c>
      <c r="I265">
        <f>COUNTIFS(Visits!$E$2:$E$995,'User Engagement'!$A265,Visits!$U$2:$U$995,"&gt;"&amp;($B$1-30))</f>
        <v>0</v>
      </c>
      <c r="J265">
        <f>COUNTIFS(Visits!$E$2:$E$995,$A265,Visits!$U$2:$U$995,"&gt;"&amp;($B$1-60))-I265</f>
        <v>0</v>
      </c>
      <c r="K265">
        <f>COUNTIFS(Visits!$V:$V,'New Dashboard'!$A$22,Visits!$E:$E,'User Engagement'!$A265)</f>
        <v>0</v>
      </c>
      <c r="L265">
        <f>COUNTIFS(Visits!$V:$V,'New Dashboard'!$A$23,Visits!$E:$E,'User Engagement'!$A265)</f>
        <v>0</v>
      </c>
      <c r="M265">
        <f>COUNTIFS(Visits!$V:$V,'New Dashboard'!$A$24,Visits!$E:$E,'User Engagement'!$A265)</f>
        <v>0</v>
      </c>
      <c r="N265">
        <f>COUNTIFS(Visits!$V:$V,'New Dashboard'!$A$25,Visits!$E:$E,'User Engagement'!$A265)</f>
        <v>0</v>
      </c>
      <c r="O265">
        <f t="shared" si="24"/>
        <v>1</v>
      </c>
      <c r="P265">
        <f t="shared" si="25"/>
        <v>0</v>
      </c>
      <c r="Q265">
        <f t="shared" si="25"/>
        <v>0</v>
      </c>
      <c r="R265">
        <f t="shared" si="26"/>
        <v>0</v>
      </c>
      <c r="S265" s="5">
        <f>SUMIF(Visits!$E$2:$E$89,'User Engagement'!$A265,Visits!$L$2:$L$89)</f>
        <v>0</v>
      </c>
      <c r="T265" s="5">
        <f>SUMIFS(Visits!$L$2:$L$89,Visits!$E$2:$E$89,'User Engagement'!$A265,Visits!$U$2:$U$89,"&gt;3/28/24")</f>
        <v>0</v>
      </c>
      <c r="U265" s="19" t="e">
        <f t="shared" si="27"/>
        <v>#DIV/0!</v>
      </c>
      <c r="V265" s="19" t="str">
        <f t="shared" si="28"/>
        <v>n/a</v>
      </c>
    </row>
    <row r="266" spans="1:22" ht="16" x14ac:dyDescent="0.2">
      <c r="A266">
        <f>Users!A264</f>
        <v>0</v>
      </c>
      <c r="B266" s="29" t="e">
        <f>VLOOKUP(A266,Users!A:D,2,FALSE)</f>
        <v>#N/A</v>
      </c>
      <c r="C266" s="29" t="e">
        <f>VLOOKUP(A266,Users!A:D,3,FALSE)</f>
        <v>#N/A</v>
      </c>
      <c r="F266" s="1" cm="1">
        <f t="array" ref="F266">MAX(_xlfn._xlws.FILTER(Visits!U:U,Visits!E:E='User Engagement'!A266))</f>
        <v>0</v>
      </c>
      <c r="G266">
        <f>COUNTIF(Visits!$E$2:$E$995,'User Engagement'!$A266)</f>
        <v>0</v>
      </c>
      <c r="H266">
        <f>COUNTIFS(Visits!$E$2:$E$995,'User Engagement'!$A267,Visits!$U$2:$U$995,"&gt;"&amp;($B$1-7))</f>
        <v>0</v>
      </c>
      <c r="I266">
        <f>COUNTIFS(Visits!$E$2:$E$995,'User Engagement'!$A266,Visits!$U$2:$U$995,"&gt;"&amp;($B$1-30))</f>
        <v>0</v>
      </c>
      <c r="J266">
        <f>COUNTIFS(Visits!$E$2:$E$995,$A266,Visits!$U$2:$U$995,"&gt;"&amp;($B$1-60))-I266</f>
        <v>0</v>
      </c>
      <c r="K266">
        <f>COUNTIFS(Visits!$V:$V,'New Dashboard'!$A$22,Visits!$E:$E,'User Engagement'!$A266)</f>
        <v>0</v>
      </c>
      <c r="L266">
        <f>COUNTIFS(Visits!$V:$V,'New Dashboard'!$A$23,Visits!$E:$E,'User Engagement'!$A266)</f>
        <v>0</v>
      </c>
      <c r="M266">
        <f>COUNTIFS(Visits!$V:$V,'New Dashboard'!$A$24,Visits!$E:$E,'User Engagement'!$A266)</f>
        <v>0</v>
      </c>
      <c r="N266">
        <f>COUNTIFS(Visits!$V:$V,'New Dashboard'!$A$25,Visits!$E:$E,'User Engagement'!$A266)</f>
        <v>0</v>
      </c>
      <c r="O266">
        <f t="shared" ref="O266:O316" si="29">IF(G266-H266=0,1,0)</f>
        <v>1</v>
      </c>
      <c r="P266">
        <f t="shared" ref="P266:Q316" si="30">IF(I266&gt;0,1,0)</f>
        <v>0</v>
      </c>
      <c r="Q266">
        <f t="shared" si="30"/>
        <v>0</v>
      </c>
      <c r="R266">
        <f t="shared" si="26"/>
        <v>0</v>
      </c>
      <c r="S266" s="5">
        <f>SUMIF(Visits!$E$2:$E$89,'User Engagement'!$A266,Visits!$L$2:$L$89)</f>
        <v>0</v>
      </c>
      <c r="T266" s="5">
        <f>SUMIFS(Visits!$L$2:$L$89,Visits!$E$2:$E$89,'User Engagement'!$A266,Visits!$U$2:$U$89,"&gt;3/28/24")</f>
        <v>0</v>
      </c>
      <c r="U266" s="19" t="e">
        <f t="shared" si="27"/>
        <v>#DIV/0!</v>
      </c>
      <c r="V266" s="19" t="str">
        <f t="shared" si="28"/>
        <v>n/a</v>
      </c>
    </row>
    <row r="267" spans="1:22" ht="16" x14ac:dyDescent="0.2">
      <c r="A267">
        <f>Users!A265</f>
        <v>0</v>
      </c>
      <c r="B267" s="29" t="e">
        <f>VLOOKUP(A267,Users!A:D,2,FALSE)</f>
        <v>#N/A</v>
      </c>
      <c r="C267" s="29" t="e">
        <f>VLOOKUP(A267,Users!A:D,3,FALSE)</f>
        <v>#N/A</v>
      </c>
      <c r="F267" s="1" cm="1">
        <f t="array" ref="F267">MAX(_xlfn._xlws.FILTER(Visits!U:U,Visits!E:E='User Engagement'!A267))</f>
        <v>0</v>
      </c>
      <c r="G267">
        <f>COUNTIF(Visits!$E$2:$E$995,'User Engagement'!$A267)</f>
        <v>0</v>
      </c>
      <c r="H267">
        <f>COUNTIFS(Visits!$E$2:$E$995,'User Engagement'!$A268,Visits!$U$2:$U$995,"&gt;"&amp;($B$1-7))</f>
        <v>0</v>
      </c>
      <c r="I267">
        <f>COUNTIFS(Visits!$E$2:$E$995,'User Engagement'!$A267,Visits!$U$2:$U$995,"&gt;"&amp;($B$1-30))</f>
        <v>0</v>
      </c>
      <c r="J267">
        <f>COUNTIFS(Visits!$E$2:$E$995,$A267,Visits!$U$2:$U$995,"&gt;"&amp;($B$1-60))-I267</f>
        <v>0</v>
      </c>
      <c r="K267">
        <f>COUNTIFS(Visits!$V:$V,'New Dashboard'!$A$22,Visits!$E:$E,'User Engagement'!$A267)</f>
        <v>0</v>
      </c>
      <c r="L267">
        <f>COUNTIFS(Visits!$V:$V,'New Dashboard'!$A$23,Visits!$E:$E,'User Engagement'!$A267)</f>
        <v>0</v>
      </c>
      <c r="M267">
        <f>COUNTIFS(Visits!$V:$V,'New Dashboard'!$A$24,Visits!$E:$E,'User Engagement'!$A267)</f>
        <v>0</v>
      </c>
      <c r="N267">
        <f>COUNTIFS(Visits!$V:$V,'New Dashboard'!$A$25,Visits!$E:$E,'User Engagement'!$A267)</f>
        <v>0</v>
      </c>
      <c r="O267">
        <f t="shared" si="29"/>
        <v>1</v>
      </c>
      <c r="P267">
        <f t="shared" si="30"/>
        <v>0</v>
      </c>
      <c r="Q267">
        <f t="shared" si="30"/>
        <v>0</v>
      </c>
      <c r="R267">
        <f t="shared" si="26"/>
        <v>0</v>
      </c>
      <c r="S267" s="5">
        <f>SUMIF(Visits!$E$2:$E$89,'User Engagement'!$A267,Visits!$L$2:$L$89)</f>
        <v>0</v>
      </c>
      <c r="T267" s="5">
        <f>SUMIFS(Visits!$L$2:$L$89,Visits!$E$2:$E$89,'User Engagement'!$A267,Visits!$U$2:$U$89,"&gt;3/28/24")</f>
        <v>0</v>
      </c>
      <c r="U267" s="19" t="e">
        <f t="shared" si="27"/>
        <v>#DIV/0!</v>
      </c>
      <c r="V267" s="19" t="str">
        <f t="shared" si="28"/>
        <v>n/a</v>
      </c>
    </row>
    <row r="268" spans="1:22" ht="16" x14ac:dyDescent="0.2">
      <c r="A268">
        <f>Users!A266</f>
        <v>0</v>
      </c>
      <c r="B268" s="29" t="e">
        <f>VLOOKUP(A268,Users!A:D,2,FALSE)</f>
        <v>#N/A</v>
      </c>
      <c r="C268" s="29" t="e">
        <f>VLOOKUP(A268,Users!A:D,3,FALSE)</f>
        <v>#N/A</v>
      </c>
      <c r="F268" s="1" cm="1">
        <f t="array" ref="F268">MAX(_xlfn._xlws.FILTER(Visits!U:U,Visits!E:E='User Engagement'!A268))</f>
        <v>0</v>
      </c>
      <c r="G268">
        <f>COUNTIF(Visits!$E$2:$E$995,'User Engagement'!$A268)</f>
        <v>0</v>
      </c>
      <c r="H268">
        <f>COUNTIFS(Visits!$E$2:$E$995,'User Engagement'!$A269,Visits!$U$2:$U$995,"&gt;"&amp;($B$1-7))</f>
        <v>0</v>
      </c>
      <c r="I268">
        <f>COUNTIFS(Visits!$E$2:$E$995,'User Engagement'!$A268,Visits!$U$2:$U$995,"&gt;"&amp;($B$1-30))</f>
        <v>0</v>
      </c>
      <c r="J268">
        <f>COUNTIFS(Visits!$E$2:$E$995,$A268,Visits!$U$2:$U$995,"&gt;"&amp;($B$1-60))-I268</f>
        <v>0</v>
      </c>
      <c r="K268">
        <f>COUNTIFS(Visits!$V:$V,'New Dashboard'!$A$22,Visits!$E:$E,'User Engagement'!$A268)</f>
        <v>0</v>
      </c>
      <c r="L268">
        <f>COUNTIFS(Visits!$V:$V,'New Dashboard'!$A$23,Visits!$E:$E,'User Engagement'!$A268)</f>
        <v>0</v>
      </c>
      <c r="M268">
        <f>COUNTIFS(Visits!$V:$V,'New Dashboard'!$A$24,Visits!$E:$E,'User Engagement'!$A268)</f>
        <v>0</v>
      </c>
      <c r="N268">
        <f>COUNTIFS(Visits!$V:$V,'New Dashboard'!$A$25,Visits!$E:$E,'User Engagement'!$A268)</f>
        <v>0</v>
      </c>
      <c r="O268">
        <f t="shared" si="29"/>
        <v>1</v>
      </c>
      <c r="P268">
        <f t="shared" si="30"/>
        <v>0</v>
      </c>
      <c r="Q268">
        <f t="shared" si="30"/>
        <v>0</v>
      </c>
      <c r="R268">
        <f t="shared" si="26"/>
        <v>0</v>
      </c>
      <c r="S268" s="5">
        <f>SUMIF(Visits!$E$2:$E$89,'User Engagement'!$A268,Visits!$L$2:$L$89)</f>
        <v>0</v>
      </c>
      <c r="T268" s="5">
        <f>SUMIFS(Visits!$L$2:$L$89,Visits!$E$2:$E$89,'User Engagement'!$A268,Visits!$U$2:$U$89,"&gt;3/28/24")</f>
        <v>0</v>
      </c>
      <c r="U268" s="19" t="e">
        <f t="shared" si="27"/>
        <v>#DIV/0!</v>
      </c>
      <c r="V268" s="19" t="str">
        <f t="shared" si="28"/>
        <v>n/a</v>
      </c>
    </row>
    <row r="269" spans="1:22" ht="16" x14ac:dyDescent="0.2">
      <c r="A269">
        <f>Users!A267</f>
        <v>0</v>
      </c>
      <c r="B269" s="29" t="e">
        <f>VLOOKUP(A269,Users!A:D,2,FALSE)</f>
        <v>#N/A</v>
      </c>
      <c r="C269" s="29" t="e">
        <f>VLOOKUP(A269,Users!A:D,3,FALSE)</f>
        <v>#N/A</v>
      </c>
      <c r="F269" s="1" cm="1">
        <f t="array" ref="F269">MAX(_xlfn._xlws.FILTER(Visits!U:U,Visits!E:E='User Engagement'!A269))</f>
        <v>0</v>
      </c>
      <c r="G269">
        <f>COUNTIF(Visits!$E$2:$E$995,'User Engagement'!$A269)</f>
        <v>0</v>
      </c>
      <c r="H269">
        <f>COUNTIFS(Visits!$E$2:$E$995,'User Engagement'!$A270,Visits!$U$2:$U$995,"&gt;"&amp;($B$1-7))</f>
        <v>0</v>
      </c>
      <c r="I269">
        <f>COUNTIFS(Visits!$E$2:$E$995,'User Engagement'!$A269,Visits!$U$2:$U$995,"&gt;"&amp;($B$1-30))</f>
        <v>0</v>
      </c>
      <c r="J269">
        <f>COUNTIFS(Visits!$E$2:$E$995,$A269,Visits!$U$2:$U$995,"&gt;"&amp;($B$1-60))-I269</f>
        <v>0</v>
      </c>
      <c r="K269">
        <f>COUNTIFS(Visits!$V:$V,'New Dashboard'!$A$22,Visits!$E:$E,'User Engagement'!$A269)</f>
        <v>0</v>
      </c>
      <c r="L269">
        <f>COUNTIFS(Visits!$V:$V,'New Dashboard'!$A$23,Visits!$E:$E,'User Engagement'!$A269)</f>
        <v>0</v>
      </c>
      <c r="M269">
        <f>COUNTIFS(Visits!$V:$V,'New Dashboard'!$A$24,Visits!$E:$E,'User Engagement'!$A269)</f>
        <v>0</v>
      </c>
      <c r="N269">
        <f>COUNTIFS(Visits!$V:$V,'New Dashboard'!$A$25,Visits!$E:$E,'User Engagement'!$A269)</f>
        <v>0</v>
      </c>
      <c r="O269">
        <f t="shared" si="29"/>
        <v>1</v>
      </c>
      <c r="P269">
        <f t="shared" si="30"/>
        <v>0</v>
      </c>
      <c r="Q269">
        <f t="shared" si="30"/>
        <v>0</v>
      </c>
      <c r="R269">
        <f t="shared" si="26"/>
        <v>0</v>
      </c>
      <c r="S269" s="5">
        <f>SUMIF(Visits!$E$2:$E$89,'User Engagement'!$A269,Visits!$L$2:$L$89)</f>
        <v>0</v>
      </c>
      <c r="T269" s="5">
        <f>SUMIFS(Visits!$L$2:$L$89,Visits!$E$2:$E$89,'User Engagement'!$A269,Visits!$U$2:$U$89,"&gt;3/28/24")</f>
        <v>0</v>
      </c>
      <c r="U269" s="19" t="e">
        <f t="shared" si="27"/>
        <v>#DIV/0!</v>
      </c>
      <c r="V269" s="19" t="str">
        <f t="shared" si="28"/>
        <v>n/a</v>
      </c>
    </row>
    <row r="270" spans="1:22" ht="16" x14ac:dyDescent="0.2">
      <c r="A270">
        <f>Users!A268</f>
        <v>0</v>
      </c>
      <c r="B270" s="29" t="e">
        <f>VLOOKUP(A270,Users!A:D,2,FALSE)</f>
        <v>#N/A</v>
      </c>
      <c r="C270" s="29" t="e">
        <f>VLOOKUP(A270,Users!A:D,3,FALSE)</f>
        <v>#N/A</v>
      </c>
      <c r="F270" s="1" cm="1">
        <f t="array" ref="F270">MAX(_xlfn._xlws.FILTER(Visits!U:U,Visits!E:E='User Engagement'!A270))</f>
        <v>0</v>
      </c>
      <c r="G270">
        <f>COUNTIF(Visits!$E$2:$E$995,'User Engagement'!$A270)</f>
        <v>0</v>
      </c>
      <c r="H270">
        <f>COUNTIFS(Visits!$E$2:$E$995,'User Engagement'!$A271,Visits!$U$2:$U$995,"&gt;"&amp;($B$1-7))</f>
        <v>0</v>
      </c>
      <c r="I270">
        <f>COUNTIFS(Visits!$E$2:$E$995,'User Engagement'!$A270,Visits!$U$2:$U$995,"&gt;"&amp;($B$1-30))</f>
        <v>0</v>
      </c>
      <c r="J270">
        <f>COUNTIFS(Visits!$E$2:$E$995,$A270,Visits!$U$2:$U$995,"&gt;"&amp;($B$1-60))-I270</f>
        <v>0</v>
      </c>
      <c r="K270">
        <f>COUNTIFS(Visits!$V:$V,'New Dashboard'!$A$22,Visits!$E:$E,'User Engagement'!$A270)</f>
        <v>0</v>
      </c>
      <c r="L270">
        <f>COUNTIFS(Visits!$V:$V,'New Dashboard'!$A$23,Visits!$E:$E,'User Engagement'!$A270)</f>
        <v>0</v>
      </c>
      <c r="M270">
        <f>COUNTIFS(Visits!$V:$V,'New Dashboard'!$A$24,Visits!$E:$E,'User Engagement'!$A270)</f>
        <v>0</v>
      </c>
      <c r="N270">
        <f>COUNTIFS(Visits!$V:$V,'New Dashboard'!$A$25,Visits!$E:$E,'User Engagement'!$A270)</f>
        <v>0</v>
      </c>
      <c r="O270">
        <f t="shared" si="29"/>
        <v>1</v>
      </c>
      <c r="P270">
        <f t="shared" si="30"/>
        <v>0</v>
      </c>
      <c r="Q270">
        <f t="shared" si="30"/>
        <v>0</v>
      </c>
      <c r="R270">
        <f t="shared" si="26"/>
        <v>0</v>
      </c>
      <c r="S270" s="5">
        <f>SUMIF(Visits!$E$2:$E$89,'User Engagement'!$A270,Visits!$L$2:$L$89)</f>
        <v>0</v>
      </c>
      <c r="T270" s="5">
        <f>SUMIFS(Visits!$L$2:$L$89,Visits!$E$2:$E$89,'User Engagement'!$A270,Visits!$U$2:$U$89,"&gt;3/28/24")</f>
        <v>0</v>
      </c>
      <c r="U270" s="19" t="e">
        <f t="shared" si="27"/>
        <v>#DIV/0!</v>
      </c>
      <c r="V270" s="19" t="str">
        <f t="shared" si="28"/>
        <v>n/a</v>
      </c>
    </row>
    <row r="271" spans="1:22" ht="16" x14ac:dyDescent="0.2">
      <c r="A271">
        <f>Users!A269</f>
        <v>0</v>
      </c>
      <c r="B271" s="29" t="e">
        <f>VLOOKUP(A271,Users!A:D,2,FALSE)</f>
        <v>#N/A</v>
      </c>
      <c r="C271" s="29" t="e">
        <f>VLOOKUP(A271,Users!A:D,3,FALSE)</f>
        <v>#N/A</v>
      </c>
      <c r="F271" s="1" cm="1">
        <f t="array" ref="F271">MAX(_xlfn._xlws.FILTER(Visits!U:U,Visits!E:E='User Engagement'!A271))</f>
        <v>0</v>
      </c>
      <c r="G271">
        <f>COUNTIF(Visits!$E$2:$E$995,'User Engagement'!$A271)</f>
        <v>0</v>
      </c>
      <c r="H271">
        <f>COUNTIFS(Visits!$E$2:$E$995,'User Engagement'!$A272,Visits!$U$2:$U$995,"&gt;"&amp;($B$1-7))</f>
        <v>0</v>
      </c>
      <c r="I271">
        <f>COUNTIFS(Visits!$E$2:$E$995,'User Engagement'!$A271,Visits!$U$2:$U$995,"&gt;"&amp;($B$1-30))</f>
        <v>0</v>
      </c>
      <c r="J271">
        <f>COUNTIFS(Visits!$E$2:$E$995,$A271,Visits!$U$2:$U$995,"&gt;"&amp;($B$1-60))-I271</f>
        <v>0</v>
      </c>
      <c r="K271">
        <f>COUNTIFS(Visits!$V:$V,'New Dashboard'!$A$22,Visits!$E:$E,'User Engagement'!$A271)</f>
        <v>0</v>
      </c>
      <c r="L271">
        <f>COUNTIFS(Visits!$V:$V,'New Dashboard'!$A$23,Visits!$E:$E,'User Engagement'!$A271)</f>
        <v>0</v>
      </c>
      <c r="M271">
        <f>COUNTIFS(Visits!$V:$V,'New Dashboard'!$A$24,Visits!$E:$E,'User Engagement'!$A271)</f>
        <v>0</v>
      </c>
      <c r="N271">
        <f>COUNTIFS(Visits!$V:$V,'New Dashboard'!$A$25,Visits!$E:$E,'User Engagement'!$A271)</f>
        <v>0</v>
      </c>
      <c r="O271">
        <f t="shared" si="29"/>
        <v>1</v>
      </c>
      <c r="P271">
        <f t="shared" si="30"/>
        <v>0</v>
      </c>
      <c r="Q271">
        <f t="shared" si="30"/>
        <v>0</v>
      </c>
      <c r="R271">
        <f t="shared" si="26"/>
        <v>0</v>
      </c>
      <c r="S271" s="5">
        <f>SUMIF(Visits!$E$2:$E$89,'User Engagement'!$A271,Visits!$L$2:$L$89)</f>
        <v>0</v>
      </c>
      <c r="T271" s="5">
        <f>SUMIFS(Visits!$L$2:$L$89,Visits!$E$2:$E$89,'User Engagement'!$A271,Visits!$U$2:$U$89,"&gt;3/28/24")</f>
        <v>0</v>
      </c>
      <c r="U271" s="19" t="e">
        <f t="shared" si="27"/>
        <v>#DIV/0!</v>
      </c>
      <c r="V271" s="19" t="str">
        <f t="shared" si="28"/>
        <v>n/a</v>
      </c>
    </row>
    <row r="272" spans="1:22" ht="16" x14ac:dyDescent="0.2">
      <c r="A272">
        <f>Users!A270</f>
        <v>0</v>
      </c>
      <c r="B272" s="29" t="e">
        <f>VLOOKUP(A272,Users!A:D,2,FALSE)</f>
        <v>#N/A</v>
      </c>
      <c r="C272" s="29" t="e">
        <f>VLOOKUP(A272,Users!A:D,3,FALSE)</f>
        <v>#N/A</v>
      </c>
      <c r="F272" s="1" cm="1">
        <f t="array" ref="F272">MAX(_xlfn._xlws.FILTER(Visits!U:U,Visits!E:E='User Engagement'!A272))</f>
        <v>0</v>
      </c>
      <c r="G272">
        <f>COUNTIF(Visits!$E$2:$E$995,'User Engagement'!$A272)</f>
        <v>0</v>
      </c>
      <c r="H272">
        <f>COUNTIFS(Visits!$E$2:$E$995,'User Engagement'!$A273,Visits!$U$2:$U$995,"&gt;"&amp;($B$1-7))</f>
        <v>0</v>
      </c>
      <c r="I272">
        <f>COUNTIFS(Visits!$E$2:$E$995,'User Engagement'!$A272,Visits!$U$2:$U$995,"&gt;"&amp;($B$1-30))</f>
        <v>0</v>
      </c>
      <c r="J272">
        <f>COUNTIFS(Visits!$E$2:$E$995,$A272,Visits!$U$2:$U$995,"&gt;"&amp;($B$1-60))-I272</f>
        <v>0</v>
      </c>
      <c r="K272">
        <f>COUNTIFS(Visits!$V:$V,'New Dashboard'!$A$22,Visits!$E:$E,'User Engagement'!$A272)</f>
        <v>0</v>
      </c>
      <c r="L272">
        <f>COUNTIFS(Visits!$V:$V,'New Dashboard'!$A$23,Visits!$E:$E,'User Engagement'!$A272)</f>
        <v>0</v>
      </c>
      <c r="M272">
        <f>COUNTIFS(Visits!$V:$V,'New Dashboard'!$A$24,Visits!$E:$E,'User Engagement'!$A272)</f>
        <v>0</v>
      </c>
      <c r="N272">
        <f>COUNTIFS(Visits!$V:$V,'New Dashboard'!$A$25,Visits!$E:$E,'User Engagement'!$A272)</f>
        <v>0</v>
      </c>
      <c r="O272">
        <f t="shared" si="29"/>
        <v>1</v>
      </c>
      <c r="P272">
        <f t="shared" si="30"/>
        <v>0</v>
      </c>
      <c r="Q272">
        <f t="shared" si="30"/>
        <v>0</v>
      </c>
      <c r="R272">
        <f t="shared" si="26"/>
        <v>0</v>
      </c>
      <c r="S272" s="5">
        <f>SUMIF(Visits!$E$2:$E$89,'User Engagement'!$A272,Visits!$L$2:$L$89)</f>
        <v>0</v>
      </c>
      <c r="T272" s="5">
        <f>SUMIFS(Visits!$L$2:$L$89,Visits!$E$2:$E$89,'User Engagement'!$A272,Visits!$U$2:$U$89,"&gt;3/28/24")</f>
        <v>0</v>
      </c>
      <c r="U272" s="19" t="e">
        <f t="shared" si="27"/>
        <v>#DIV/0!</v>
      </c>
      <c r="V272" s="19" t="str">
        <f t="shared" si="28"/>
        <v>n/a</v>
      </c>
    </row>
    <row r="273" spans="1:22" ht="16" x14ac:dyDescent="0.2">
      <c r="A273">
        <f>Users!A271</f>
        <v>0</v>
      </c>
      <c r="B273" s="29" t="e">
        <f>VLOOKUP(A273,Users!A:D,2,FALSE)</f>
        <v>#N/A</v>
      </c>
      <c r="C273" s="29" t="e">
        <f>VLOOKUP(A273,Users!A:D,3,FALSE)</f>
        <v>#N/A</v>
      </c>
      <c r="F273" s="1" cm="1">
        <f t="array" ref="F273">MAX(_xlfn._xlws.FILTER(Visits!U:U,Visits!E:E='User Engagement'!A273))</f>
        <v>0</v>
      </c>
      <c r="G273">
        <f>COUNTIF(Visits!$E$2:$E$995,'User Engagement'!$A273)</f>
        <v>0</v>
      </c>
      <c r="H273">
        <f>COUNTIFS(Visits!$E$2:$E$995,'User Engagement'!$A274,Visits!$U$2:$U$995,"&gt;"&amp;($B$1-7))</f>
        <v>0</v>
      </c>
      <c r="I273">
        <f>COUNTIFS(Visits!$E$2:$E$995,'User Engagement'!$A273,Visits!$U$2:$U$995,"&gt;"&amp;($B$1-30))</f>
        <v>0</v>
      </c>
      <c r="J273">
        <f>COUNTIFS(Visits!$E$2:$E$995,$A273,Visits!$U$2:$U$995,"&gt;"&amp;($B$1-60))-I273</f>
        <v>0</v>
      </c>
      <c r="K273">
        <f>COUNTIFS(Visits!$V:$V,'New Dashboard'!$A$22,Visits!$E:$E,'User Engagement'!$A273)</f>
        <v>0</v>
      </c>
      <c r="L273">
        <f>COUNTIFS(Visits!$V:$V,'New Dashboard'!$A$23,Visits!$E:$E,'User Engagement'!$A273)</f>
        <v>0</v>
      </c>
      <c r="M273">
        <f>COUNTIFS(Visits!$V:$V,'New Dashboard'!$A$24,Visits!$E:$E,'User Engagement'!$A273)</f>
        <v>0</v>
      </c>
      <c r="N273">
        <f>COUNTIFS(Visits!$V:$V,'New Dashboard'!$A$25,Visits!$E:$E,'User Engagement'!$A273)</f>
        <v>0</v>
      </c>
      <c r="O273">
        <f t="shared" si="29"/>
        <v>1</v>
      </c>
      <c r="P273">
        <f t="shared" si="30"/>
        <v>0</v>
      </c>
      <c r="Q273">
        <f t="shared" si="30"/>
        <v>0</v>
      </c>
      <c r="R273">
        <f t="shared" si="26"/>
        <v>0</v>
      </c>
      <c r="S273" s="5">
        <f>SUMIF(Visits!$E$2:$E$89,'User Engagement'!$A273,Visits!$L$2:$L$89)</f>
        <v>0</v>
      </c>
      <c r="T273" s="5">
        <f>SUMIFS(Visits!$L$2:$L$89,Visits!$E$2:$E$89,'User Engagement'!$A273,Visits!$U$2:$U$89,"&gt;3/28/24")</f>
        <v>0</v>
      </c>
      <c r="U273" s="19" t="e">
        <f t="shared" si="27"/>
        <v>#DIV/0!</v>
      </c>
      <c r="V273" s="19" t="str">
        <f t="shared" si="28"/>
        <v>n/a</v>
      </c>
    </row>
    <row r="274" spans="1:22" ht="16" x14ac:dyDescent="0.2">
      <c r="A274">
        <f>Users!A272</f>
        <v>0</v>
      </c>
      <c r="B274" s="29" t="e">
        <f>VLOOKUP(A274,Users!A:D,2,FALSE)</f>
        <v>#N/A</v>
      </c>
      <c r="C274" s="29" t="e">
        <f>VLOOKUP(A274,Users!A:D,3,FALSE)</f>
        <v>#N/A</v>
      </c>
      <c r="F274" s="1" cm="1">
        <f t="array" ref="F274">MAX(_xlfn._xlws.FILTER(Visits!U:U,Visits!E:E='User Engagement'!A274))</f>
        <v>0</v>
      </c>
      <c r="G274">
        <f>COUNTIF(Visits!$E$2:$E$995,'User Engagement'!$A274)</f>
        <v>0</v>
      </c>
      <c r="H274">
        <f>COUNTIFS(Visits!$E$2:$E$995,'User Engagement'!$A275,Visits!$U$2:$U$995,"&gt;"&amp;($B$1-7))</f>
        <v>0</v>
      </c>
      <c r="I274">
        <f>COUNTIFS(Visits!$E$2:$E$995,'User Engagement'!$A274,Visits!$U$2:$U$995,"&gt;"&amp;($B$1-30))</f>
        <v>0</v>
      </c>
      <c r="J274">
        <f>COUNTIFS(Visits!$E$2:$E$995,$A274,Visits!$U$2:$U$995,"&gt;"&amp;($B$1-60))-I274</f>
        <v>0</v>
      </c>
      <c r="K274">
        <f>COUNTIFS(Visits!$V:$V,'New Dashboard'!$A$22,Visits!$E:$E,'User Engagement'!$A274)</f>
        <v>0</v>
      </c>
      <c r="L274">
        <f>COUNTIFS(Visits!$V:$V,'New Dashboard'!$A$23,Visits!$E:$E,'User Engagement'!$A274)</f>
        <v>0</v>
      </c>
      <c r="M274">
        <f>COUNTIFS(Visits!$V:$V,'New Dashboard'!$A$24,Visits!$E:$E,'User Engagement'!$A274)</f>
        <v>0</v>
      </c>
      <c r="N274">
        <f>COUNTIFS(Visits!$V:$V,'New Dashboard'!$A$25,Visits!$E:$E,'User Engagement'!$A274)</f>
        <v>0</v>
      </c>
      <c r="O274">
        <f t="shared" si="29"/>
        <v>1</v>
      </c>
      <c r="P274">
        <f t="shared" si="30"/>
        <v>0</v>
      </c>
      <c r="Q274">
        <f t="shared" si="30"/>
        <v>0</v>
      </c>
      <c r="R274">
        <f t="shared" si="26"/>
        <v>0</v>
      </c>
      <c r="S274" s="5">
        <f>SUMIF(Visits!$E$2:$E$89,'User Engagement'!$A274,Visits!$L$2:$L$89)</f>
        <v>0</v>
      </c>
      <c r="T274" s="5">
        <f>SUMIFS(Visits!$L$2:$L$89,Visits!$E$2:$E$89,'User Engagement'!$A274,Visits!$U$2:$U$89,"&gt;3/28/24")</f>
        <v>0</v>
      </c>
      <c r="U274" s="19" t="e">
        <f t="shared" si="27"/>
        <v>#DIV/0!</v>
      </c>
      <c r="V274" s="19" t="str">
        <f t="shared" si="28"/>
        <v>n/a</v>
      </c>
    </row>
    <row r="275" spans="1:22" ht="16" x14ac:dyDescent="0.2">
      <c r="A275">
        <f>Users!A273</f>
        <v>0</v>
      </c>
      <c r="B275" s="29" t="e">
        <f>VLOOKUP(A275,Users!A:D,2,FALSE)</f>
        <v>#N/A</v>
      </c>
      <c r="C275" s="29" t="e">
        <f>VLOOKUP(A275,Users!A:D,3,FALSE)</f>
        <v>#N/A</v>
      </c>
      <c r="F275" s="1" cm="1">
        <f t="array" ref="F275">MAX(_xlfn._xlws.FILTER(Visits!U:U,Visits!E:E='User Engagement'!A275))</f>
        <v>0</v>
      </c>
      <c r="G275">
        <f>COUNTIF(Visits!$E$2:$E$995,'User Engagement'!$A275)</f>
        <v>0</v>
      </c>
      <c r="H275">
        <f>COUNTIFS(Visits!$E$2:$E$995,'User Engagement'!$A276,Visits!$U$2:$U$995,"&gt;"&amp;($B$1-7))</f>
        <v>0</v>
      </c>
      <c r="I275">
        <f>COUNTIFS(Visits!$E$2:$E$995,'User Engagement'!$A275,Visits!$U$2:$U$995,"&gt;"&amp;($B$1-30))</f>
        <v>0</v>
      </c>
      <c r="J275">
        <f>COUNTIFS(Visits!$E$2:$E$995,$A275,Visits!$U$2:$U$995,"&gt;"&amp;($B$1-60))-I275</f>
        <v>0</v>
      </c>
      <c r="K275">
        <f>COUNTIFS(Visits!$V:$V,'New Dashboard'!$A$22,Visits!$E:$E,'User Engagement'!$A275)</f>
        <v>0</v>
      </c>
      <c r="L275">
        <f>COUNTIFS(Visits!$V:$V,'New Dashboard'!$A$23,Visits!$E:$E,'User Engagement'!$A275)</f>
        <v>0</v>
      </c>
      <c r="M275">
        <f>COUNTIFS(Visits!$V:$V,'New Dashboard'!$A$24,Visits!$E:$E,'User Engagement'!$A275)</f>
        <v>0</v>
      </c>
      <c r="N275">
        <f>COUNTIFS(Visits!$V:$V,'New Dashboard'!$A$25,Visits!$E:$E,'User Engagement'!$A275)</f>
        <v>0</v>
      </c>
      <c r="O275">
        <f t="shared" si="29"/>
        <v>1</v>
      </c>
      <c r="P275">
        <f t="shared" si="30"/>
        <v>0</v>
      </c>
      <c r="Q275">
        <f t="shared" si="30"/>
        <v>0</v>
      </c>
      <c r="R275">
        <f t="shared" si="26"/>
        <v>0</v>
      </c>
      <c r="S275" s="5">
        <f>SUMIF(Visits!$E$2:$E$89,'User Engagement'!$A275,Visits!$L$2:$L$89)</f>
        <v>0</v>
      </c>
      <c r="T275" s="5">
        <f>SUMIFS(Visits!$L$2:$L$89,Visits!$E$2:$E$89,'User Engagement'!$A275,Visits!$U$2:$U$89,"&gt;3/28/24")</f>
        <v>0</v>
      </c>
      <c r="U275" s="19" t="e">
        <f t="shared" si="27"/>
        <v>#DIV/0!</v>
      </c>
      <c r="V275" s="19" t="str">
        <f t="shared" si="28"/>
        <v>n/a</v>
      </c>
    </row>
    <row r="276" spans="1:22" ht="16" x14ac:dyDescent="0.2">
      <c r="A276">
        <f>Users!A274</f>
        <v>0</v>
      </c>
      <c r="B276" s="29" t="e">
        <f>VLOOKUP(A276,Users!A:D,2,FALSE)</f>
        <v>#N/A</v>
      </c>
      <c r="C276" s="29" t="e">
        <f>VLOOKUP(A276,Users!A:D,3,FALSE)</f>
        <v>#N/A</v>
      </c>
      <c r="F276" s="1" cm="1">
        <f t="array" ref="F276">MAX(_xlfn._xlws.FILTER(Visits!U:U,Visits!E:E='User Engagement'!A276))</f>
        <v>0</v>
      </c>
      <c r="G276">
        <f>COUNTIF(Visits!$E$2:$E$995,'User Engagement'!$A276)</f>
        <v>0</v>
      </c>
      <c r="H276">
        <f>COUNTIFS(Visits!$E$2:$E$995,'User Engagement'!$A277,Visits!$U$2:$U$995,"&gt;"&amp;($B$1-7))</f>
        <v>0</v>
      </c>
      <c r="I276">
        <f>COUNTIFS(Visits!$E$2:$E$995,'User Engagement'!$A276,Visits!$U$2:$U$995,"&gt;"&amp;($B$1-30))</f>
        <v>0</v>
      </c>
      <c r="J276">
        <f>COUNTIFS(Visits!$E$2:$E$995,$A276,Visits!$U$2:$U$995,"&gt;"&amp;($B$1-60))-I276</f>
        <v>0</v>
      </c>
      <c r="K276">
        <f>COUNTIFS(Visits!$V:$V,'New Dashboard'!$A$22,Visits!$E:$E,'User Engagement'!$A276)</f>
        <v>0</v>
      </c>
      <c r="L276">
        <f>COUNTIFS(Visits!$V:$V,'New Dashboard'!$A$23,Visits!$E:$E,'User Engagement'!$A276)</f>
        <v>0</v>
      </c>
      <c r="M276">
        <f>COUNTIFS(Visits!$V:$V,'New Dashboard'!$A$24,Visits!$E:$E,'User Engagement'!$A276)</f>
        <v>0</v>
      </c>
      <c r="N276">
        <f>COUNTIFS(Visits!$V:$V,'New Dashboard'!$A$25,Visits!$E:$E,'User Engagement'!$A276)</f>
        <v>0</v>
      </c>
      <c r="O276">
        <f t="shared" si="29"/>
        <v>1</v>
      </c>
      <c r="P276">
        <f t="shared" si="30"/>
        <v>0</v>
      </c>
      <c r="Q276">
        <f t="shared" si="30"/>
        <v>0</v>
      </c>
      <c r="R276">
        <f t="shared" si="26"/>
        <v>0</v>
      </c>
      <c r="S276" s="5">
        <f>SUMIF(Visits!$E$2:$E$89,'User Engagement'!$A276,Visits!$L$2:$L$89)</f>
        <v>0</v>
      </c>
      <c r="T276" s="5">
        <f>SUMIFS(Visits!$L$2:$L$89,Visits!$E$2:$E$89,'User Engagement'!$A276,Visits!$U$2:$U$89,"&gt;3/28/24")</f>
        <v>0</v>
      </c>
      <c r="U276" s="19" t="e">
        <f t="shared" si="27"/>
        <v>#DIV/0!</v>
      </c>
      <c r="V276" s="19" t="str">
        <f t="shared" si="28"/>
        <v>n/a</v>
      </c>
    </row>
    <row r="277" spans="1:22" ht="16" x14ac:dyDescent="0.2">
      <c r="A277">
        <f>Users!A275</f>
        <v>0</v>
      </c>
      <c r="B277" s="29" t="e">
        <f>VLOOKUP(A277,Users!A:D,2,FALSE)</f>
        <v>#N/A</v>
      </c>
      <c r="C277" s="29" t="e">
        <f>VLOOKUP(A277,Users!A:D,3,FALSE)</f>
        <v>#N/A</v>
      </c>
      <c r="F277" s="1" cm="1">
        <f t="array" ref="F277">MAX(_xlfn._xlws.FILTER(Visits!U:U,Visits!E:E='User Engagement'!A277))</f>
        <v>0</v>
      </c>
      <c r="G277">
        <f>COUNTIF(Visits!$E$2:$E$995,'User Engagement'!$A277)</f>
        <v>0</v>
      </c>
      <c r="H277">
        <f>COUNTIFS(Visits!$E$2:$E$995,'User Engagement'!$A278,Visits!$U$2:$U$995,"&gt;"&amp;($B$1-7))</f>
        <v>0</v>
      </c>
      <c r="I277">
        <f>COUNTIFS(Visits!$E$2:$E$995,'User Engagement'!$A277,Visits!$U$2:$U$995,"&gt;"&amp;($B$1-30))</f>
        <v>0</v>
      </c>
      <c r="J277">
        <f>COUNTIFS(Visits!$E$2:$E$995,$A277,Visits!$U$2:$U$995,"&gt;"&amp;($B$1-60))-I277</f>
        <v>0</v>
      </c>
      <c r="K277">
        <f>COUNTIFS(Visits!$V:$V,'New Dashboard'!$A$22,Visits!$E:$E,'User Engagement'!$A277)</f>
        <v>0</v>
      </c>
      <c r="L277">
        <f>COUNTIFS(Visits!$V:$V,'New Dashboard'!$A$23,Visits!$E:$E,'User Engagement'!$A277)</f>
        <v>0</v>
      </c>
      <c r="M277">
        <f>COUNTIFS(Visits!$V:$V,'New Dashboard'!$A$24,Visits!$E:$E,'User Engagement'!$A277)</f>
        <v>0</v>
      </c>
      <c r="N277">
        <f>COUNTIFS(Visits!$V:$V,'New Dashboard'!$A$25,Visits!$E:$E,'User Engagement'!$A277)</f>
        <v>0</v>
      </c>
      <c r="O277">
        <f t="shared" si="29"/>
        <v>1</v>
      </c>
      <c r="P277">
        <f t="shared" si="30"/>
        <v>0</v>
      </c>
      <c r="Q277">
        <f t="shared" si="30"/>
        <v>0</v>
      </c>
      <c r="R277">
        <f t="shared" si="26"/>
        <v>0</v>
      </c>
      <c r="S277" s="5">
        <f>SUMIF(Visits!$E$2:$E$89,'User Engagement'!$A277,Visits!$L$2:$L$89)</f>
        <v>0</v>
      </c>
      <c r="T277" s="5">
        <f>SUMIFS(Visits!$L$2:$L$89,Visits!$E$2:$E$89,'User Engagement'!$A277,Visits!$U$2:$U$89,"&gt;3/28/24")</f>
        <v>0</v>
      </c>
      <c r="U277" s="19" t="e">
        <f t="shared" si="27"/>
        <v>#DIV/0!</v>
      </c>
      <c r="V277" s="19" t="str">
        <f t="shared" si="28"/>
        <v>n/a</v>
      </c>
    </row>
    <row r="278" spans="1:22" ht="16" x14ac:dyDescent="0.2">
      <c r="A278">
        <f>Users!A276</f>
        <v>0</v>
      </c>
      <c r="B278" s="29" t="e">
        <f>VLOOKUP(A278,Users!A:D,2,FALSE)</f>
        <v>#N/A</v>
      </c>
      <c r="C278" s="29" t="e">
        <f>VLOOKUP(A278,Users!A:D,3,FALSE)</f>
        <v>#N/A</v>
      </c>
      <c r="F278" s="1" cm="1">
        <f t="array" ref="F278">MAX(_xlfn._xlws.FILTER(Visits!U:U,Visits!E:E='User Engagement'!A278))</f>
        <v>0</v>
      </c>
      <c r="G278">
        <f>COUNTIF(Visits!$E$2:$E$995,'User Engagement'!$A278)</f>
        <v>0</v>
      </c>
      <c r="H278">
        <f>COUNTIFS(Visits!$E$2:$E$995,'User Engagement'!$A279,Visits!$U$2:$U$995,"&gt;"&amp;($B$1-7))</f>
        <v>0</v>
      </c>
      <c r="I278">
        <f>COUNTIFS(Visits!$E$2:$E$995,'User Engagement'!$A278,Visits!$U$2:$U$995,"&gt;"&amp;($B$1-30))</f>
        <v>0</v>
      </c>
      <c r="J278">
        <f>COUNTIFS(Visits!$E$2:$E$995,$A278,Visits!$U$2:$U$995,"&gt;"&amp;($B$1-60))-I278</f>
        <v>0</v>
      </c>
      <c r="K278">
        <f>COUNTIFS(Visits!$V:$V,'New Dashboard'!$A$22,Visits!$E:$E,'User Engagement'!$A278)</f>
        <v>0</v>
      </c>
      <c r="L278">
        <f>COUNTIFS(Visits!$V:$V,'New Dashboard'!$A$23,Visits!$E:$E,'User Engagement'!$A278)</f>
        <v>0</v>
      </c>
      <c r="M278">
        <f>COUNTIFS(Visits!$V:$V,'New Dashboard'!$A$24,Visits!$E:$E,'User Engagement'!$A278)</f>
        <v>0</v>
      </c>
      <c r="N278">
        <f>COUNTIFS(Visits!$V:$V,'New Dashboard'!$A$25,Visits!$E:$E,'User Engagement'!$A278)</f>
        <v>0</v>
      </c>
      <c r="O278">
        <f t="shared" si="29"/>
        <v>1</v>
      </c>
      <c r="P278">
        <f t="shared" si="30"/>
        <v>0</v>
      </c>
      <c r="Q278">
        <f t="shared" si="30"/>
        <v>0</v>
      </c>
      <c r="R278">
        <f t="shared" si="26"/>
        <v>0</v>
      </c>
      <c r="S278" s="5">
        <f>SUMIF(Visits!$E$2:$E$89,'User Engagement'!$A278,Visits!$L$2:$L$89)</f>
        <v>0</v>
      </c>
      <c r="T278" s="5">
        <f>SUMIFS(Visits!$L$2:$L$89,Visits!$E$2:$E$89,'User Engagement'!$A278,Visits!$U$2:$U$89,"&gt;3/28/24")</f>
        <v>0</v>
      </c>
      <c r="U278" s="19" t="e">
        <f t="shared" si="27"/>
        <v>#DIV/0!</v>
      </c>
      <c r="V278" s="19" t="str">
        <f t="shared" si="28"/>
        <v>n/a</v>
      </c>
    </row>
    <row r="279" spans="1:22" ht="16" x14ac:dyDescent="0.2">
      <c r="A279">
        <f>Users!A277</f>
        <v>0</v>
      </c>
      <c r="B279" s="29" t="e">
        <f>VLOOKUP(A279,Users!A:D,2,FALSE)</f>
        <v>#N/A</v>
      </c>
      <c r="C279" s="29" t="e">
        <f>VLOOKUP(A279,Users!A:D,3,FALSE)</f>
        <v>#N/A</v>
      </c>
      <c r="F279" s="1" cm="1">
        <f t="array" ref="F279">MAX(_xlfn._xlws.FILTER(Visits!U:U,Visits!E:E='User Engagement'!A279))</f>
        <v>0</v>
      </c>
      <c r="G279">
        <f>COUNTIF(Visits!$E$2:$E$995,'User Engagement'!$A279)</f>
        <v>0</v>
      </c>
      <c r="H279">
        <f>COUNTIFS(Visits!$E$2:$E$995,'User Engagement'!$A280,Visits!$U$2:$U$995,"&gt;"&amp;($B$1-7))</f>
        <v>0</v>
      </c>
      <c r="I279">
        <f>COUNTIFS(Visits!$E$2:$E$995,'User Engagement'!$A279,Visits!$U$2:$U$995,"&gt;"&amp;($B$1-30))</f>
        <v>0</v>
      </c>
      <c r="J279">
        <f>COUNTIFS(Visits!$E$2:$E$995,$A279,Visits!$U$2:$U$995,"&gt;"&amp;($B$1-60))-I279</f>
        <v>0</v>
      </c>
      <c r="K279">
        <f>COUNTIFS(Visits!$V:$V,'New Dashboard'!$A$22,Visits!$E:$E,'User Engagement'!$A279)</f>
        <v>0</v>
      </c>
      <c r="L279">
        <f>COUNTIFS(Visits!$V:$V,'New Dashboard'!$A$23,Visits!$E:$E,'User Engagement'!$A279)</f>
        <v>0</v>
      </c>
      <c r="M279">
        <f>COUNTIFS(Visits!$V:$V,'New Dashboard'!$A$24,Visits!$E:$E,'User Engagement'!$A279)</f>
        <v>0</v>
      </c>
      <c r="N279">
        <f>COUNTIFS(Visits!$V:$V,'New Dashboard'!$A$25,Visits!$E:$E,'User Engagement'!$A279)</f>
        <v>0</v>
      </c>
      <c r="O279">
        <f t="shared" si="29"/>
        <v>1</v>
      </c>
      <c r="P279">
        <f t="shared" si="30"/>
        <v>0</v>
      </c>
      <c r="Q279">
        <f t="shared" si="30"/>
        <v>0</v>
      </c>
      <c r="R279">
        <f t="shared" si="26"/>
        <v>0</v>
      </c>
      <c r="S279" s="5">
        <f>SUMIF(Visits!$E$2:$E$89,'User Engagement'!$A279,Visits!$L$2:$L$89)</f>
        <v>0</v>
      </c>
      <c r="T279" s="5">
        <f>SUMIFS(Visits!$L$2:$L$89,Visits!$E$2:$E$89,'User Engagement'!$A279,Visits!$U$2:$U$89,"&gt;3/28/24")</f>
        <v>0</v>
      </c>
      <c r="U279" s="19" t="e">
        <f t="shared" si="27"/>
        <v>#DIV/0!</v>
      </c>
      <c r="V279" s="19" t="str">
        <f t="shared" si="28"/>
        <v>n/a</v>
      </c>
    </row>
    <row r="280" spans="1:22" ht="16" x14ac:dyDescent="0.2">
      <c r="A280">
        <f>Users!A278</f>
        <v>0</v>
      </c>
      <c r="B280" s="29" t="e">
        <f>VLOOKUP(A280,Users!A:D,2,FALSE)</f>
        <v>#N/A</v>
      </c>
      <c r="C280" s="29" t="e">
        <f>VLOOKUP(A280,Users!A:D,3,FALSE)</f>
        <v>#N/A</v>
      </c>
      <c r="F280" s="1" cm="1">
        <f t="array" ref="F280">MAX(_xlfn._xlws.FILTER(Visits!U:U,Visits!E:E='User Engagement'!A280))</f>
        <v>0</v>
      </c>
      <c r="G280">
        <f>COUNTIF(Visits!$E$2:$E$995,'User Engagement'!$A280)</f>
        <v>0</v>
      </c>
      <c r="H280">
        <f>COUNTIFS(Visits!$E$2:$E$995,'User Engagement'!$A281,Visits!$U$2:$U$995,"&gt;"&amp;($B$1-7))</f>
        <v>0</v>
      </c>
      <c r="I280">
        <f>COUNTIFS(Visits!$E$2:$E$995,'User Engagement'!$A280,Visits!$U$2:$U$995,"&gt;"&amp;($B$1-30))</f>
        <v>0</v>
      </c>
      <c r="J280">
        <f>COUNTIFS(Visits!$E$2:$E$995,$A280,Visits!$U$2:$U$995,"&gt;"&amp;($B$1-60))-I280</f>
        <v>0</v>
      </c>
      <c r="K280">
        <f>COUNTIFS(Visits!$V:$V,'New Dashboard'!$A$22,Visits!$E:$E,'User Engagement'!$A280)</f>
        <v>0</v>
      </c>
      <c r="L280">
        <f>COUNTIFS(Visits!$V:$V,'New Dashboard'!$A$23,Visits!$E:$E,'User Engagement'!$A280)</f>
        <v>0</v>
      </c>
      <c r="M280">
        <f>COUNTIFS(Visits!$V:$V,'New Dashboard'!$A$24,Visits!$E:$E,'User Engagement'!$A280)</f>
        <v>0</v>
      </c>
      <c r="N280">
        <f>COUNTIFS(Visits!$V:$V,'New Dashboard'!$A$25,Visits!$E:$E,'User Engagement'!$A280)</f>
        <v>0</v>
      </c>
      <c r="O280">
        <f t="shared" si="29"/>
        <v>1</v>
      </c>
      <c r="P280">
        <f t="shared" si="30"/>
        <v>0</v>
      </c>
      <c r="Q280">
        <f t="shared" si="30"/>
        <v>0</v>
      </c>
      <c r="R280">
        <f t="shared" si="26"/>
        <v>0</v>
      </c>
      <c r="S280" s="5">
        <f>SUMIF(Visits!$E$2:$E$89,'User Engagement'!$A280,Visits!$L$2:$L$89)</f>
        <v>0</v>
      </c>
      <c r="T280" s="5">
        <f>SUMIFS(Visits!$L$2:$L$89,Visits!$E$2:$E$89,'User Engagement'!$A280,Visits!$U$2:$U$89,"&gt;3/28/24")</f>
        <v>0</v>
      </c>
      <c r="U280" s="19" t="e">
        <f t="shared" si="27"/>
        <v>#DIV/0!</v>
      </c>
      <c r="V280" s="19" t="str">
        <f t="shared" si="28"/>
        <v>n/a</v>
      </c>
    </row>
    <row r="281" spans="1:22" ht="16" x14ac:dyDescent="0.2">
      <c r="A281">
        <f>Users!A279</f>
        <v>0</v>
      </c>
      <c r="B281" s="29" t="e">
        <f>VLOOKUP(A281,Users!A:D,2,FALSE)</f>
        <v>#N/A</v>
      </c>
      <c r="C281" s="29" t="e">
        <f>VLOOKUP(A281,Users!A:D,3,FALSE)</f>
        <v>#N/A</v>
      </c>
      <c r="F281" s="1" cm="1">
        <f t="array" ref="F281">MAX(_xlfn._xlws.FILTER(Visits!U:U,Visits!E:E='User Engagement'!A281))</f>
        <v>0</v>
      </c>
      <c r="G281">
        <f>COUNTIF(Visits!$E$2:$E$995,'User Engagement'!$A281)</f>
        <v>0</v>
      </c>
      <c r="H281">
        <f>COUNTIFS(Visits!$E$2:$E$995,'User Engagement'!$A282,Visits!$U$2:$U$995,"&gt;"&amp;($B$1-7))</f>
        <v>0</v>
      </c>
      <c r="I281">
        <f>COUNTIFS(Visits!$E$2:$E$995,'User Engagement'!$A281,Visits!$U$2:$U$995,"&gt;"&amp;($B$1-30))</f>
        <v>0</v>
      </c>
      <c r="J281">
        <f>COUNTIFS(Visits!$E$2:$E$995,$A281,Visits!$U$2:$U$995,"&gt;"&amp;($B$1-60))-I281</f>
        <v>0</v>
      </c>
      <c r="K281">
        <f>COUNTIFS(Visits!$V:$V,'New Dashboard'!$A$22,Visits!$E:$E,'User Engagement'!$A281)</f>
        <v>0</v>
      </c>
      <c r="L281">
        <f>COUNTIFS(Visits!$V:$V,'New Dashboard'!$A$23,Visits!$E:$E,'User Engagement'!$A281)</f>
        <v>0</v>
      </c>
      <c r="M281">
        <f>COUNTIFS(Visits!$V:$V,'New Dashboard'!$A$24,Visits!$E:$E,'User Engagement'!$A281)</f>
        <v>0</v>
      </c>
      <c r="N281">
        <f>COUNTIFS(Visits!$V:$V,'New Dashboard'!$A$25,Visits!$E:$E,'User Engagement'!$A281)</f>
        <v>0</v>
      </c>
      <c r="O281">
        <f t="shared" si="29"/>
        <v>1</v>
      </c>
      <c r="P281">
        <f t="shared" si="30"/>
        <v>0</v>
      </c>
      <c r="Q281">
        <f t="shared" si="30"/>
        <v>0</v>
      </c>
      <c r="R281">
        <f t="shared" si="26"/>
        <v>0</v>
      </c>
      <c r="S281" s="5">
        <f>SUMIF(Visits!$E$2:$E$89,'User Engagement'!$A281,Visits!$L$2:$L$89)</f>
        <v>0</v>
      </c>
      <c r="T281" s="5">
        <f>SUMIFS(Visits!$L$2:$L$89,Visits!$E$2:$E$89,'User Engagement'!$A281,Visits!$U$2:$U$89,"&gt;3/28/24")</f>
        <v>0</v>
      </c>
      <c r="U281" s="19" t="e">
        <f t="shared" si="27"/>
        <v>#DIV/0!</v>
      </c>
      <c r="V281" s="19" t="str">
        <f t="shared" si="28"/>
        <v>n/a</v>
      </c>
    </row>
    <row r="282" spans="1:22" ht="16" x14ac:dyDescent="0.2">
      <c r="A282">
        <f>Users!A280</f>
        <v>0</v>
      </c>
      <c r="B282" s="29" t="e">
        <f>VLOOKUP(A282,Users!A:D,2,FALSE)</f>
        <v>#N/A</v>
      </c>
      <c r="C282" s="29" t="e">
        <f>VLOOKUP(A282,Users!A:D,3,FALSE)</f>
        <v>#N/A</v>
      </c>
      <c r="F282" s="1" cm="1">
        <f t="array" ref="F282">MAX(_xlfn._xlws.FILTER(Visits!U:U,Visits!E:E='User Engagement'!A282))</f>
        <v>0</v>
      </c>
      <c r="G282">
        <f>COUNTIF(Visits!$E$2:$E$995,'User Engagement'!$A282)</f>
        <v>0</v>
      </c>
      <c r="H282">
        <f>COUNTIFS(Visits!$E$2:$E$995,'User Engagement'!$A283,Visits!$U$2:$U$995,"&gt;"&amp;($B$1-7))</f>
        <v>0</v>
      </c>
      <c r="I282">
        <f>COUNTIFS(Visits!$E$2:$E$995,'User Engagement'!$A282,Visits!$U$2:$U$995,"&gt;"&amp;($B$1-30))</f>
        <v>0</v>
      </c>
      <c r="J282">
        <f>COUNTIFS(Visits!$E$2:$E$995,$A282,Visits!$U$2:$U$995,"&gt;"&amp;($B$1-60))-I282</f>
        <v>0</v>
      </c>
      <c r="K282">
        <f>COUNTIFS(Visits!$V:$V,'New Dashboard'!$A$22,Visits!$E:$E,'User Engagement'!$A282)</f>
        <v>0</v>
      </c>
      <c r="L282">
        <f>COUNTIFS(Visits!$V:$V,'New Dashboard'!$A$23,Visits!$E:$E,'User Engagement'!$A282)</f>
        <v>0</v>
      </c>
      <c r="M282">
        <f>COUNTIFS(Visits!$V:$V,'New Dashboard'!$A$24,Visits!$E:$E,'User Engagement'!$A282)</f>
        <v>0</v>
      </c>
      <c r="N282">
        <f>COUNTIFS(Visits!$V:$V,'New Dashboard'!$A$25,Visits!$E:$E,'User Engagement'!$A282)</f>
        <v>0</v>
      </c>
      <c r="O282">
        <f t="shared" si="29"/>
        <v>1</v>
      </c>
      <c r="P282">
        <f t="shared" si="30"/>
        <v>0</v>
      </c>
      <c r="Q282">
        <f t="shared" si="30"/>
        <v>0</v>
      </c>
      <c r="R282">
        <f t="shared" si="26"/>
        <v>0</v>
      </c>
      <c r="S282" s="5">
        <f>SUMIF(Visits!$E$2:$E$89,'User Engagement'!$A282,Visits!$L$2:$L$89)</f>
        <v>0</v>
      </c>
      <c r="T282" s="5">
        <f>SUMIFS(Visits!$L$2:$L$89,Visits!$E$2:$E$89,'User Engagement'!$A282,Visits!$U$2:$U$89,"&gt;3/28/24")</f>
        <v>0</v>
      </c>
      <c r="U282" s="19" t="e">
        <f t="shared" si="27"/>
        <v>#DIV/0!</v>
      </c>
      <c r="V282" s="19" t="str">
        <f t="shared" si="28"/>
        <v>n/a</v>
      </c>
    </row>
    <row r="283" spans="1:22" ht="16" x14ac:dyDescent="0.2">
      <c r="A283">
        <f>Users!A281</f>
        <v>0</v>
      </c>
      <c r="B283" s="29" t="e">
        <f>VLOOKUP(A283,Users!A:D,2,FALSE)</f>
        <v>#N/A</v>
      </c>
      <c r="C283" s="29" t="e">
        <f>VLOOKUP(A283,Users!A:D,3,FALSE)</f>
        <v>#N/A</v>
      </c>
      <c r="F283" s="1" cm="1">
        <f t="array" ref="F283">MAX(_xlfn._xlws.FILTER(Visits!U:U,Visits!E:E='User Engagement'!A283))</f>
        <v>0</v>
      </c>
      <c r="G283">
        <f>COUNTIF(Visits!$E$2:$E$995,'User Engagement'!$A283)</f>
        <v>0</v>
      </c>
      <c r="H283">
        <f>COUNTIFS(Visits!$E$2:$E$995,'User Engagement'!$A284,Visits!$U$2:$U$995,"&gt;"&amp;($B$1-7))</f>
        <v>0</v>
      </c>
      <c r="I283">
        <f>COUNTIFS(Visits!$E$2:$E$995,'User Engagement'!$A283,Visits!$U$2:$U$995,"&gt;"&amp;($B$1-30))</f>
        <v>0</v>
      </c>
      <c r="J283">
        <f>COUNTIFS(Visits!$E$2:$E$995,$A283,Visits!$U$2:$U$995,"&gt;"&amp;($B$1-60))-I283</f>
        <v>0</v>
      </c>
      <c r="K283">
        <f>COUNTIFS(Visits!$V:$V,'New Dashboard'!$A$22,Visits!$E:$E,'User Engagement'!$A283)</f>
        <v>0</v>
      </c>
      <c r="L283">
        <f>COUNTIFS(Visits!$V:$V,'New Dashboard'!$A$23,Visits!$E:$E,'User Engagement'!$A283)</f>
        <v>0</v>
      </c>
      <c r="M283">
        <f>COUNTIFS(Visits!$V:$V,'New Dashboard'!$A$24,Visits!$E:$E,'User Engagement'!$A283)</f>
        <v>0</v>
      </c>
      <c r="N283">
        <f>COUNTIFS(Visits!$V:$V,'New Dashboard'!$A$25,Visits!$E:$E,'User Engagement'!$A283)</f>
        <v>0</v>
      </c>
      <c r="O283">
        <f t="shared" si="29"/>
        <v>1</v>
      </c>
      <c r="P283">
        <f t="shared" si="30"/>
        <v>0</v>
      </c>
      <c r="Q283">
        <f t="shared" si="30"/>
        <v>0</v>
      </c>
      <c r="R283">
        <f t="shared" si="26"/>
        <v>0</v>
      </c>
      <c r="S283" s="5">
        <f>SUMIF(Visits!$E$2:$E$89,'User Engagement'!$A283,Visits!$L$2:$L$89)</f>
        <v>0</v>
      </c>
      <c r="T283" s="5">
        <f>SUMIFS(Visits!$L$2:$L$89,Visits!$E$2:$E$89,'User Engagement'!$A283,Visits!$U$2:$U$89,"&gt;3/28/24")</f>
        <v>0</v>
      </c>
      <c r="U283" s="19" t="e">
        <f t="shared" si="27"/>
        <v>#DIV/0!</v>
      </c>
      <c r="V283" s="19" t="str">
        <f t="shared" si="28"/>
        <v>n/a</v>
      </c>
    </row>
    <row r="284" spans="1:22" ht="16" x14ac:dyDescent="0.2">
      <c r="A284">
        <f>Users!A282</f>
        <v>0</v>
      </c>
      <c r="B284" s="29" t="e">
        <f>VLOOKUP(A284,Users!A:D,2,FALSE)</f>
        <v>#N/A</v>
      </c>
      <c r="C284" s="29" t="e">
        <f>VLOOKUP(A284,Users!A:D,3,FALSE)</f>
        <v>#N/A</v>
      </c>
      <c r="F284" s="1" cm="1">
        <f t="array" ref="F284">MAX(_xlfn._xlws.FILTER(Visits!U:U,Visits!E:E='User Engagement'!A284))</f>
        <v>0</v>
      </c>
      <c r="G284">
        <f>COUNTIF(Visits!$E$2:$E$995,'User Engagement'!$A284)</f>
        <v>0</v>
      </c>
      <c r="H284">
        <f>COUNTIFS(Visits!$E$2:$E$995,'User Engagement'!$A285,Visits!$U$2:$U$995,"&gt;"&amp;($B$1-7))</f>
        <v>0</v>
      </c>
      <c r="I284">
        <f>COUNTIFS(Visits!$E$2:$E$995,'User Engagement'!$A284,Visits!$U$2:$U$995,"&gt;"&amp;($B$1-30))</f>
        <v>0</v>
      </c>
      <c r="J284">
        <f>COUNTIFS(Visits!$E$2:$E$995,$A284,Visits!$U$2:$U$995,"&gt;"&amp;($B$1-60))-I284</f>
        <v>0</v>
      </c>
      <c r="K284">
        <f>COUNTIFS(Visits!$V:$V,'New Dashboard'!$A$22,Visits!$E:$E,'User Engagement'!$A284)</f>
        <v>0</v>
      </c>
      <c r="L284">
        <f>COUNTIFS(Visits!$V:$V,'New Dashboard'!$A$23,Visits!$E:$E,'User Engagement'!$A284)</f>
        <v>0</v>
      </c>
      <c r="M284">
        <f>COUNTIFS(Visits!$V:$V,'New Dashboard'!$A$24,Visits!$E:$E,'User Engagement'!$A284)</f>
        <v>0</v>
      </c>
      <c r="N284">
        <f>COUNTIFS(Visits!$V:$V,'New Dashboard'!$A$25,Visits!$E:$E,'User Engagement'!$A284)</f>
        <v>0</v>
      </c>
      <c r="O284">
        <f t="shared" si="29"/>
        <v>1</v>
      </c>
      <c r="P284">
        <f t="shared" si="30"/>
        <v>0</v>
      </c>
      <c r="Q284">
        <f t="shared" si="30"/>
        <v>0</v>
      </c>
      <c r="R284">
        <f t="shared" si="26"/>
        <v>0</v>
      </c>
      <c r="S284" s="5">
        <f>SUMIF(Visits!$E$2:$E$89,'User Engagement'!$A284,Visits!$L$2:$L$89)</f>
        <v>0</v>
      </c>
      <c r="T284" s="5">
        <f>SUMIFS(Visits!$L$2:$L$89,Visits!$E$2:$E$89,'User Engagement'!$A284,Visits!$U$2:$U$89,"&gt;3/28/24")</f>
        <v>0</v>
      </c>
      <c r="U284" s="19" t="e">
        <f t="shared" si="27"/>
        <v>#DIV/0!</v>
      </c>
      <c r="V284" s="19" t="str">
        <f t="shared" si="28"/>
        <v>n/a</v>
      </c>
    </row>
    <row r="285" spans="1:22" ht="16" x14ac:dyDescent="0.2">
      <c r="A285">
        <f>Users!A283</f>
        <v>0</v>
      </c>
      <c r="B285" s="29" t="e">
        <f>VLOOKUP(A285,Users!A:D,2,FALSE)</f>
        <v>#N/A</v>
      </c>
      <c r="C285" s="29" t="e">
        <f>VLOOKUP(A285,Users!A:D,3,FALSE)</f>
        <v>#N/A</v>
      </c>
      <c r="F285" s="1" cm="1">
        <f t="array" ref="F285">MAX(_xlfn._xlws.FILTER(Visits!U:U,Visits!E:E='User Engagement'!A285))</f>
        <v>0</v>
      </c>
      <c r="G285">
        <f>COUNTIF(Visits!$E$2:$E$995,'User Engagement'!$A285)</f>
        <v>0</v>
      </c>
      <c r="H285">
        <f>COUNTIFS(Visits!$E$2:$E$995,'User Engagement'!$A286,Visits!$U$2:$U$995,"&gt;"&amp;($B$1-7))</f>
        <v>0</v>
      </c>
      <c r="I285">
        <f>COUNTIFS(Visits!$E$2:$E$995,'User Engagement'!$A285,Visits!$U$2:$U$995,"&gt;"&amp;($B$1-30))</f>
        <v>0</v>
      </c>
      <c r="J285">
        <f>COUNTIFS(Visits!$E$2:$E$995,$A285,Visits!$U$2:$U$995,"&gt;"&amp;($B$1-60))-I285</f>
        <v>0</v>
      </c>
      <c r="K285">
        <f>COUNTIFS(Visits!$V:$V,'New Dashboard'!$A$22,Visits!$E:$E,'User Engagement'!$A285)</f>
        <v>0</v>
      </c>
      <c r="L285">
        <f>COUNTIFS(Visits!$V:$V,'New Dashboard'!$A$23,Visits!$E:$E,'User Engagement'!$A285)</f>
        <v>0</v>
      </c>
      <c r="M285">
        <f>COUNTIFS(Visits!$V:$V,'New Dashboard'!$A$24,Visits!$E:$E,'User Engagement'!$A285)</f>
        <v>0</v>
      </c>
      <c r="N285">
        <f>COUNTIFS(Visits!$V:$V,'New Dashboard'!$A$25,Visits!$E:$E,'User Engagement'!$A285)</f>
        <v>0</v>
      </c>
      <c r="O285">
        <f t="shared" si="29"/>
        <v>1</v>
      </c>
      <c r="P285">
        <f t="shared" si="30"/>
        <v>0</v>
      </c>
      <c r="Q285">
        <f t="shared" si="30"/>
        <v>0</v>
      </c>
      <c r="R285">
        <f t="shared" si="26"/>
        <v>0</v>
      </c>
      <c r="S285" s="5">
        <f>SUMIF(Visits!$E$2:$E$89,'User Engagement'!$A285,Visits!$L$2:$L$89)</f>
        <v>0</v>
      </c>
      <c r="T285" s="5">
        <f>SUMIFS(Visits!$L$2:$L$89,Visits!$E$2:$E$89,'User Engagement'!$A285,Visits!$U$2:$U$89,"&gt;3/28/24")</f>
        <v>0</v>
      </c>
      <c r="U285" s="19" t="e">
        <f t="shared" si="27"/>
        <v>#DIV/0!</v>
      </c>
      <c r="V285" s="19" t="str">
        <f t="shared" si="28"/>
        <v>n/a</v>
      </c>
    </row>
    <row r="286" spans="1:22" ht="16" x14ac:dyDescent="0.2">
      <c r="A286">
        <f>Users!A284</f>
        <v>0</v>
      </c>
      <c r="B286" s="29" t="e">
        <f>VLOOKUP(A286,Users!A:D,2,FALSE)</f>
        <v>#N/A</v>
      </c>
      <c r="C286" s="29" t="e">
        <f>VLOOKUP(A286,Users!A:D,3,FALSE)</f>
        <v>#N/A</v>
      </c>
      <c r="F286" s="1" cm="1">
        <f t="array" ref="F286">MAX(_xlfn._xlws.FILTER(Visits!U:U,Visits!E:E='User Engagement'!A286))</f>
        <v>0</v>
      </c>
      <c r="G286">
        <f>COUNTIF(Visits!$E$2:$E$995,'User Engagement'!$A286)</f>
        <v>0</v>
      </c>
      <c r="H286">
        <f>COUNTIFS(Visits!$E$2:$E$995,'User Engagement'!$A287,Visits!$U$2:$U$995,"&gt;"&amp;($B$1-7))</f>
        <v>0</v>
      </c>
      <c r="I286">
        <f>COUNTIFS(Visits!$E$2:$E$995,'User Engagement'!$A286,Visits!$U$2:$U$995,"&gt;"&amp;($B$1-30))</f>
        <v>0</v>
      </c>
      <c r="J286">
        <f>COUNTIFS(Visits!$E$2:$E$995,$A286,Visits!$U$2:$U$995,"&gt;"&amp;($B$1-60))-I286</f>
        <v>0</v>
      </c>
      <c r="K286">
        <f>COUNTIFS(Visits!$V:$V,'New Dashboard'!$A$22,Visits!$E:$E,'User Engagement'!$A286)</f>
        <v>0</v>
      </c>
      <c r="L286">
        <f>COUNTIFS(Visits!$V:$V,'New Dashboard'!$A$23,Visits!$E:$E,'User Engagement'!$A286)</f>
        <v>0</v>
      </c>
      <c r="M286">
        <f>COUNTIFS(Visits!$V:$V,'New Dashboard'!$A$24,Visits!$E:$E,'User Engagement'!$A286)</f>
        <v>0</v>
      </c>
      <c r="N286">
        <f>COUNTIFS(Visits!$V:$V,'New Dashboard'!$A$25,Visits!$E:$E,'User Engagement'!$A286)</f>
        <v>0</v>
      </c>
      <c r="O286">
        <f t="shared" si="29"/>
        <v>1</v>
      </c>
      <c r="P286">
        <f t="shared" si="30"/>
        <v>0</v>
      </c>
      <c r="Q286">
        <f t="shared" si="30"/>
        <v>0</v>
      </c>
      <c r="R286">
        <f t="shared" si="26"/>
        <v>0</v>
      </c>
      <c r="S286" s="5">
        <f>SUMIF(Visits!$E$2:$E$89,'User Engagement'!$A286,Visits!$L$2:$L$89)</f>
        <v>0</v>
      </c>
      <c r="T286" s="5">
        <f>SUMIFS(Visits!$L$2:$L$89,Visits!$E$2:$E$89,'User Engagement'!$A286,Visits!$U$2:$U$89,"&gt;3/28/24")</f>
        <v>0</v>
      </c>
      <c r="U286" s="19" t="e">
        <f t="shared" si="27"/>
        <v>#DIV/0!</v>
      </c>
      <c r="V286" s="19" t="str">
        <f t="shared" si="28"/>
        <v>n/a</v>
      </c>
    </row>
    <row r="287" spans="1:22" ht="16" x14ac:dyDescent="0.2">
      <c r="A287">
        <f>Users!A285</f>
        <v>0</v>
      </c>
      <c r="B287" s="29" t="e">
        <f>VLOOKUP(A287,Users!A:D,2,FALSE)</f>
        <v>#N/A</v>
      </c>
      <c r="C287" s="29" t="e">
        <f>VLOOKUP(A287,Users!A:D,3,FALSE)</f>
        <v>#N/A</v>
      </c>
      <c r="F287" s="1" cm="1">
        <f t="array" ref="F287">MAX(_xlfn._xlws.FILTER(Visits!U:U,Visits!E:E='User Engagement'!A287))</f>
        <v>0</v>
      </c>
      <c r="G287">
        <f>COUNTIF(Visits!$E$2:$E$995,'User Engagement'!$A287)</f>
        <v>0</v>
      </c>
      <c r="H287">
        <f>COUNTIFS(Visits!$E$2:$E$995,'User Engagement'!$A288,Visits!$U$2:$U$995,"&gt;"&amp;($B$1-7))</f>
        <v>0</v>
      </c>
      <c r="I287">
        <f>COUNTIFS(Visits!$E$2:$E$995,'User Engagement'!$A287,Visits!$U$2:$U$995,"&gt;"&amp;($B$1-30))</f>
        <v>0</v>
      </c>
      <c r="J287">
        <f>COUNTIFS(Visits!$E$2:$E$995,$A287,Visits!$U$2:$U$995,"&gt;"&amp;($B$1-60))-I287</f>
        <v>0</v>
      </c>
      <c r="K287">
        <f>COUNTIFS(Visits!$V:$V,'New Dashboard'!$A$22,Visits!$E:$E,'User Engagement'!$A287)</f>
        <v>0</v>
      </c>
      <c r="L287">
        <f>COUNTIFS(Visits!$V:$V,'New Dashboard'!$A$23,Visits!$E:$E,'User Engagement'!$A287)</f>
        <v>0</v>
      </c>
      <c r="M287">
        <f>COUNTIFS(Visits!$V:$V,'New Dashboard'!$A$24,Visits!$E:$E,'User Engagement'!$A287)</f>
        <v>0</v>
      </c>
      <c r="N287">
        <f>COUNTIFS(Visits!$V:$V,'New Dashboard'!$A$25,Visits!$E:$E,'User Engagement'!$A287)</f>
        <v>0</v>
      </c>
      <c r="O287">
        <f t="shared" si="29"/>
        <v>1</v>
      </c>
      <c r="P287">
        <f t="shared" si="30"/>
        <v>0</v>
      </c>
      <c r="Q287">
        <f t="shared" si="30"/>
        <v>0</v>
      </c>
      <c r="R287">
        <f t="shared" si="26"/>
        <v>0</v>
      </c>
      <c r="S287" s="5">
        <f>SUMIF(Visits!$E$2:$E$89,'User Engagement'!$A287,Visits!$L$2:$L$89)</f>
        <v>0</v>
      </c>
      <c r="T287" s="5">
        <f>SUMIFS(Visits!$L$2:$L$89,Visits!$E$2:$E$89,'User Engagement'!$A287,Visits!$U$2:$U$89,"&gt;3/28/24")</f>
        <v>0</v>
      </c>
      <c r="U287" s="19" t="e">
        <f t="shared" si="27"/>
        <v>#DIV/0!</v>
      </c>
      <c r="V287" s="19" t="str">
        <f t="shared" si="28"/>
        <v>n/a</v>
      </c>
    </row>
    <row r="288" spans="1:22" ht="16" x14ac:dyDescent="0.2">
      <c r="A288">
        <f>Users!A286</f>
        <v>0</v>
      </c>
      <c r="B288" s="29" t="e">
        <f>VLOOKUP(A288,Users!A:D,2,FALSE)</f>
        <v>#N/A</v>
      </c>
      <c r="C288" s="29" t="e">
        <f>VLOOKUP(A288,Users!A:D,3,FALSE)</f>
        <v>#N/A</v>
      </c>
      <c r="F288" s="1" cm="1">
        <f t="array" ref="F288">MAX(_xlfn._xlws.FILTER(Visits!U:U,Visits!E:E='User Engagement'!A288))</f>
        <v>0</v>
      </c>
      <c r="G288">
        <f>COUNTIF(Visits!$E$2:$E$995,'User Engagement'!$A288)</f>
        <v>0</v>
      </c>
      <c r="H288">
        <f>COUNTIFS(Visits!$E$2:$E$995,'User Engagement'!$A289,Visits!$U$2:$U$995,"&gt;"&amp;($B$1-7))</f>
        <v>0</v>
      </c>
      <c r="I288">
        <f>COUNTIFS(Visits!$E$2:$E$995,'User Engagement'!$A288,Visits!$U$2:$U$995,"&gt;"&amp;($B$1-30))</f>
        <v>0</v>
      </c>
      <c r="J288">
        <f>COUNTIFS(Visits!$E$2:$E$995,$A288,Visits!$U$2:$U$995,"&gt;"&amp;($B$1-60))-I288</f>
        <v>0</v>
      </c>
      <c r="K288">
        <f>COUNTIFS(Visits!$V:$V,'New Dashboard'!$A$22,Visits!$E:$E,'User Engagement'!$A288)</f>
        <v>0</v>
      </c>
      <c r="L288">
        <f>COUNTIFS(Visits!$V:$V,'New Dashboard'!$A$23,Visits!$E:$E,'User Engagement'!$A288)</f>
        <v>0</v>
      </c>
      <c r="M288">
        <f>COUNTIFS(Visits!$V:$V,'New Dashboard'!$A$24,Visits!$E:$E,'User Engagement'!$A288)</f>
        <v>0</v>
      </c>
      <c r="N288">
        <f>COUNTIFS(Visits!$V:$V,'New Dashboard'!$A$25,Visits!$E:$E,'User Engagement'!$A288)</f>
        <v>0</v>
      </c>
      <c r="O288">
        <f t="shared" si="29"/>
        <v>1</v>
      </c>
      <c r="P288">
        <f t="shared" si="30"/>
        <v>0</v>
      </c>
      <c r="Q288">
        <f t="shared" si="30"/>
        <v>0</v>
      </c>
      <c r="R288">
        <f t="shared" si="26"/>
        <v>0</v>
      </c>
      <c r="S288" s="5">
        <f>SUMIF(Visits!$E$2:$E$89,'User Engagement'!$A288,Visits!$L$2:$L$89)</f>
        <v>0</v>
      </c>
      <c r="T288" s="5">
        <f>SUMIFS(Visits!$L$2:$L$89,Visits!$E$2:$E$89,'User Engagement'!$A288,Visits!$U$2:$U$89,"&gt;3/28/24")</f>
        <v>0</v>
      </c>
      <c r="U288" s="19" t="e">
        <f t="shared" si="27"/>
        <v>#DIV/0!</v>
      </c>
      <c r="V288" s="19" t="str">
        <f t="shared" si="28"/>
        <v>n/a</v>
      </c>
    </row>
    <row r="289" spans="1:22" ht="16" x14ac:dyDescent="0.2">
      <c r="A289">
        <f>Users!A287</f>
        <v>0</v>
      </c>
      <c r="B289" s="29" t="e">
        <f>VLOOKUP(A289,Users!A:D,2,FALSE)</f>
        <v>#N/A</v>
      </c>
      <c r="C289" s="29" t="e">
        <f>VLOOKUP(A289,Users!A:D,3,FALSE)</f>
        <v>#N/A</v>
      </c>
      <c r="F289" s="1" cm="1">
        <f t="array" ref="F289">MAX(_xlfn._xlws.FILTER(Visits!U:U,Visits!E:E='User Engagement'!A289))</f>
        <v>0</v>
      </c>
      <c r="G289">
        <f>COUNTIF(Visits!$E$2:$E$995,'User Engagement'!$A289)</f>
        <v>0</v>
      </c>
      <c r="H289">
        <f>COUNTIFS(Visits!$E$2:$E$995,'User Engagement'!$A290,Visits!$U$2:$U$995,"&gt;"&amp;($B$1-7))</f>
        <v>0</v>
      </c>
      <c r="I289">
        <f>COUNTIFS(Visits!$E$2:$E$995,'User Engagement'!$A289,Visits!$U$2:$U$995,"&gt;"&amp;($B$1-30))</f>
        <v>0</v>
      </c>
      <c r="J289">
        <f>COUNTIFS(Visits!$E$2:$E$995,$A289,Visits!$U$2:$U$995,"&gt;"&amp;($B$1-60))-I289</f>
        <v>0</v>
      </c>
      <c r="K289">
        <f>COUNTIFS(Visits!$V:$V,'New Dashboard'!$A$22,Visits!$E:$E,'User Engagement'!$A289)</f>
        <v>0</v>
      </c>
      <c r="L289">
        <f>COUNTIFS(Visits!$V:$V,'New Dashboard'!$A$23,Visits!$E:$E,'User Engagement'!$A289)</f>
        <v>0</v>
      </c>
      <c r="M289">
        <f>COUNTIFS(Visits!$V:$V,'New Dashboard'!$A$24,Visits!$E:$E,'User Engagement'!$A289)</f>
        <v>0</v>
      </c>
      <c r="N289">
        <f>COUNTIFS(Visits!$V:$V,'New Dashboard'!$A$25,Visits!$E:$E,'User Engagement'!$A289)</f>
        <v>0</v>
      </c>
      <c r="O289">
        <f t="shared" si="29"/>
        <v>1</v>
      </c>
      <c r="P289">
        <f t="shared" si="30"/>
        <v>0</v>
      </c>
      <c r="Q289">
        <f t="shared" si="30"/>
        <v>0</v>
      </c>
      <c r="R289">
        <f t="shared" si="26"/>
        <v>0</v>
      </c>
      <c r="S289" s="5">
        <f>SUMIF(Visits!$E$2:$E$89,'User Engagement'!$A289,Visits!$L$2:$L$89)</f>
        <v>0</v>
      </c>
      <c r="T289" s="5">
        <f>SUMIFS(Visits!$L$2:$L$89,Visits!$E$2:$E$89,'User Engagement'!$A289,Visits!$U$2:$U$89,"&gt;3/28/24")</f>
        <v>0</v>
      </c>
      <c r="U289" s="19" t="e">
        <f t="shared" si="27"/>
        <v>#DIV/0!</v>
      </c>
      <c r="V289" s="19" t="str">
        <f t="shared" si="28"/>
        <v>n/a</v>
      </c>
    </row>
    <row r="290" spans="1:22" ht="16" x14ac:dyDescent="0.2">
      <c r="A290">
        <f>Users!A288</f>
        <v>0</v>
      </c>
      <c r="B290" s="29" t="e">
        <f>VLOOKUP(A290,Users!A:D,2,FALSE)</f>
        <v>#N/A</v>
      </c>
      <c r="C290" s="29" t="e">
        <f>VLOOKUP(A290,Users!A:D,3,FALSE)</f>
        <v>#N/A</v>
      </c>
      <c r="F290" s="1" cm="1">
        <f t="array" ref="F290">MAX(_xlfn._xlws.FILTER(Visits!U:U,Visits!E:E='User Engagement'!A290))</f>
        <v>0</v>
      </c>
      <c r="G290">
        <f>COUNTIF(Visits!$E$2:$E$995,'User Engagement'!$A290)</f>
        <v>0</v>
      </c>
      <c r="H290">
        <f>COUNTIFS(Visits!$E$2:$E$995,'User Engagement'!$A291,Visits!$U$2:$U$995,"&gt;"&amp;($B$1-7))</f>
        <v>0</v>
      </c>
      <c r="I290">
        <f>COUNTIFS(Visits!$E$2:$E$995,'User Engagement'!$A290,Visits!$U$2:$U$995,"&gt;"&amp;($B$1-30))</f>
        <v>0</v>
      </c>
      <c r="J290">
        <f>COUNTIFS(Visits!$E$2:$E$995,$A290,Visits!$U$2:$U$995,"&gt;"&amp;($B$1-60))-I290</f>
        <v>0</v>
      </c>
      <c r="K290">
        <f>COUNTIFS(Visits!$V:$V,'New Dashboard'!$A$22,Visits!$E:$E,'User Engagement'!$A290)</f>
        <v>0</v>
      </c>
      <c r="L290">
        <f>COUNTIFS(Visits!$V:$V,'New Dashboard'!$A$23,Visits!$E:$E,'User Engagement'!$A290)</f>
        <v>0</v>
      </c>
      <c r="M290">
        <f>COUNTIFS(Visits!$V:$V,'New Dashboard'!$A$24,Visits!$E:$E,'User Engagement'!$A290)</f>
        <v>0</v>
      </c>
      <c r="N290">
        <f>COUNTIFS(Visits!$V:$V,'New Dashboard'!$A$25,Visits!$E:$E,'User Engagement'!$A290)</f>
        <v>0</v>
      </c>
      <c r="O290">
        <f t="shared" si="29"/>
        <v>1</v>
      </c>
      <c r="P290">
        <f t="shared" si="30"/>
        <v>0</v>
      </c>
      <c r="Q290">
        <f t="shared" si="30"/>
        <v>0</v>
      </c>
      <c r="R290">
        <f t="shared" si="26"/>
        <v>0</v>
      </c>
      <c r="S290" s="5">
        <f>SUMIF(Visits!$E$2:$E$89,'User Engagement'!$A290,Visits!$L$2:$L$89)</f>
        <v>0</v>
      </c>
      <c r="T290" s="5">
        <f>SUMIFS(Visits!$L$2:$L$89,Visits!$E$2:$E$89,'User Engagement'!$A290,Visits!$U$2:$U$89,"&gt;3/28/24")</f>
        <v>0</v>
      </c>
      <c r="U290" s="19" t="e">
        <f t="shared" si="27"/>
        <v>#DIV/0!</v>
      </c>
      <c r="V290" s="19" t="str">
        <f t="shared" si="28"/>
        <v>n/a</v>
      </c>
    </row>
    <row r="291" spans="1:22" ht="16" x14ac:dyDescent="0.2">
      <c r="A291">
        <f>Users!A289</f>
        <v>0</v>
      </c>
      <c r="B291" s="29" t="e">
        <f>VLOOKUP(A291,Users!A:D,2,FALSE)</f>
        <v>#N/A</v>
      </c>
      <c r="C291" s="29" t="e">
        <f>VLOOKUP(A291,Users!A:D,3,FALSE)</f>
        <v>#N/A</v>
      </c>
      <c r="F291" s="1" cm="1">
        <f t="array" ref="F291">MAX(_xlfn._xlws.FILTER(Visits!U:U,Visits!E:E='User Engagement'!A291))</f>
        <v>0</v>
      </c>
      <c r="G291">
        <f>COUNTIF(Visits!$E$2:$E$995,'User Engagement'!$A291)</f>
        <v>0</v>
      </c>
      <c r="H291">
        <f>COUNTIFS(Visits!$E$2:$E$995,'User Engagement'!$A292,Visits!$U$2:$U$995,"&gt;"&amp;($B$1-7))</f>
        <v>0</v>
      </c>
      <c r="I291">
        <f>COUNTIFS(Visits!$E$2:$E$995,'User Engagement'!$A291,Visits!$U$2:$U$995,"&gt;"&amp;($B$1-30))</f>
        <v>0</v>
      </c>
      <c r="J291">
        <f>COUNTIFS(Visits!$E$2:$E$995,$A291,Visits!$U$2:$U$995,"&gt;"&amp;($B$1-60))-I291</f>
        <v>0</v>
      </c>
      <c r="K291">
        <f>COUNTIFS(Visits!$V:$V,'New Dashboard'!$A$22,Visits!$E:$E,'User Engagement'!$A291)</f>
        <v>0</v>
      </c>
      <c r="L291">
        <f>COUNTIFS(Visits!$V:$V,'New Dashboard'!$A$23,Visits!$E:$E,'User Engagement'!$A291)</f>
        <v>0</v>
      </c>
      <c r="M291">
        <f>COUNTIFS(Visits!$V:$V,'New Dashboard'!$A$24,Visits!$E:$E,'User Engagement'!$A291)</f>
        <v>0</v>
      </c>
      <c r="N291">
        <f>COUNTIFS(Visits!$V:$V,'New Dashboard'!$A$25,Visits!$E:$E,'User Engagement'!$A291)</f>
        <v>0</v>
      </c>
      <c r="O291">
        <f t="shared" si="29"/>
        <v>1</v>
      </c>
      <c r="P291">
        <f t="shared" si="30"/>
        <v>0</v>
      </c>
      <c r="Q291">
        <f t="shared" si="30"/>
        <v>0</v>
      </c>
      <c r="R291">
        <f t="shared" si="26"/>
        <v>0</v>
      </c>
      <c r="S291" s="5">
        <f>SUMIF(Visits!$E$2:$E$89,'User Engagement'!$A291,Visits!$L$2:$L$89)</f>
        <v>0</v>
      </c>
      <c r="T291" s="5">
        <f>SUMIFS(Visits!$L$2:$L$89,Visits!$E$2:$E$89,'User Engagement'!$A291,Visits!$U$2:$U$89,"&gt;3/28/24")</f>
        <v>0</v>
      </c>
      <c r="U291" s="19" t="e">
        <f t="shared" si="27"/>
        <v>#DIV/0!</v>
      </c>
      <c r="V291" s="19" t="str">
        <f t="shared" si="28"/>
        <v>n/a</v>
      </c>
    </row>
    <row r="292" spans="1:22" ht="16" x14ac:dyDescent="0.2">
      <c r="A292">
        <f>Users!A290</f>
        <v>0</v>
      </c>
      <c r="B292" s="29" t="e">
        <f>VLOOKUP(A292,Users!A:D,2,FALSE)</f>
        <v>#N/A</v>
      </c>
      <c r="C292" s="29" t="e">
        <f>VLOOKUP(A292,Users!A:D,3,FALSE)</f>
        <v>#N/A</v>
      </c>
      <c r="F292" s="1" cm="1">
        <f t="array" ref="F292">MAX(_xlfn._xlws.FILTER(Visits!U:U,Visits!E:E='User Engagement'!A292))</f>
        <v>0</v>
      </c>
      <c r="G292">
        <f>COUNTIF(Visits!$E$2:$E$995,'User Engagement'!$A292)</f>
        <v>0</v>
      </c>
      <c r="H292">
        <f>COUNTIFS(Visits!$E$2:$E$995,'User Engagement'!$A293,Visits!$U$2:$U$995,"&gt;"&amp;($B$1-7))</f>
        <v>0</v>
      </c>
      <c r="I292">
        <f>COUNTIFS(Visits!$E$2:$E$995,'User Engagement'!$A292,Visits!$U$2:$U$995,"&gt;"&amp;($B$1-30))</f>
        <v>0</v>
      </c>
      <c r="J292">
        <f>COUNTIFS(Visits!$E$2:$E$995,$A292,Visits!$U$2:$U$995,"&gt;"&amp;($B$1-60))-I292</f>
        <v>0</v>
      </c>
      <c r="K292">
        <f>COUNTIFS(Visits!$V:$V,'New Dashboard'!$A$22,Visits!$E:$E,'User Engagement'!$A292)</f>
        <v>0</v>
      </c>
      <c r="L292">
        <f>COUNTIFS(Visits!$V:$V,'New Dashboard'!$A$23,Visits!$E:$E,'User Engagement'!$A292)</f>
        <v>0</v>
      </c>
      <c r="M292">
        <f>COUNTIFS(Visits!$V:$V,'New Dashboard'!$A$24,Visits!$E:$E,'User Engagement'!$A292)</f>
        <v>0</v>
      </c>
      <c r="N292">
        <f>COUNTIFS(Visits!$V:$V,'New Dashboard'!$A$25,Visits!$E:$E,'User Engagement'!$A292)</f>
        <v>0</v>
      </c>
      <c r="O292">
        <f t="shared" si="29"/>
        <v>1</v>
      </c>
      <c r="P292">
        <f t="shared" si="30"/>
        <v>0</v>
      </c>
      <c r="Q292">
        <f t="shared" si="30"/>
        <v>0</v>
      </c>
      <c r="R292">
        <f t="shared" si="26"/>
        <v>0</v>
      </c>
      <c r="S292" s="5">
        <f>SUMIF(Visits!$E$2:$E$89,'User Engagement'!$A292,Visits!$L$2:$L$89)</f>
        <v>0</v>
      </c>
      <c r="T292" s="5">
        <f>SUMIFS(Visits!$L$2:$L$89,Visits!$E$2:$E$89,'User Engagement'!$A292,Visits!$U$2:$U$89,"&gt;3/28/24")</f>
        <v>0</v>
      </c>
      <c r="U292" s="19" t="e">
        <f t="shared" si="27"/>
        <v>#DIV/0!</v>
      </c>
      <c r="V292" s="19" t="str">
        <f t="shared" si="28"/>
        <v>n/a</v>
      </c>
    </row>
    <row r="293" spans="1:22" ht="16" x14ac:dyDescent="0.2">
      <c r="A293">
        <f>Users!A291</f>
        <v>0</v>
      </c>
      <c r="B293" s="29" t="e">
        <f>VLOOKUP(A293,Users!A:D,2,FALSE)</f>
        <v>#N/A</v>
      </c>
      <c r="C293" s="29" t="e">
        <f>VLOOKUP(A293,Users!A:D,3,FALSE)</f>
        <v>#N/A</v>
      </c>
      <c r="F293" s="1" cm="1">
        <f t="array" ref="F293">MAX(_xlfn._xlws.FILTER(Visits!U:U,Visits!E:E='User Engagement'!A293))</f>
        <v>0</v>
      </c>
      <c r="G293">
        <f>COUNTIF(Visits!$E$2:$E$995,'User Engagement'!$A293)</f>
        <v>0</v>
      </c>
      <c r="H293">
        <f>COUNTIFS(Visits!$E$2:$E$995,'User Engagement'!$A294,Visits!$U$2:$U$995,"&gt;"&amp;($B$1-7))</f>
        <v>0</v>
      </c>
      <c r="I293">
        <f>COUNTIFS(Visits!$E$2:$E$995,'User Engagement'!$A293,Visits!$U$2:$U$995,"&gt;"&amp;($B$1-30))</f>
        <v>0</v>
      </c>
      <c r="J293">
        <f>COUNTIFS(Visits!$E$2:$E$995,$A293,Visits!$U$2:$U$995,"&gt;"&amp;($B$1-60))-I293</f>
        <v>0</v>
      </c>
      <c r="K293">
        <f>COUNTIFS(Visits!$V:$V,'New Dashboard'!$A$22,Visits!$E:$E,'User Engagement'!$A293)</f>
        <v>0</v>
      </c>
      <c r="L293">
        <f>COUNTIFS(Visits!$V:$V,'New Dashboard'!$A$23,Visits!$E:$E,'User Engagement'!$A293)</f>
        <v>0</v>
      </c>
      <c r="M293">
        <f>COUNTIFS(Visits!$V:$V,'New Dashboard'!$A$24,Visits!$E:$E,'User Engagement'!$A293)</f>
        <v>0</v>
      </c>
      <c r="N293">
        <f>COUNTIFS(Visits!$V:$V,'New Dashboard'!$A$25,Visits!$E:$E,'User Engagement'!$A293)</f>
        <v>0</v>
      </c>
      <c r="O293">
        <f t="shared" si="29"/>
        <v>1</v>
      </c>
      <c r="P293">
        <f t="shared" si="30"/>
        <v>0</v>
      </c>
      <c r="Q293">
        <f t="shared" si="30"/>
        <v>0</v>
      </c>
      <c r="R293">
        <f t="shared" si="26"/>
        <v>0</v>
      </c>
      <c r="S293" s="5">
        <f>SUMIF(Visits!$E$2:$E$89,'User Engagement'!$A293,Visits!$L$2:$L$89)</f>
        <v>0</v>
      </c>
      <c r="T293" s="5">
        <f>SUMIFS(Visits!$L$2:$L$89,Visits!$E$2:$E$89,'User Engagement'!$A293,Visits!$U$2:$U$89,"&gt;3/28/24")</f>
        <v>0</v>
      </c>
      <c r="U293" s="19" t="e">
        <f t="shared" si="27"/>
        <v>#DIV/0!</v>
      </c>
      <c r="V293" s="19" t="str">
        <f t="shared" si="28"/>
        <v>n/a</v>
      </c>
    </row>
    <row r="294" spans="1:22" ht="16" x14ac:dyDescent="0.2">
      <c r="A294">
        <f>Users!A292</f>
        <v>0</v>
      </c>
      <c r="B294" s="29" t="e">
        <f>VLOOKUP(A294,Users!A:D,2,FALSE)</f>
        <v>#N/A</v>
      </c>
      <c r="C294" s="29" t="e">
        <f>VLOOKUP(A294,Users!A:D,3,FALSE)</f>
        <v>#N/A</v>
      </c>
      <c r="F294" s="1" cm="1">
        <f t="array" ref="F294">MAX(_xlfn._xlws.FILTER(Visits!U:U,Visits!E:E='User Engagement'!A294))</f>
        <v>0</v>
      </c>
      <c r="G294">
        <f>COUNTIF(Visits!$E$2:$E$995,'User Engagement'!$A294)</f>
        <v>0</v>
      </c>
      <c r="H294">
        <f>COUNTIFS(Visits!$E$2:$E$995,'User Engagement'!$A295,Visits!$U$2:$U$995,"&gt;"&amp;($B$1-7))</f>
        <v>0</v>
      </c>
      <c r="I294">
        <f>COUNTIFS(Visits!$E$2:$E$995,'User Engagement'!$A294,Visits!$U$2:$U$995,"&gt;"&amp;($B$1-30))</f>
        <v>0</v>
      </c>
      <c r="J294">
        <f>COUNTIFS(Visits!$E$2:$E$995,$A294,Visits!$U$2:$U$995,"&gt;"&amp;($B$1-60))-I294</f>
        <v>0</v>
      </c>
      <c r="K294">
        <f>COUNTIFS(Visits!$V:$V,'New Dashboard'!$A$22,Visits!$E:$E,'User Engagement'!$A294)</f>
        <v>0</v>
      </c>
      <c r="L294">
        <f>COUNTIFS(Visits!$V:$V,'New Dashboard'!$A$23,Visits!$E:$E,'User Engagement'!$A294)</f>
        <v>0</v>
      </c>
      <c r="M294">
        <f>COUNTIFS(Visits!$V:$V,'New Dashboard'!$A$24,Visits!$E:$E,'User Engagement'!$A294)</f>
        <v>0</v>
      </c>
      <c r="N294">
        <f>COUNTIFS(Visits!$V:$V,'New Dashboard'!$A$25,Visits!$E:$E,'User Engagement'!$A294)</f>
        <v>0</v>
      </c>
      <c r="O294">
        <f t="shared" si="29"/>
        <v>1</v>
      </c>
      <c r="P294">
        <f t="shared" si="30"/>
        <v>0</v>
      </c>
      <c r="Q294">
        <f t="shared" si="30"/>
        <v>0</v>
      </c>
      <c r="R294">
        <f t="shared" si="26"/>
        <v>0</v>
      </c>
      <c r="S294" s="5">
        <f>SUMIF(Visits!$E$2:$E$89,'User Engagement'!$A294,Visits!$L$2:$L$89)</f>
        <v>0</v>
      </c>
      <c r="T294" s="5">
        <f>SUMIFS(Visits!$L$2:$L$89,Visits!$E$2:$E$89,'User Engagement'!$A294,Visits!$U$2:$U$89,"&gt;3/28/24")</f>
        <v>0</v>
      </c>
      <c r="U294" s="19" t="e">
        <f t="shared" si="27"/>
        <v>#DIV/0!</v>
      </c>
      <c r="V294" s="19" t="str">
        <f t="shared" si="28"/>
        <v>n/a</v>
      </c>
    </row>
    <row r="295" spans="1:22" ht="16" x14ac:dyDescent="0.2">
      <c r="A295">
        <f>Users!A293</f>
        <v>0</v>
      </c>
      <c r="B295" s="29" t="e">
        <f>VLOOKUP(A295,Users!A:D,2,FALSE)</f>
        <v>#N/A</v>
      </c>
      <c r="C295" s="29" t="e">
        <f>VLOOKUP(A295,Users!A:D,3,FALSE)</f>
        <v>#N/A</v>
      </c>
      <c r="F295" s="1" cm="1">
        <f t="array" ref="F295">MAX(_xlfn._xlws.FILTER(Visits!U:U,Visits!E:E='User Engagement'!A295))</f>
        <v>0</v>
      </c>
      <c r="G295">
        <f>COUNTIF(Visits!$E$2:$E$995,'User Engagement'!$A295)</f>
        <v>0</v>
      </c>
      <c r="H295">
        <f>COUNTIFS(Visits!$E$2:$E$995,'User Engagement'!$A296,Visits!$U$2:$U$995,"&gt;"&amp;($B$1-7))</f>
        <v>0</v>
      </c>
      <c r="I295">
        <f>COUNTIFS(Visits!$E$2:$E$995,'User Engagement'!$A295,Visits!$U$2:$U$995,"&gt;"&amp;($B$1-30))</f>
        <v>0</v>
      </c>
      <c r="J295">
        <f>COUNTIFS(Visits!$E$2:$E$995,$A295,Visits!$U$2:$U$995,"&gt;"&amp;($B$1-60))-I295</f>
        <v>0</v>
      </c>
      <c r="K295">
        <f>COUNTIFS(Visits!$V:$V,'New Dashboard'!$A$22,Visits!$E:$E,'User Engagement'!$A295)</f>
        <v>0</v>
      </c>
      <c r="L295">
        <f>COUNTIFS(Visits!$V:$V,'New Dashboard'!$A$23,Visits!$E:$E,'User Engagement'!$A295)</f>
        <v>0</v>
      </c>
      <c r="M295">
        <f>COUNTIFS(Visits!$V:$V,'New Dashboard'!$A$24,Visits!$E:$E,'User Engagement'!$A295)</f>
        <v>0</v>
      </c>
      <c r="N295">
        <f>COUNTIFS(Visits!$V:$V,'New Dashboard'!$A$25,Visits!$E:$E,'User Engagement'!$A295)</f>
        <v>0</v>
      </c>
      <c r="O295">
        <f t="shared" si="29"/>
        <v>1</v>
      </c>
      <c r="P295">
        <f t="shared" si="30"/>
        <v>0</v>
      </c>
      <c r="Q295">
        <f t="shared" si="30"/>
        <v>0</v>
      </c>
      <c r="R295">
        <f t="shared" si="26"/>
        <v>0</v>
      </c>
      <c r="S295" s="5">
        <f>SUMIF(Visits!$E$2:$E$89,'User Engagement'!$A295,Visits!$L$2:$L$89)</f>
        <v>0</v>
      </c>
      <c r="T295" s="5">
        <f>SUMIFS(Visits!$L$2:$L$89,Visits!$E$2:$E$89,'User Engagement'!$A295,Visits!$U$2:$U$89,"&gt;3/28/24")</f>
        <v>0</v>
      </c>
      <c r="U295" s="19" t="e">
        <f t="shared" si="27"/>
        <v>#DIV/0!</v>
      </c>
      <c r="V295" s="19" t="str">
        <f t="shared" si="28"/>
        <v>n/a</v>
      </c>
    </row>
    <row r="296" spans="1:22" ht="16" x14ac:dyDescent="0.2">
      <c r="A296">
        <f>Users!A294</f>
        <v>0</v>
      </c>
      <c r="B296" s="29" t="e">
        <f>VLOOKUP(A296,Users!A:D,2,FALSE)</f>
        <v>#N/A</v>
      </c>
      <c r="C296" s="29" t="e">
        <f>VLOOKUP(A296,Users!A:D,3,FALSE)</f>
        <v>#N/A</v>
      </c>
      <c r="F296" s="1" cm="1">
        <f t="array" ref="F296">MAX(_xlfn._xlws.FILTER(Visits!U:U,Visits!E:E='User Engagement'!A296))</f>
        <v>0</v>
      </c>
      <c r="G296">
        <f>COUNTIF(Visits!$E$2:$E$995,'User Engagement'!$A296)</f>
        <v>0</v>
      </c>
      <c r="H296">
        <f>COUNTIFS(Visits!$E$2:$E$995,'User Engagement'!$A297,Visits!$U$2:$U$995,"&gt;"&amp;($B$1-7))</f>
        <v>0</v>
      </c>
      <c r="I296">
        <f>COUNTIFS(Visits!$E$2:$E$995,'User Engagement'!$A296,Visits!$U$2:$U$995,"&gt;"&amp;($B$1-30))</f>
        <v>0</v>
      </c>
      <c r="J296">
        <f>COUNTIFS(Visits!$E$2:$E$995,$A296,Visits!$U$2:$U$995,"&gt;"&amp;($B$1-60))-I296</f>
        <v>0</v>
      </c>
      <c r="K296">
        <f>COUNTIFS(Visits!$V:$V,'New Dashboard'!$A$22,Visits!$E:$E,'User Engagement'!$A296)</f>
        <v>0</v>
      </c>
      <c r="L296">
        <f>COUNTIFS(Visits!$V:$V,'New Dashboard'!$A$23,Visits!$E:$E,'User Engagement'!$A296)</f>
        <v>0</v>
      </c>
      <c r="M296">
        <f>COUNTIFS(Visits!$V:$V,'New Dashboard'!$A$24,Visits!$E:$E,'User Engagement'!$A296)</f>
        <v>0</v>
      </c>
      <c r="N296">
        <f>COUNTIFS(Visits!$V:$V,'New Dashboard'!$A$25,Visits!$E:$E,'User Engagement'!$A296)</f>
        <v>0</v>
      </c>
      <c r="O296">
        <f t="shared" si="29"/>
        <v>1</v>
      </c>
      <c r="P296">
        <f t="shared" si="30"/>
        <v>0</v>
      </c>
      <c r="Q296">
        <f t="shared" si="30"/>
        <v>0</v>
      </c>
      <c r="R296">
        <f t="shared" si="26"/>
        <v>0</v>
      </c>
      <c r="S296" s="5">
        <f>SUMIF(Visits!$E$2:$E$89,'User Engagement'!$A296,Visits!$L$2:$L$89)</f>
        <v>0</v>
      </c>
      <c r="T296" s="5">
        <f>SUMIFS(Visits!$L$2:$L$89,Visits!$E$2:$E$89,'User Engagement'!$A296,Visits!$U$2:$U$89,"&gt;3/28/24")</f>
        <v>0</v>
      </c>
      <c r="U296" s="19" t="e">
        <f t="shared" si="27"/>
        <v>#DIV/0!</v>
      </c>
      <c r="V296" s="19" t="str">
        <f t="shared" si="28"/>
        <v>n/a</v>
      </c>
    </row>
    <row r="297" spans="1:22" ht="16" x14ac:dyDescent="0.2">
      <c r="A297">
        <f>Users!A295</f>
        <v>0</v>
      </c>
      <c r="B297" s="29" t="e">
        <f>VLOOKUP(A297,Users!A:D,2,FALSE)</f>
        <v>#N/A</v>
      </c>
      <c r="C297" s="29" t="e">
        <f>VLOOKUP(A297,Users!A:D,3,FALSE)</f>
        <v>#N/A</v>
      </c>
      <c r="F297" s="1" cm="1">
        <f t="array" ref="F297">MAX(_xlfn._xlws.FILTER(Visits!U:U,Visits!E:E='User Engagement'!A297))</f>
        <v>0</v>
      </c>
      <c r="G297">
        <f>COUNTIF(Visits!$E$2:$E$995,'User Engagement'!$A297)</f>
        <v>0</v>
      </c>
      <c r="H297">
        <f>COUNTIFS(Visits!$E$2:$E$995,'User Engagement'!$A298,Visits!$U$2:$U$995,"&gt;"&amp;($B$1-7))</f>
        <v>0</v>
      </c>
      <c r="I297">
        <f>COUNTIFS(Visits!$E$2:$E$995,'User Engagement'!$A297,Visits!$U$2:$U$995,"&gt;"&amp;($B$1-30))</f>
        <v>0</v>
      </c>
      <c r="J297">
        <f>COUNTIFS(Visits!$E$2:$E$995,$A297,Visits!$U$2:$U$995,"&gt;"&amp;($B$1-60))-I297</f>
        <v>0</v>
      </c>
      <c r="K297">
        <f>COUNTIFS(Visits!$V:$V,'New Dashboard'!$A$22,Visits!$E:$E,'User Engagement'!$A297)</f>
        <v>0</v>
      </c>
      <c r="L297">
        <f>COUNTIFS(Visits!$V:$V,'New Dashboard'!$A$23,Visits!$E:$E,'User Engagement'!$A297)</f>
        <v>0</v>
      </c>
      <c r="M297">
        <f>COUNTIFS(Visits!$V:$V,'New Dashboard'!$A$24,Visits!$E:$E,'User Engagement'!$A297)</f>
        <v>0</v>
      </c>
      <c r="N297">
        <f>COUNTIFS(Visits!$V:$V,'New Dashboard'!$A$25,Visits!$E:$E,'User Engagement'!$A297)</f>
        <v>0</v>
      </c>
      <c r="O297">
        <f t="shared" si="29"/>
        <v>1</v>
      </c>
      <c r="P297">
        <f t="shared" si="30"/>
        <v>0</v>
      </c>
      <c r="Q297">
        <f t="shared" si="30"/>
        <v>0</v>
      </c>
      <c r="R297">
        <f t="shared" si="26"/>
        <v>0</v>
      </c>
      <c r="S297" s="5">
        <f>SUMIF(Visits!$E$2:$E$89,'User Engagement'!$A297,Visits!$L$2:$L$89)</f>
        <v>0</v>
      </c>
      <c r="T297" s="5">
        <f>SUMIFS(Visits!$L$2:$L$89,Visits!$E$2:$E$89,'User Engagement'!$A297,Visits!$U$2:$U$89,"&gt;3/28/24")</f>
        <v>0</v>
      </c>
      <c r="U297" s="19" t="e">
        <f t="shared" si="27"/>
        <v>#DIV/0!</v>
      </c>
      <c r="V297" s="19" t="str">
        <f t="shared" si="28"/>
        <v>n/a</v>
      </c>
    </row>
    <row r="298" spans="1:22" ht="16" x14ac:dyDescent="0.2">
      <c r="A298">
        <f>Users!A296</f>
        <v>0</v>
      </c>
      <c r="B298" s="29" t="e">
        <f>VLOOKUP(A298,Users!A:D,2,FALSE)</f>
        <v>#N/A</v>
      </c>
      <c r="C298" s="29" t="e">
        <f>VLOOKUP(A298,Users!A:D,3,FALSE)</f>
        <v>#N/A</v>
      </c>
      <c r="F298" s="1" cm="1">
        <f t="array" ref="F298">MAX(_xlfn._xlws.FILTER(Visits!U:U,Visits!E:E='User Engagement'!A298))</f>
        <v>0</v>
      </c>
      <c r="G298">
        <f>COUNTIF(Visits!$E$2:$E$995,'User Engagement'!$A298)</f>
        <v>0</v>
      </c>
      <c r="H298">
        <f>COUNTIFS(Visits!$E$2:$E$995,'User Engagement'!$A299,Visits!$U$2:$U$995,"&gt;"&amp;($B$1-7))</f>
        <v>0</v>
      </c>
      <c r="I298">
        <f>COUNTIFS(Visits!$E$2:$E$995,'User Engagement'!$A298,Visits!$U$2:$U$995,"&gt;"&amp;($B$1-30))</f>
        <v>0</v>
      </c>
      <c r="J298">
        <f>COUNTIFS(Visits!$E$2:$E$995,$A298,Visits!$U$2:$U$995,"&gt;"&amp;($B$1-60))-I298</f>
        <v>0</v>
      </c>
      <c r="K298">
        <f>COUNTIFS(Visits!$V:$V,'New Dashboard'!$A$22,Visits!$E:$E,'User Engagement'!$A298)</f>
        <v>0</v>
      </c>
      <c r="L298">
        <f>COUNTIFS(Visits!$V:$V,'New Dashboard'!$A$23,Visits!$E:$E,'User Engagement'!$A298)</f>
        <v>0</v>
      </c>
      <c r="M298">
        <f>COUNTIFS(Visits!$V:$V,'New Dashboard'!$A$24,Visits!$E:$E,'User Engagement'!$A298)</f>
        <v>0</v>
      </c>
      <c r="N298">
        <f>COUNTIFS(Visits!$V:$V,'New Dashboard'!$A$25,Visits!$E:$E,'User Engagement'!$A298)</f>
        <v>0</v>
      </c>
      <c r="O298">
        <f t="shared" si="29"/>
        <v>1</v>
      </c>
      <c r="P298">
        <f t="shared" si="30"/>
        <v>0</v>
      </c>
      <c r="Q298">
        <f t="shared" si="30"/>
        <v>0</v>
      </c>
      <c r="R298">
        <f t="shared" si="26"/>
        <v>0</v>
      </c>
      <c r="S298" s="5">
        <f>SUMIF(Visits!$E$2:$E$89,'User Engagement'!$A298,Visits!$L$2:$L$89)</f>
        <v>0</v>
      </c>
      <c r="T298" s="5">
        <f>SUMIFS(Visits!$L$2:$L$89,Visits!$E$2:$E$89,'User Engagement'!$A298,Visits!$U$2:$U$89,"&gt;3/28/24")</f>
        <v>0</v>
      </c>
      <c r="U298" s="19" t="e">
        <f t="shared" si="27"/>
        <v>#DIV/0!</v>
      </c>
      <c r="V298" s="19" t="str">
        <f t="shared" si="28"/>
        <v>n/a</v>
      </c>
    </row>
    <row r="299" spans="1:22" ht="16" x14ac:dyDescent="0.2">
      <c r="A299">
        <f>Users!A297</f>
        <v>0</v>
      </c>
      <c r="B299" s="29" t="e">
        <f>VLOOKUP(A299,Users!A:D,2,FALSE)</f>
        <v>#N/A</v>
      </c>
      <c r="C299" s="29" t="e">
        <f>VLOOKUP(A299,Users!A:D,3,FALSE)</f>
        <v>#N/A</v>
      </c>
      <c r="F299" s="1" cm="1">
        <f t="array" ref="F299">MAX(_xlfn._xlws.FILTER(Visits!U:U,Visits!E:E='User Engagement'!A299))</f>
        <v>0</v>
      </c>
      <c r="G299">
        <f>COUNTIF(Visits!$E$2:$E$995,'User Engagement'!$A299)</f>
        <v>0</v>
      </c>
      <c r="H299">
        <f>COUNTIFS(Visits!$E$2:$E$995,'User Engagement'!$A300,Visits!$U$2:$U$995,"&gt;"&amp;($B$1-7))</f>
        <v>0</v>
      </c>
      <c r="I299">
        <f>COUNTIFS(Visits!$E$2:$E$995,'User Engagement'!$A299,Visits!$U$2:$U$995,"&gt;"&amp;($B$1-30))</f>
        <v>0</v>
      </c>
      <c r="J299">
        <f>COUNTIFS(Visits!$E$2:$E$995,$A299,Visits!$U$2:$U$995,"&gt;"&amp;($B$1-60))-I299</f>
        <v>0</v>
      </c>
      <c r="K299">
        <f>COUNTIFS(Visits!$V:$V,'New Dashboard'!$A$22,Visits!$E:$E,'User Engagement'!$A299)</f>
        <v>0</v>
      </c>
      <c r="L299">
        <f>COUNTIFS(Visits!$V:$V,'New Dashboard'!$A$23,Visits!$E:$E,'User Engagement'!$A299)</f>
        <v>0</v>
      </c>
      <c r="M299">
        <f>COUNTIFS(Visits!$V:$V,'New Dashboard'!$A$24,Visits!$E:$E,'User Engagement'!$A299)</f>
        <v>0</v>
      </c>
      <c r="N299">
        <f>COUNTIFS(Visits!$V:$V,'New Dashboard'!$A$25,Visits!$E:$E,'User Engagement'!$A299)</f>
        <v>0</v>
      </c>
      <c r="O299">
        <f t="shared" si="29"/>
        <v>1</v>
      </c>
      <c r="P299">
        <f t="shared" si="30"/>
        <v>0</v>
      </c>
      <c r="Q299">
        <f t="shared" si="30"/>
        <v>0</v>
      </c>
      <c r="R299">
        <f t="shared" si="26"/>
        <v>0</v>
      </c>
      <c r="S299" s="5">
        <f>SUMIF(Visits!$E$2:$E$89,'User Engagement'!$A299,Visits!$L$2:$L$89)</f>
        <v>0</v>
      </c>
      <c r="T299" s="5">
        <f>SUMIFS(Visits!$L$2:$L$89,Visits!$E$2:$E$89,'User Engagement'!$A299,Visits!$U$2:$U$89,"&gt;3/28/24")</f>
        <v>0</v>
      </c>
      <c r="U299" s="19" t="e">
        <f t="shared" si="27"/>
        <v>#DIV/0!</v>
      </c>
      <c r="V299" s="19" t="str">
        <f t="shared" si="28"/>
        <v>n/a</v>
      </c>
    </row>
    <row r="300" spans="1:22" ht="16" x14ac:dyDescent="0.2">
      <c r="A300">
        <f>Users!A298</f>
        <v>0</v>
      </c>
      <c r="B300" s="29" t="e">
        <f>VLOOKUP(A300,Users!A:D,2,FALSE)</f>
        <v>#N/A</v>
      </c>
      <c r="C300" s="29" t="e">
        <f>VLOOKUP(A300,Users!A:D,3,FALSE)</f>
        <v>#N/A</v>
      </c>
      <c r="F300" s="1" cm="1">
        <f t="array" ref="F300">MAX(_xlfn._xlws.FILTER(Visits!U:U,Visits!E:E='User Engagement'!A300))</f>
        <v>0</v>
      </c>
      <c r="G300">
        <f>COUNTIF(Visits!$E$2:$E$995,'User Engagement'!$A300)</f>
        <v>0</v>
      </c>
      <c r="H300">
        <f>COUNTIFS(Visits!$E$2:$E$995,'User Engagement'!$A301,Visits!$U$2:$U$995,"&gt;"&amp;($B$1-7))</f>
        <v>0</v>
      </c>
      <c r="I300">
        <f>COUNTIFS(Visits!$E$2:$E$995,'User Engagement'!$A300,Visits!$U$2:$U$995,"&gt;"&amp;($B$1-30))</f>
        <v>0</v>
      </c>
      <c r="J300">
        <f>COUNTIFS(Visits!$E$2:$E$995,$A300,Visits!$U$2:$U$995,"&gt;"&amp;($B$1-60))-I300</f>
        <v>0</v>
      </c>
      <c r="K300">
        <f>COUNTIFS(Visits!$V:$V,'New Dashboard'!$A$22,Visits!$E:$E,'User Engagement'!$A300)</f>
        <v>0</v>
      </c>
      <c r="L300">
        <f>COUNTIFS(Visits!$V:$V,'New Dashboard'!$A$23,Visits!$E:$E,'User Engagement'!$A300)</f>
        <v>0</v>
      </c>
      <c r="M300">
        <f>COUNTIFS(Visits!$V:$V,'New Dashboard'!$A$24,Visits!$E:$E,'User Engagement'!$A300)</f>
        <v>0</v>
      </c>
      <c r="N300">
        <f>COUNTIFS(Visits!$V:$V,'New Dashboard'!$A$25,Visits!$E:$E,'User Engagement'!$A300)</f>
        <v>0</v>
      </c>
      <c r="O300">
        <f t="shared" si="29"/>
        <v>1</v>
      </c>
      <c r="P300">
        <f t="shared" si="30"/>
        <v>0</v>
      </c>
      <c r="Q300">
        <f t="shared" si="30"/>
        <v>0</v>
      </c>
      <c r="R300">
        <f t="shared" si="26"/>
        <v>0</v>
      </c>
      <c r="S300" s="5">
        <f>SUMIF(Visits!$E$2:$E$89,'User Engagement'!$A300,Visits!$L$2:$L$89)</f>
        <v>0</v>
      </c>
      <c r="T300" s="5">
        <f>SUMIFS(Visits!$L$2:$L$89,Visits!$E$2:$E$89,'User Engagement'!$A300,Visits!$U$2:$U$89,"&gt;3/28/24")</f>
        <v>0</v>
      </c>
      <c r="U300" s="19" t="e">
        <f t="shared" si="27"/>
        <v>#DIV/0!</v>
      </c>
      <c r="V300" s="19" t="str">
        <f t="shared" si="28"/>
        <v>n/a</v>
      </c>
    </row>
    <row r="301" spans="1:22" ht="16" x14ac:dyDescent="0.2">
      <c r="A301">
        <f>Users!A299</f>
        <v>0</v>
      </c>
      <c r="B301" s="29" t="e">
        <f>VLOOKUP(A301,Users!A:D,2,FALSE)</f>
        <v>#N/A</v>
      </c>
      <c r="C301" s="29" t="e">
        <f>VLOOKUP(A301,Users!A:D,3,FALSE)</f>
        <v>#N/A</v>
      </c>
      <c r="F301" s="1" cm="1">
        <f t="array" ref="F301">MAX(_xlfn._xlws.FILTER(Visits!U:U,Visits!E:E='User Engagement'!A301))</f>
        <v>0</v>
      </c>
      <c r="G301">
        <f>COUNTIF(Visits!$E$2:$E$995,'User Engagement'!$A301)</f>
        <v>0</v>
      </c>
      <c r="H301">
        <f>COUNTIFS(Visits!$E$2:$E$995,'User Engagement'!$A302,Visits!$U$2:$U$995,"&gt;"&amp;($B$1-7))</f>
        <v>0</v>
      </c>
      <c r="I301">
        <f>COUNTIFS(Visits!$E$2:$E$995,'User Engagement'!$A301,Visits!$U$2:$U$995,"&gt;"&amp;($B$1-30))</f>
        <v>0</v>
      </c>
      <c r="J301">
        <f>COUNTIFS(Visits!$E$2:$E$995,$A301,Visits!$U$2:$U$995,"&gt;"&amp;($B$1-60))-I301</f>
        <v>0</v>
      </c>
      <c r="K301">
        <f>COUNTIFS(Visits!$V:$V,'New Dashboard'!$A$22,Visits!$E:$E,'User Engagement'!$A301)</f>
        <v>0</v>
      </c>
      <c r="L301">
        <f>COUNTIFS(Visits!$V:$V,'New Dashboard'!$A$23,Visits!$E:$E,'User Engagement'!$A301)</f>
        <v>0</v>
      </c>
      <c r="M301">
        <f>COUNTIFS(Visits!$V:$V,'New Dashboard'!$A$24,Visits!$E:$E,'User Engagement'!$A301)</f>
        <v>0</v>
      </c>
      <c r="N301">
        <f>COUNTIFS(Visits!$V:$V,'New Dashboard'!$A$25,Visits!$E:$E,'User Engagement'!$A301)</f>
        <v>0</v>
      </c>
      <c r="O301">
        <f t="shared" si="29"/>
        <v>1</v>
      </c>
      <c r="P301">
        <f t="shared" si="30"/>
        <v>0</v>
      </c>
      <c r="Q301">
        <f t="shared" si="30"/>
        <v>0</v>
      </c>
      <c r="R301">
        <f t="shared" si="26"/>
        <v>0</v>
      </c>
      <c r="S301" s="5">
        <f>SUMIF(Visits!$E$2:$E$89,'User Engagement'!$A301,Visits!$L$2:$L$89)</f>
        <v>0</v>
      </c>
      <c r="T301" s="5">
        <f>SUMIFS(Visits!$L$2:$L$89,Visits!$E$2:$E$89,'User Engagement'!$A301,Visits!$U$2:$U$89,"&gt;3/28/24")</f>
        <v>0</v>
      </c>
      <c r="U301" s="19" t="e">
        <f t="shared" si="27"/>
        <v>#DIV/0!</v>
      </c>
      <c r="V301" s="19" t="str">
        <f t="shared" si="28"/>
        <v>n/a</v>
      </c>
    </row>
    <row r="302" spans="1:22" ht="16" x14ac:dyDescent="0.2">
      <c r="A302">
        <f>Users!A300</f>
        <v>0</v>
      </c>
      <c r="B302" s="29" t="e">
        <f>VLOOKUP(A302,Users!A:D,2,FALSE)</f>
        <v>#N/A</v>
      </c>
      <c r="C302" s="29" t="e">
        <f>VLOOKUP(A302,Users!A:D,3,FALSE)</f>
        <v>#N/A</v>
      </c>
      <c r="F302" s="1" cm="1">
        <f t="array" ref="F302">MAX(_xlfn._xlws.FILTER(Visits!U:U,Visits!E:E='User Engagement'!A302))</f>
        <v>0</v>
      </c>
      <c r="G302">
        <f>COUNTIF(Visits!$E$2:$E$995,'User Engagement'!$A302)</f>
        <v>0</v>
      </c>
      <c r="H302">
        <f>COUNTIFS(Visits!$E$2:$E$995,'User Engagement'!$A303,Visits!$U$2:$U$995,"&gt;"&amp;($B$1-7))</f>
        <v>0</v>
      </c>
      <c r="I302">
        <f>COUNTIFS(Visits!$E$2:$E$995,'User Engagement'!$A302,Visits!$U$2:$U$995,"&gt;"&amp;($B$1-30))</f>
        <v>0</v>
      </c>
      <c r="J302">
        <f>COUNTIFS(Visits!$E$2:$E$995,$A302,Visits!$U$2:$U$995,"&gt;"&amp;($B$1-60))-I302</f>
        <v>0</v>
      </c>
      <c r="K302">
        <f>COUNTIFS(Visits!$V:$V,'New Dashboard'!$A$22,Visits!$E:$E,'User Engagement'!$A302)</f>
        <v>0</v>
      </c>
      <c r="L302">
        <f>COUNTIFS(Visits!$V:$V,'New Dashboard'!$A$23,Visits!$E:$E,'User Engagement'!$A302)</f>
        <v>0</v>
      </c>
      <c r="M302">
        <f>COUNTIFS(Visits!$V:$V,'New Dashboard'!$A$24,Visits!$E:$E,'User Engagement'!$A302)</f>
        <v>0</v>
      </c>
      <c r="N302">
        <f>COUNTIFS(Visits!$V:$V,'New Dashboard'!$A$25,Visits!$E:$E,'User Engagement'!$A302)</f>
        <v>0</v>
      </c>
      <c r="O302">
        <f t="shared" si="29"/>
        <v>1</v>
      </c>
      <c r="P302">
        <f t="shared" si="30"/>
        <v>0</v>
      </c>
      <c r="Q302">
        <f t="shared" si="30"/>
        <v>0</v>
      </c>
      <c r="R302">
        <f t="shared" si="26"/>
        <v>0</v>
      </c>
      <c r="S302" s="5">
        <f>SUMIF(Visits!$E$2:$E$89,'User Engagement'!$A302,Visits!$L$2:$L$89)</f>
        <v>0</v>
      </c>
      <c r="T302" s="5">
        <f>SUMIFS(Visits!$L$2:$L$89,Visits!$E$2:$E$89,'User Engagement'!$A302,Visits!$U$2:$U$89,"&gt;3/28/24")</f>
        <v>0</v>
      </c>
      <c r="U302" s="19" t="e">
        <f t="shared" si="27"/>
        <v>#DIV/0!</v>
      </c>
      <c r="V302" s="19" t="str">
        <f t="shared" si="28"/>
        <v>n/a</v>
      </c>
    </row>
    <row r="303" spans="1:22" ht="16" x14ac:dyDescent="0.2">
      <c r="A303">
        <f>Users!A301</f>
        <v>0</v>
      </c>
      <c r="B303" s="29" t="e">
        <f>VLOOKUP(A303,Users!A:D,2,FALSE)</f>
        <v>#N/A</v>
      </c>
      <c r="C303" s="29" t="e">
        <f>VLOOKUP(A303,Users!A:D,3,FALSE)</f>
        <v>#N/A</v>
      </c>
      <c r="F303" s="1" cm="1">
        <f t="array" ref="F303">MAX(_xlfn._xlws.FILTER(Visits!U:U,Visits!E:E='User Engagement'!A303))</f>
        <v>0</v>
      </c>
      <c r="G303">
        <f>COUNTIF(Visits!$E$2:$E$995,'User Engagement'!$A303)</f>
        <v>0</v>
      </c>
      <c r="H303">
        <f>COUNTIFS(Visits!$E$2:$E$995,'User Engagement'!$A304,Visits!$U$2:$U$995,"&gt;"&amp;($B$1-7))</f>
        <v>0</v>
      </c>
      <c r="I303">
        <f>COUNTIFS(Visits!$E$2:$E$995,'User Engagement'!$A303,Visits!$U$2:$U$995,"&gt;"&amp;($B$1-30))</f>
        <v>0</v>
      </c>
      <c r="J303">
        <f>COUNTIFS(Visits!$E$2:$E$995,$A303,Visits!$U$2:$U$995,"&gt;"&amp;($B$1-60))-I303</f>
        <v>0</v>
      </c>
      <c r="K303">
        <f>COUNTIFS(Visits!$V:$V,'New Dashboard'!$A$22,Visits!$E:$E,'User Engagement'!$A303)</f>
        <v>0</v>
      </c>
      <c r="L303">
        <f>COUNTIFS(Visits!$V:$V,'New Dashboard'!$A$23,Visits!$E:$E,'User Engagement'!$A303)</f>
        <v>0</v>
      </c>
      <c r="M303">
        <f>COUNTIFS(Visits!$V:$V,'New Dashboard'!$A$24,Visits!$E:$E,'User Engagement'!$A303)</f>
        <v>0</v>
      </c>
      <c r="N303">
        <f>COUNTIFS(Visits!$V:$V,'New Dashboard'!$A$25,Visits!$E:$E,'User Engagement'!$A303)</f>
        <v>0</v>
      </c>
      <c r="O303">
        <f t="shared" si="29"/>
        <v>1</v>
      </c>
      <c r="P303">
        <f t="shared" si="30"/>
        <v>0</v>
      </c>
      <c r="Q303">
        <f t="shared" si="30"/>
        <v>0</v>
      </c>
      <c r="R303">
        <f t="shared" si="26"/>
        <v>0</v>
      </c>
      <c r="S303" s="5">
        <f>SUMIF(Visits!$E$2:$E$89,'User Engagement'!$A303,Visits!$L$2:$L$89)</f>
        <v>0</v>
      </c>
      <c r="T303" s="5">
        <f>SUMIFS(Visits!$L$2:$L$89,Visits!$E$2:$E$89,'User Engagement'!$A303,Visits!$U$2:$U$89,"&gt;3/28/24")</f>
        <v>0</v>
      </c>
      <c r="U303" s="19" t="e">
        <f t="shared" si="27"/>
        <v>#DIV/0!</v>
      </c>
      <c r="V303" s="19" t="str">
        <f t="shared" si="28"/>
        <v>n/a</v>
      </c>
    </row>
    <row r="304" spans="1:22" ht="16" x14ac:dyDescent="0.2">
      <c r="A304">
        <f>Users!A302</f>
        <v>0</v>
      </c>
      <c r="B304" s="29" t="e">
        <f>VLOOKUP(A304,Users!A:D,2,FALSE)</f>
        <v>#N/A</v>
      </c>
      <c r="C304" s="29" t="e">
        <f>VLOOKUP(A304,Users!A:D,3,FALSE)</f>
        <v>#N/A</v>
      </c>
      <c r="F304" s="1" cm="1">
        <f t="array" ref="F304">MAX(_xlfn._xlws.FILTER(Visits!U:U,Visits!E:E='User Engagement'!A304))</f>
        <v>0</v>
      </c>
      <c r="G304">
        <f>COUNTIF(Visits!$E$2:$E$995,'User Engagement'!$A304)</f>
        <v>0</v>
      </c>
      <c r="H304">
        <f>COUNTIFS(Visits!$E$2:$E$995,'User Engagement'!$A305,Visits!$U$2:$U$995,"&gt;"&amp;($B$1-7))</f>
        <v>0</v>
      </c>
      <c r="I304">
        <f>COUNTIFS(Visits!$E$2:$E$995,'User Engagement'!$A304,Visits!$U$2:$U$995,"&gt;"&amp;($B$1-30))</f>
        <v>0</v>
      </c>
      <c r="J304">
        <f>COUNTIFS(Visits!$E$2:$E$995,$A304,Visits!$U$2:$U$995,"&gt;"&amp;($B$1-60))-I304</f>
        <v>0</v>
      </c>
      <c r="K304">
        <f>COUNTIFS(Visits!$V:$V,'New Dashboard'!$A$22,Visits!$E:$E,'User Engagement'!$A304)</f>
        <v>0</v>
      </c>
      <c r="L304">
        <f>COUNTIFS(Visits!$V:$V,'New Dashboard'!$A$23,Visits!$E:$E,'User Engagement'!$A304)</f>
        <v>0</v>
      </c>
      <c r="M304">
        <f>COUNTIFS(Visits!$V:$V,'New Dashboard'!$A$24,Visits!$E:$E,'User Engagement'!$A304)</f>
        <v>0</v>
      </c>
      <c r="N304">
        <f>COUNTIFS(Visits!$V:$V,'New Dashboard'!$A$25,Visits!$E:$E,'User Engagement'!$A304)</f>
        <v>0</v>
      </c>
      <c r="O304">
        <f t="shared" si="29"/>
        <v>1</v>
      </c>
      <c r="P304">
        <f t="shared" si="30"/>
        <v>0</v>
      </c>
      <c r="Q304">
        <f t="shared" si="30"/>
        <v>0</v>
      </c>
      <c r="R304">
        <f t="shared" si="26"/>
        <v>0</v>
      </c>
      <c r="S304" s="5">
        <f>SUMIF(Visits!$E$2:$E$89,'User Engagement'!$A304,Visits!$L$2:$L$89)</f>
        <v>0</v>
      </c>
      <c r="T304" s="5">
        <f>SUMIFS(Visits!$L$2:$L$89,Visits!$E$2:$E$89,'User Engagement'!$A304,Visits!$U$2:$U$89,"&gt;3/28/24")</f>
        <v>0</v>
      </c>
      <c r="U304" s="19" t="e">
        <f t="shared" si="27"/>
        <v>#DIV/0!</v>
      </c>
      <c r="V304" s="19" t="str">
        <f t="shared" si="28"/>
        <v>n/a</v>
      </c>
    </row>
    <row r="305" spans="1:22" ht="16" x14ac:dyDescent="0.2">
      <c r="A305">
        <f>Users!A303</f>
        <v>0</v>
      </c>
      <c r="B305" s="29" t="e">
        <f>VLOOKUP(A305,Users!A:D,2,FALSE)</f>
        <v>#N/A</v>
      </c>
      <c r="C305" s="29" t="e">
        <f>VLOOKUP(A305,Users!A:D,3,FALSE)</f>
        <v>#N/A</v>
      </c>
      <c r="F305" s="1" cm="1">
        <f t="array" ref="F305">MAX(_xlfn._xlws.FILTER(Visits!U:U,Visits!E:E='User Engagement'!A305))</f>
        <v>0</v>
      </c>
      <c r="G305">
        <f>COUNTIF(Visits!$E$2:$E$995,'User Engagement'!$A305)</f>
        <v>0</v>
      </c>
      <c r="H305">
        <f>COUNTIFS(Visits!$E$2:$E$995,'User Engagement'!$A306,Visits!$U$2:$U$995,"&gt;"&amp;($B$1-7))</f>
        <v>0</v>
      </c>
      <c r="I305">
        <f>COUNTIFS(Visits!$E$2:$E$995,'User Engagement'!$A305,Visits!$U$2:$U$995,"&gt;"&amp;($B$1-30))</f>
        <v>0</v>
      </c>
      <c r="J305">
        <f>COUNTIFS(Visits!$E$2:$E$995,$A305,Visits!$U$2:$U$995,"&gt;"&amp;($B$1-60))-I305</f>
        <v>0</v>
      </c>
      <c r="K305">
        <f>COUNTIFS(Visits!$V:$V,'New Dashboard'!$A$22,Visits!$E:$E,'User Engagement'!$A305)</f>
        <v>0</v>
      </c>
      <c r="L305">
        <f>COUNTIFS(Visits!$V:$V,'New Dashboard'!$A$23,Visits!$E:$E,'User Engagement'!$A305)</f>
        <v>0</v>
      </c>
      <c r="M305">
        <f>COUNTIFS(Visits!$V:$V,'New Dashboard'!$A$24,Visits!$E:$E,'User Engagement'!$A305)</f>
        <v>0</v>
      </c>
      <c r="N305">
        <f>COUNTIFS(Visits!$V:$V,'New Dashboard'!$A$25,Visits!$E:$E,'User Engagement'!$A305)</f>
        <v>0</v>
      </c>
      <c r="O305">
        <f t="shared" si="29"/>
        <v>1</v>
      </c>
      <c r="P305">
        <f t="shared" si="30"/>
        <v>0</v>
      </c>
      <c r="Q305">
        <f t="shared" si="30"/>
        <v>0</v>
      </c>
      <c r="R305">
        <f t="shared" si="26"/>
        <v>0</v>
      </c>
      <c r="S305" s="5">
        <f>SUMIF(Visits!$E$2:$E$89,'User Engagement'!$A305,Visits!$L$2:$L$89)</f>
        <v>0</v>
      </c>
      <c r="T305" s="5">
        <f>SUMIFS(Visits!$L$2:$L$89,Visits!$E$2:$E$89,'User Engagement'!$A305,Visits!$U$2:$U$89,"&gt;3/28/24")</f>
        <v>0</v>
      </c>
      <c r="U305" s="19" t="e">
        <f t="shared" si="27"/>
        <v>#DIV/0!</v>
      </c>
      <c r="V305" s="19" t="str">
        <f t="shared" si="28"/>
        <v>n/a</v>
      </c>
    </row>
    <row r="306" spans="1:22" ht="16" x14ac:dyDescent="0.2">
      <c r="A306">
        <f>Users!A304</f>
        <v>0</v>
      </c>
      <c r="B306" s="29" t="e">
        <f>VLOOKUP(A306,Users!A:D,2,FALSE)</f>
        <v>#N/A</v>
      </c>
      <c r="C306" s="29" t="e">
        <f>VLOOKUP(A306,Users!A:D,3,FALSE)</f>
        <v>#N/A</v>
      </c>
      <c r="F306" s="1" cm="1">
        <f t="array" ref="F306">MAX(_xlfn._xlws.FILTER(Visits!U:U,Visits!E:E='User Engagement'!A306))</f>
        <v>0</v>
      </c>
      <c r="G306">
        <f>COUNTIF(Visits!$E$2:$E$995,'User Engagement'!$A306)</f>
        <v>0</v>
      </c>
      <c r="H306">
        <f>COUNTIFS(Visits!$E$2:$E$995,'User Engagement'!$A307,Visits!$U$2:$U$995,"&gt;"&amp;($B$1-7))</f>
        <v>0</v>
      </c>
      <c r="I306">
        <f>COUNTIFS(Visits!$E$2:$E$995,'User Engagement'!$A306,Visits!$U$2:$U$995,"&gt;"&amp;($B$1-30))</f>
        <v>0</v>
      </c>
      <c r="J306">
        <f>COUNTIFS(Visits!$E$2:$E$995,$A306,Visits!$U$2:$U$995,"&gt;"&amp;($B$1-60))-I306</f>
        <v>0</v>
      </c>
      <c r="K306">
        <f>COUNTIFS(Visits!$V:$V,'New Dashboard'!$A$22,Visits!$E:$E,'User Engagement'!$A306)</f>
        <v>0</v>
      </c>
      <c r="L306">
        <f>COUNTIFS(Visits!$V:$V,'New Dashboard'!$A$23,Visits!$E:$E,'User Engagement'!$A306)</f>
        <v>0</v>
      </c>
      <c r="M306">
        <f>COUNTIFS(Visits!$V:$V,'New Dashboard'!$A$24,Visits!$E:$E,'User Engagement'!$A306)</f>
        <v>0</v>
      </c>
      <c r="N306">
        <f>COUNTIFS(Visits!$V:$V,'New Dashboard'!$A$25,Visits!$E:$E,'User Engagement'!$A306)</f>
        <v>0</v>
      </c>
      <c r="O306">
        <f t="shared" si="29"/>
        <v>1</v>
      </c>
      <c r="P306">
        <f t="shared" si="30"/>
        <v>0</v>
      </c>
      <c r="Q306">
        <f t="shared" si="30"/>
        <v>0</v>
      </c>
      <c r="R306">
        <f t="shared" si="26"/>
        <v>0</v>
      </c>
      <c r="S306" s="5">
        <f>SUMIF(Visits!$E$2:$E$89,'User Engagement'!$A306,Visits!$L$2:$L$89)</f>
        <v>0</v>
      </c>
      <c r="T306" s="5">
        <f>SUMIFS(Visits!$L$2:$L$89,Visits!$E$2:$E$89,'User Engagement'!$A306,Visits!$U$2:$U$89,"&gt;3/28/24")</f>
        <v>0</v>
      </c>
      <c r="U306" s="19" t="e">
        <f t="shared" si="27"/>
        <v>#DIV/0!</v>
      </c>
      <c r="V306" s="19" t="str">
        <f t="shared" si="28"/>
        <v>n/a</v>
      </c>
    </row>
    <row r="307" spans="1:22" ht="16" x14ac:dyDescent="0.2">
      <c r="A307">
        <f>Users!A305</f>
        <v>0</v>
      </c>
      <c r="B307" s="29" t="e">
        <f>VLOOKUP(A307,Users!A:D,2,FALSE)</f>
        <v>#N/A</v>
      </c>
      <c r="C307" s="29" t="e">
        <f>VLOOKUP(A307,Users!A:D,3,FALSE)</f>
        <v>#N/A</v>
      </c>
      <c r="F307" s="1" cm="1">
        <f t="array" ref="F307">MAX(_xlfn._xlws.FILTER(Visits!U:U,Visits!E:E='User Engagement'!A307))</f>
        <v>0</v>
      </c>
      <c r="G307">
        <f>COUNTIF(Visits!$E$2:$E$995,'User Engagement'!$A307)</f>
        <v>0</v>
      </c>
      <c r="H307">
        <f>COUNTIFS(Visits!$E$2:$E$995,'User Engagement'!$A308,Visits!$U$2:$U$995,"&gt;"&amp;($B$1-7))</f>
        <v>0</v>
      </c>
      <c r="I307">
        <f>COUNTIFS(Visits!$E$2:$E$995,'User Engagement'!$A307,Visits!$U$2:$U$995,"&gt;"&amp;($B$1-30))</f>
        <v>0</v>
      </c>
      <c r="J307">
        <f>COUNTIFS(Visits!$E$2:$E$995,$A307,Visits!$U$2:$U$995,"&gt;"&amp;($B$1-60))-I307</f>
        <v>0</v>
      </c>
      <c r="K307">
        <f>COUNTIFS(Visits!$V:$V,'New Dashboard'!$A$22,Visits!$E:$E,'User Engagement'!$A307)</f>
        <v>0</v>
      </c>
      <c r="L307">
        <f>COUNTIFS(Visits!$V:$V,'New Dashboard'!$A$23,Visits!$E:$E,'User Engagement'!$A307)</f>
        <v>0</v>
      </c>
      <c r="M307">
        <f>COUNTIFS(Visits!$V:$V,'New Dashboard'!$A$24,Visits!$E:$E,'User Engagement'!$A307)</f>
        <v>0</v>
      </c>
      <c r="N307">
        <f>COUNTIFS(Visits!$V:$V,'New Dashboard'!$A$25,Visits!$E:$E,'User Engagement'!$A307)</f>
        <v>0</v>
      </c>
      <c r="O307">
        <f t="shared" si="29"/>
        <v>1</v>
      </c>
      <c r="P307">
        <f t="shared" si="30"/>
        <v>0</v>
      </c>
      <c r="Q307">
        <f t="shared" si="30"/>
        <v>0</v>
      </c>
      <c r="R307">
        <f t="shared" si="26"/>
        <v>0</v>
      </c>
      <c r="S307" s="5">
        <f>SUMIF(Visits!$E$2:$E$89,'User Engagement'!$A307,Visits!$L$2:$L$89)</f>
        <v>0</v>
      </c>
      <c r="T307" s="5">
        <f>SUMIFS(Visits!$L$2:$L$89,Visits!$E$2:$E$89,'User Engagement'!$A307,Visits!$U$2:$U$89,"&gt;3/28/24")</f>
        <v>0</v>
      </c>
      <c r="U307" s="19" t="e">
        <f t="shared" si="27"/>
        <v>#DIV/0!</v>
      </c>
      <c r="V307" s="19" t="str">
        <f t="shared" si="28"/>
        <v>n/a</v>
      </c>
    </row>
    <row r="308" spans="1:22" ht="16" x14ac:dyDescent="0.2">
      <c r="A308">
        <f>Users!A306</f>
        <v>0</v>
      </c>
      <c r="B308" s="29" t="e">
        <f>VLOOKUP(A308,Users!A:D,2,FALSE)</f>
        <v>#N/A</v>
      </c>
      <c r="C308" s="29" t="e">
        <f>VLOOKUP(A308,Users!A:D,3,FALSE)</f>
        <v>#N/A</v>
      </c>
      <c r="F308" s="1" cm="1">
        <f t="array" ref="F308">MAX(_xlfn._xlws.FILTER(Visits!U:U,Visits!E:E='User Engagement'!A308))</f>
        <v>0</v>
      </c>
      <c r="G308">
        <f>COUNTIF(Visits!$E$2:$E$995,'User Engagement'!$A308)</f>
        <v>0</v>
      </c>
      <c r="H308">
        <f>COUNTIFS(Visits!$E$2:$E$995,'User Engagement'!$A309,Visits!$U$2:$U$995,"&gt;"&amp;($B$1-7))</f>
        <v>0</v>
      </c>
      <c r="I308">
        <f>COUNTIFS(Visits!$E$2:$E$995,'User Engagement'!$A308,Visits!$U$2:$U$995,"&gt;"&amp;($B$1-30))</f>
        <v>0</v>
      </c>
      <c r="J308">
        <f>COUNTIFS(Visits!$E$2:$E$995,$A308,Visits!$U$2:$U$995,"&gt;"&amp;($B$1-60))-I308</f>
        <v>0</v>
      </c>
      <c r="K308">
        <f>COUNTIFS(Visits!$V:$V,'New Dashboard'!$A$22,Visits!$E:$E,'User Engagement'!$A308)</f>
        <v>0</v>
      </c>
      <c r="L308">
        <f>COUNTIFS(Visits!$V:$V,'New Dashboard'!$A$23,Visits!$E:$E,'User Engagement'!$A308)</f>
        <v>0</v>
      </c>
      <c r="M308">
        <f>COUNTIFS(Visits!$V:$V,'New Dashboard'!$A$24,Visits!$E:$E,'User Engagement'!$A308)</f>
        <v>0</v>
      </c>
      <c r="N308">
        <f>COUNTIFS(Visits!$V:$V,'New Dashboard'!$A$25,Visits!$E:$E,'User Engagement'!$A308)</f>
        <v>0</v>
      </c>
      <c r="O308">
        <f t="shared" si="29"/>
        <v>1</v>
      </c>
      <c r="P308">
        <f t="shared" si="30"/>
        <v>0</v>
      </c>
      <c r="Q308">
        <f t="shared" si="30"/>
        <v>0</v>
      </c>
      <c r="R308">
        <f t="shared" si="26"/>
        <v>0</v>
      </c>
      <c r="S308" s="5">
        <f>SUMIF(Visits!$E$2:$E$89,'User Engagement'!$A308,Visits!$L$2:$L$89)</f>
        <v>0</v>
      </c>
      <c r="T308" s="5">
        <f>SUMIFS(Visits!$L$2:$L$89,Visits!$E$2:$E$89,'User Engagement'!$A308,Visits!$U$2:$U$89,"&gt;3/28/24")</f>
        <v>0</v>
      </c>
      <c r="U308" s="19" t="e">
        <f t="shared" si="27"/>
        <v>#DIV/0!</v>
      </c>
      <c r="V308" s="19" t="str">
        <f t="shared" si="28"/>
        <v>n/a</v>
      </c>
    </row>
    <row r="309" spans="1:22" ht="16" x14ac:dyDescent="0.2">
      <c r="A309">
        <f>Users!A307</f>
        <v>0</v>
      </c>
      <c r="B309" s="29" t="e">
        <f>VLOOKUP(A309,Users!A:D,2,FALSE)</f>
        <v>#N/A</v>
      </c>
      <c r="C309" s="29" t="e">
        <f>VLOOKUP(A309,Users!A:D,3,FALSE)</f>
        <v>#N/A</v>
      </c>
      <c r="F309" s="1" cm="1">
        <f t="array" ref="F309">MAX(_xlfn._xlws.FILTER(Visits!U:U,Visits!E:E='User Engagement'!A309))</f>
        <v>0</v>
      </c>
      <c r="G309">
        <f>COUNTIF(Visits!$E$2:$E$995,'User Engagement'!$A309)</f>
        <v>0</v>
      </c>
      <c r="H309">
        <f>COUNTIFS(Visits!$E$2:$E$995,'User Engagement'!$A310,Visits!$U$2:$U$995,"&gt;"&amp;($B$1-7))</f>
        <v>0</v>
      </c>
      <c r="I309">
        <f>COUNTIFS(Visits!$E$2:$E$995,'User Engagement'!$A309,Visits!$U$2:$U$995,"&gt;"&amp;($B$1-30))</f>
        <v>0</v>
      </c>
      <c r="J309">
        <f>COUNTIFS(Visits!$E$2:$E$995,$A309,Visits!$U$2:$U$995,"&gt;"&amp;($B$1-60))-I309</f>
        <v>0</v>
      </c>
      <c r="K309">
        <f>COUNTIFS(Visits!$V:$V,'New Dashboard'!$A$22,Visits!$E:$E,'User Engagement'!$A309)</f>
        <v>0</v>
      </c>
      <c r="L309">
        <f>COUNTIFS(Visits!$V:$V,'New Dashboard'!$A$23,Visits!$E:$E,'User Engagement'!$A309)</f>
        <v>0</v>
      </c>
      <c r="M309">
        <f>COUNTIFS(Visits!$V:$V,'New Dashboard'!$A$24,Visits!$E:$E,'User Engagement'!$A309)</f>
        <v>0</v>
      </c>
      <c r="N309">
        <f>COUNTIFS(Visits!$V:$V,'New Dashboard'!$A$25,Visits!$E:$E,'User Engagement'!$A309)</f>
        <v>0</v>
      </c>
      <c r="O309">
        <f t="shared" si="29"/>
        <v>1</v>
      </c>
      <c r="P309">
        <f t="shared" si="30"/>
        <v>0</v>
      </c>
      <c r="Q309">
        <f t="shared" si="30"/>
        <v>0</v>
      </c>
      <c r="R309">
        <f t="shared" si="26"/>
        <v>0</v>
      </c>
      <c r="S309" s="5">
        <f>SUMIF(Visits!$E$2:$E$89,'User Engagement'!$A309,Visits!$L$2:$L$89)</f>
        <v>0</v>
      </c>
      <c r="T309" s="5">
        <f>SUMIFS(Visits!$L$2:$L$89,Visits!$E$2:$E$89,'User Engagement'!$A309,Visits!$U$2:$U$89,"&gt;3/28/24")</f>
        <v>0</v>
      </c>
      <c r="U309" s="19" t="e">
        <f t="shared" si="27"/>
        <v>#DIV/0!</v>
      </c>
      <c r="V309" s="19" t="str">
        <f t="shared" si="28"/>
        <v>n/a</v>
      </c>
    </row>
    <row r="310" spans="1:22" ht="16" x14ac:dyDescent="0.2">
      <c r="A310">
        <f>Users!A308</f>
        <v>0</v>
      </c>
      <c r="B310" s="29" t="e">
        <f>VLOOKUP(A310,Users!A:D,2,FALSE)</f>
        <v>#N/A</v>
      </c>
      <c r="C310" s="29" t="e">
        <f>VLOOKUP(A310,Users!A:D,3,FALSE)</f>
        <v>#N/A</v>
      </c>
      <c r="F310" s="1" cm="1">
        <f t="array" ref="F310">MAX(_xlfn._xlws.FILTER(Visits!U:U,Visits!E:E='User Engagement'!A310))</f>
        <v>0</v>
      </c>
      <c r="G310">
        <f>COUNTIF(Visits!$E$2:$E$995,'User Engagement'!$A310)</f>
        <v>0</v>
      </c>
      <c r="H310">
        <f>COUNTIFS(Visits!$E$2:$E$995,'User Engagement'!$A311,Visits!$U$2:$U$995,"&gt;"&amp;($B$1-7))</f>
        <v>0</v>
      </c>
      <c r="I310">
        <f>COUNTIFS(Visits!$E$2:$E$995,'User Engagement'!$A310,Visits!$U$2:$U$995,"&gt;"&amp;($B$1-30))</f>
        <v>0</v>
      </c>
      <c r="J310">
        <f>COUNTIFS(Visits!$E$2:$E$995,$A310,Visits!$U$2:$U$995,"&gt;"&amp;($B$1-60))-I310</f>
        <v>0</v>
      </c>
      <c r="K310">
        <f>COUNTIFS(Visits!$V:$V,'New Dashboard'!$A$22,Visits!$E:$E,'User Engagement'!$A310)</f>
        <v>0</v>
      </c>
      <c r="L310">
        <f>COUNTIFS(Visits!$V:$V,'New Dashboard'!$A$23,Visits!$E:$E,'User Engagement'!$A310)</f>
        <v>0</v>
      </c>
      <c r="M310">
        <f>COUNTIFS(Visits!$V:$V,'New Dashboard'!$A$24,Visits!$E:$E,'User Engagement'!$A310)</f>
        <v>0</v>
      </c>
      <c r="N310">
        <f>COUNTIFS(Visits!$V:$V,'New Dashboard'!$A$25,Visits!$E:$E,'User Engagement'!$A310)</f>
        <v>0</v>
      </c>
      <c r="O310">
        <f t="shared" si="29"/>
        <v>1</v>
      </c>
      <c r="P310">
        <f t="shared" si="30"/>
        <v>0</v>
      </c>
      <c r="Q310">
        <f t="shared" si="30"/>
        <v>0</v>
      </c>
      <c r="R310">
        <f t="shared" si="26"/>
        <v>0</v>
      </c>
      <c r="S310" s="5">
        <f>SUMIF(Visits!$E$2:$E$89,'User Engagement'!$A310,Visits!$L$2:$L$89)</f>
        <v>0</v>
      </c>
      <c r="T310" s="5">
        <f>SUMIFS(Visits!$L$2:$L$89,Visits!$E$2:$E$89,'User Engagement'!$A310,Visits!$U$2:$U$89,"&gt;3/28/24")</f>
        <v>0</v>
      </c>
      <c r="U310" s="19" t="e">
        <f t="shared" si="27"/>
        <v>#DIV/0!</v>
      </c>
      <c r="V310" s="19" t="str">
        <f t="shared" si="28"/>
        <v>n/a</v>
      </c>
    </row>
    <row r="311" spans="1:22" ht="16" x14ac:dyDescent="0.2">
      <c r="A311">
        <f>Users!A309</f>
        <v>0</v>
      </c>
      <c r="B311" s="29" t="e">
        <f>VLOOKUP(A311,Users!A:D,2,FALSE)</f>
        <v>#N/A</v>
      </c>
      <c r="C311" s="29" t="e">
        <f>VLOOKUP(A311,Users!A:D,3,FALSE)</f>
        <v>#N/A</v>
      </c>
      <c r="F311" s="1" cm="1">
        <f t="array" ref="F311">MAX(_xlfn._xlws.FILTER(Visits!U:U,Visits!E:E='User Engagement'!A311))</f>
        <v>0</v>
      </c>
      <c r="G311">
        <f>COUNTIF(Visits!$E$2:$E$995,'User Engagement'!$A311)</f>
        <v>0</v>
      </c>
      <c r="H311">
        <f>COUNTIFS(Visits!$E$2:$E$995,'User Engagement'!$A312,Visits!$U$2:$U$995,"&gt;"&amp;($B$1-7))</f>
        <v>0</v>
      </c>
      <c r="I311">
        <f>COUNTIFS(Visits!$E$2:$E$995,'User Engagement'!$A311,Visits!$U$2:$U$995,"&gt;"&amp;($B$1-30))</f>
        <v>0</v>
      </c>
      <c r="J311">
        <f>COUNTIFS(Visits!$E$2:$E$995,$A311,Visits!$U$2:$U$995,"&gt;"&amp;($B$1-60))-I311</f>
        <v>0</v>
      </c>
      <c r="K311">
        <f>COUNTIFS(Visits!$V:$V,'New Dashboard'!$A$22,Visits!$E:$E,'User Engagement'!$A311)</f>
        <v>0</v>
      </c>
      <c r="L311">
        <f>COUNTIFS(Visits!$V:$V,'New Dashboard'!$A$23,Visits!$E:$E,'User Engagement'!$A311)</f>
        <v>0</v>
      </c>
      <c r="M311">
        <f>COUNTIFS(Visits!$V:$V,'New Dashboard'!$A$24,Visits!$E:$E,'User Engagement'!$A311)</f>
        <v>0</v>
      </c>
      <c r="N311">
        <f>COUNTIFS(Visits!$V:$V,'New Dashboard'!$A$25,Visits!$E:$E,'User Engagement'!$A311)</f>
        <v>0</v>
      </c>
      <c r="O311">
        <f t="shared" si="29"/>
        <v>1</v>
      </c>
      <c r="P311">
        <f t="shared" si="30"/>
        <v>0</v>
      </c>
      <c r="Q311">
        <f t="shared" si="30"/>
        <v>0</v>
      </c>
      <c r="R311">
        <f t="shared" si="26"/>
        <v>0</v>
      </c>
      <c r="S311" s="5">
        <f>SUMIF(Visits!$E$2:$E$89,'User Engagement'!$A311,Visits!$L$2:$L$89)</f>
        <v>0</v>
      </c>
      <c r="T311" s="5">
        <f>SUMIFS(Visits!$L$2:$L$89,Visits!$E$2:$E$89,'User Engagement'!$A311,Visits!$U$2:$U$89,"&gt;3/28/24")</f>
        <v>0</v>
      </c>
      <c r="U311" s="19" t="e">
        <f t="shared" si="27"/>
        <v>#DIV/0!</v>
      </c>
      <c r="V311" s="19" t="str">
        <f t="shared" si="28"/>
        <v>n/a</v>
      </c>
    </row>
    <row r="312" spans="1:22" ht="16" x14ac:dyDescent="0.2">
      <c r="A312">
        <f>Users!A310</f>
        <v>0</v>
      </c>
      <c r="B312" s="29" t="e">
        <f>VLOOKUP(A312,Users!A:D,2,FALSE)</f>
        <v>#N/A</v>
      </c>
      <c r="C312" s="29" t="e">
        <f>VLOOKUP(A312,Users!A:D,3,FALSE)</f>
        <v>#N/A</v>
      </c>
      <c r="F312" s="1" cm="1">
        <f t="array" ref="F312">MAX(_xlfn._xlws.FILTER(Visits!U:U,Visits!E:E='User Engagement'!A312))</f>
        <v>0</v>
      </c>
      <c r="G312">
        <f>COUNTIF(Visits!$E$2:$E$995,'User Engagement'!$A312)</f>
        <v>0</v>
      </c>
      <c r="H312">
        <f>COUNTIFS(Visits!$E$2:$E$995,'User Engagement'!$A313,Visits!$U$2:$U$995,"&gt;"&amp;($B$1-7))</f>
        <v>0</v>
      </c>
      <c r="I312">
        <f>COUNTIFS(Visits!$E$2:$E$995,'User Engagement'!$A312,Visits!$U$2:$U$995,"&gt;"&amp;($B$1-30))</f>
        <v>0</v>
      </c>
      <c r="J312">
        <f>COUNTIFS(Visits!$E$2:$E$995,$A312,Visits!$U$2:$U$995,"&gt;"&amp;($B$1-60))-I312</f>
        <v>0</v>
      </c>
      <c r="K312">
        <f>COUNTIFS(Visits!$V:$V,'New Dashboard'!$A$22,Visits!$E:$E,'User Engagement'!$A312)</f>
        <v>0</v>
      </c>
      <c r="L312">
        <f>COUNTIFS(Visits!$V:$V,'New Dashboard'!$A$23,Visits!$E:$E,'User Engagement'!$A312)</f>
        <v>0</v>
      </c>
      <c r="M312">
        <f>COUNTIFS(Visits!$V:$V,'New Dashboard'!$A$24,Visits!$E:$E,'User Engagement'!$A312)</f>
        <v>0</v>
      </c>
      <c r="N312">
        <f>COUNTIFS(Visits!$V:$V,'New Dashboard'!$A$25,Visits!$E:$E,'User Engagement'!$A312)</f>
        <v>0</v>
      </c>
      <c r="O312">
        <f t="shared" si="29"/>
        <v>1</v>
      </c>
      <c r="P312">
        <f t="shared" si="30"/>
        <v>0</v>
      </c>
      <c r="Q312">
        <f t="shared" si="30"/>
        <v>0</v>
      </c>
      <c r="R312">
        <f t="shared" si="26"/>
        <v>0</v>
      </c>
      <c r="S312" s="5">
        <f>SUMIF(Visits!$E$2:$E$89,'User Engagement'!$A312,Visits!$L$2:$L$89)</f>
        <v>0</v>
      </c>
      <c r="T312" s="5">
        <f>SUMIFS(Visits!$L$2:$L$89,Visits!$E$2:$E$89,'User Engagement'!$A312,Visits!$U$2:$U$89,"&gt;3/28/24")</f>
        <v>0</v>
      </c>
      <c r="U312" s="19" t="e">
        <f t="shared" si="27"/>
        <v>#DIV/0!</v>
      </c>
      <c r="V312" s="19" t="str">
        <f t="shared" si="28"/>
        <v>n/a</v>
      </c>
    </row>
    <row r="313" spans="1:22" ht="16" x14ac:dyDescent="0.2">
      <c r="A313">
        <f>Users!A311</f>
        <v>0</v>
      </c>
      <c r="B313" s="29" t="e">
        <f>VLOOKUP(A313,Users!A:D,2,FALSE)</f>
        <v>#N/A</v>
      </c>
      <c r="C313" s="29" t="e">
        <f>VLOOKUP(A313,Users!A:D,3,FALSE)</f>
        <v>#N/A</v>
      </c>
      <c r="F313" s="1" cm="1">
        <f t="array" ref="F313">MAX(_xlfn._xlws.FILTER(Visits!U:U,Visits!E:E='User Engagement'!A313))</f>
        <v>0</v>
      </c>
      <c r="G313">
        <f>COUNTIF(Visits!$E$2:$E$995,'User Engagement'!$A313)</f>
        <v>0</v>
      </c>
      <c r="H313">
        <f>COUNTIFS(Visits!$E$2:$E$995,'User Engagement'!$A314,Visits!$U$2:$U$995,"&gt;"&amp;($B$1-7))</f>
        <v>0</v>
      </c>
      <c r="I313">
        <f>COUNTIFS(Visits!$E$2:$E$995,'User Engagement'!$A313,Visits!$U$2:$U$995,"&gt;"&amp;($B$1-30))</f>
        <v>0</v>
      </c>
      <c r="J313">
        <f>COUNTIFS(Visits!$E$2:$E$995,$A313,Visits!$U$2:$U$995,"&gt;"&amp;($B$1-60))-I313</f>
        <v>0</v>
      </c>
      <c r="K313">
        <f>COUNTIFS(Visits!$V:$V,'New Dashboard'!$A$22,Visits!$E:$E,'User Engagement'!$A313)</f>
        <v>0</v>
      </c>
      <c r="L313">
        <f>COUNTIFS(Visits!$V:$V,'New Dashboard'!$A$23,Visits!$E:$E,'User Engagement'!$A313)</f>
        <v>0</v>
      </c>
      <c r="M313">
        <f>COUNTIFS(Visits!$V:$V,'New Dashboard'!$A$24,Visits!$E:$E,'User Engagement'!$A313)</f>
        <v>0</v>
      </c>
      <c r="N313">
        <f>COUNTIFS(Visits!$V:$V,'New Dashboard'!$A$25,Visits!$E:$E,'User Engagement'!$A313)</f>
        <v>0</v>
      </c>
      <c r="O313">
        <f t="shared" si="29"/>
        <v>1</v>
      </c>
      <c r="P313">
        <f t="shared" si="30"/>
        <v>0</v>
      </c>
      <c r="Q313">
        <f t="shared" si="30"/>
        <v>0</v>
      </c>
      <c r="R313">
        <f t="shared" si="26"/>
        <v>0</v>
      </c>
      <c r="S313" s="5">
        <f>SUMIF(Visits!$E$2:$E$89,'User Engagement'!$A313,Visits!$L$2:$L$89)</f>
        <v>0</v>
      </c>
      <c r="T313" s="5">
        <f>SUMIFS(Visits!$L$2:$L$89,Visits!$E$2:$E$89,'User Engagement'!$A313,Visits!$U$2:$U$89,"&gt;3/28/24")</f>
        <v>0</v>
      </c>
      <c r="U313" s="19" t="e">
        <f t="shared" si="27"/>
        <v>#DIV/0!</v>
      </c>
      <c r="V313" s="19" t="str">
        <f t="shared" si="28"/>
        <v>n/a</v>
      </c>
    </row>
    <row r="314" spans="1:22" ht="16" x14ac:dyDescent="0.2">
      <c r="A314">
        <f>Users!A312</f>
        <v>0</v>
      </c>
      <c r="B314" s="29" t="e">
        <f>VLOOKUP(A314,Users!A:D,2,FALSE)</f>
        <v>#N/A</v>
      </c>
      <c r="C314" s="29" t="e">
        <f>VLOOKUP(A314,Users!A:D,3,FALSE)</f>
        <v>#N/A</v>
      </c>
      <c r="F314" s="1" cm="1">
        <f t="array" ref="F314">MAX(_xlfn._xlws.FILTER(Visits!U:U,Visits!E:E='User Engagement'!A314))</f>
        <v>0</v>
      </c>
      <c r="G314">
        <f>COUNTIF(Visits!$E$2:$E$995,'User Engagement'!$A314)</f>
        <v>0</v>
      </c>
      <c r="H314">
        <f>COUNTIFS(Visits!$E$2:$E$995,'User Engagement'!$A315,Visits!$U$2:$U$995,"&gt;"&amp;($B$1-7))</f>
        <v>0</v>
      </c>
      <c r="I314">
        <f>COUNTIFS(Visits!$E$2:$E$995,'User Engagement'!$A314,Visits!$U$2:$U$995,"&gt;"&amp;($B$1-30))</f>
        <v>0</v>
      </c>
      <c r="J314">
        <f>COUNTIFS(Visits!$E$2:$E$995,$A314,Visits!$U$2:$U$995,"&gt;"&amp;($B$1-60))-I314</f>
        <v>0</v>
      </c>
      <c r="K314">
        <f>COUNTIFS(Visits!$V:$V,'New Dashboard'!$A$22,Visits!$E:$E,'User Engagement'!$A314)</f>
        <v>0</v>
      </c>
      <c r="L314">
        <f>COUNTIFS(Visits!$V:$V,'New Dashboard'!$A$23,Visits!$E:$E,'User Engagement'!$A314)</f>
        <v>0</v>
      </c>
      <c r="M314">
        <f>COUNTIFS(Visits!$V:$V,'New Dashboard'!$A$24,Visits!$E:$E,'User Engagement'!$A314)</f>
        <v>0</v>
      </c>
      <c r="N314">
        <f>COUNTIFS(Visits!$V:$V,'New Dashboard'!$A$25,Visits!$E:$E,'User Engagement'!$A314)</f>
        <v>0</v>
      </c>
      <c r="O314">
        <f t="shared" si="29"/>
        <v>1</v>
      </c>
      <c r="P314">
        <f t="shared" si="30"/>
        <v>0</v>
      </c>
      <c r="Q314">
        <f t="shared" si="30"/>
        <v>0</v>
      </c>
      <c r="R314">
        <f t="shared" si="26"/>
        <v>0</v>
      </c>
      <c r="S314" s="5">
        <f>SUMIF(Visits!$E$2:$E$89,'User Engagement'!$A314,Visits!$L$2:$L$89)</f>
        <v>0</v>
      </c>
      <c r="T314" s="5">
        <f>SUMIFS(Visits!$L$2:$L$89,Visits!$E$2:$E$89,'User Engagement'!$A314,Visits!$U$2:$U$89,"&gt;3/28/24")</f>
        <v>0</v>
      </c>
      <c r="U314" s="19" t="e">
        <f t="shared" si="27"/>
        <v>#DIV/0!</v>
      </c>
      <c r="V314" s="19" t="str">
        <f t="shared" si="28"/>
        <v>n/a</v>
      </c>
    </row>
    <row r="315" spans="1:22" ht="16" x14ac:dyDescent="0.2">
      <c r="A315">
        <f>Users!A313</f>
        <v>0</v>
      </c>
      <c r="B315" s="29" t="e">
        <f>VLOOKUP(A315,Users!A:D,2,FALSE)</f>
        <v>#N/A</v>
      </c>
      <c r="C315" s="29" t="e">
        <f>VLOOKUP(A315,Users!A:D,3,FALSE)</f>
        <v>#N/A</v>
      </c>
      <c r="F315" s="1" cm="1">
        <f t="array" ref="F315">MAX(_xlfn._xlws.FILTER(Visits!U:U,Visits!E:E='User Engagement'!A315))</f>
        <v>0</v>
      </c>
      <c r="G315">
        <f>COUNTIF(Visits!$E$2:$E$995,'User Engagement'!$A315)</f>
        <v>0</v>
      </c>
      <c r="H315">
        <f>COUNTIFS(Visits!$E$2:$E$995,'User Engagement'!$A316,Visits!$U$2:$U$995,"&gt;"&amp;($B$1-7))</f>
        <v>0</v>
      </c>
      <c r="I315">
        <f>COUNTIFS(Visits!$E$2:$E$995,'User Engagement'!$A315,Visits!$U$2:$U$995,"&gt;"&amp;($B$1-30))</f>
        <v>0</v>
      </c>
      <c r="J315">
        <f>COUNTIFS(Visits!$E$2:$E$995,$A315,Visits!$U$2:$U$995,"&gt;"&amp;($B$1-60))-I315</f>
        <v>0</v>
      </c>
      <c r="K315">
        <f>COUNTIFS(Visits!$V:$V,'New Dashboard'!$A$22,Visits!$E:$E,'User Engagement'!$A315)</f>
        <v>0</v>
      </c>
      <c r="L315">
        <f>COUNTIFS(Visits!$V:$V,'New Dashboard'!$A$23,Visits!$E:$E,'User Engagement'!$A315)</f>
        <v>0</v>
      </c>
      <c r="M315">
        <f>COUNTIFS(Visits!$V:$V,'New Dashboard'!$A$24,Visits!$E:$E,'User Engagement'!$A315)</f>
        <v>0</v>
      </c>
      <c r="N315">
        <f>COUNTIFS(Visits!$V:$V,'New Dashboard'!$A$25,Visits!$E:$E,'User Engagement'!$A315)</f>
        <v>0</v>
      </c>
      <c r="O315">
        <f t="shared" si="29"/>
        <v>1</v>
      </c>
      <c r="P315">
        <f t="shared" si="30"/>
        <v>0</v>
      </c>
      <c r="Q315">
        <f t="shared" si="30"/>
        <v>0</v>
      </c>
      <c r="R315">
        <f t="shared" si="26"/>
        <v>0</v>
      </c>
      <c r="S315" s="5">
        <f>SUMIF(Visits!$E$2:$E$89,'User Engagement'!$A315,Visits!$L$2:$L$89)</f>
        <v>0</v>
      </c>
      <c r="T315" s="5">
        <f>SUMIFS(Visits!$L$2:$L$89,Visits!$E$2:$E$89,'User Engagement'!$A315,Visits!$U$2:$U$89,"&gt;3/28/24")</f>
        <v>0</v>
      </c>
      <c r="U315" s="19" t="e">
        <f t="shared" si="27"/>
        <v>#DIV/0!</v>
      </c>
      <c r="V315" s="19" t="str">
        <f t="shared" si="28"/>
        <v>n/a</v>
      </c>
    </row>
    <row r="316" spans="1:22" ht="16" x14ac:dyDescent="0.2">
      <c r="A316">
        <f>Users!A314</f>
        <v>0</v>
      </c>
      <c r="B316" s="29" t="e">
        <f>VLOOKUP(A316,Users!A:D,2,FALSE)</f>
        <v>#N/A</v>
      </c>
      <c r="C316" s="29" t="e">
        <f>VLOOKUP(A316,Users!A:D,3,FALSE)</f>
        <v>#N/A</v>
      </c>
      <c r="F316" s="1" cm="1">
        <f t="array" ref="F316">MAX(_xlfn._xlws.FILTER(Visits!U:U,Visits!E:E='User Engagement'!A316))</f>
        <v>0</v>
      </c>
      <c r="G316">
        <f>COUNTIF(Visits!$E$2:$E$995,'User Engagement'!$A316)</f>
        <v>0</v>
      </c>
      <c r="H316">
        <f>COUNTIFS(Visits!$E$2:$E$995,'User Engagement'!$A317,Visits!$U$2:$U$995,"&gt;"&amp;($B$1-7))</f>
        <v>0</v>
      </c>
      <c r="I316">
        <f>COUNTIFS(Visits!$E$2:$E$995,'User Engagement'!$A316,Visits!$U$2:$U$995,"&gt;"&amp;($B$1-30))</f>
        <v>0</v>
      </c>
      <c r="J316">
        <f>COUNTIFS(Visits!$E$2:$E$995,$A316,Visits!$U$2:$U$995,"&gt;"&amp;($B$1-60))-I316</f>
        <v>0</v>
      </c>
      <c r="K316">
        <f>COUNTIFS(Visits!$V:$V,'New Dashboard'!$A$22,Visits!$E:$E,'User Engagement'!$A316)</f>
        <v>0</v>
      </c>
      <c r="L316">
        <f>COUNTIFS(Visits!$V:$V,'New Dashboard'!$A$23,Visits!$E:$E,'User Engagement'!$A316)</f>
        <v>0</v>
      </c>
      <c r="M316">
        <f>COUNTIFS(Visits!$V:$V,'New Dashboard'!$A$24,Visits!$E:$E,'User Engagement'!$A316)</f>
        <v>0</v>
      </c>
      <c r="N316">
        <f>COUNTIFS(Visits!$V:$V,'New Dashboard'!$A$25,Visits!$E:$E,'User Engagement'!$A316)</f>
        <v>0</v>
      </c>
      <c r="O316">
        <f t="shared" si="29"/>
        <v>1</v>
      </c>
      <c r="P316">
        <f t="shared" si="30"/>
        <v>0</v>
      </c>
      <c r="Q316">
        <f t="shared" si="30"/>
        <v>0</v>
      </c>
      <c r="R316">
        <f t="shared" si="26"/>
        <v>0</v>
      </c>
      <c r="S316" s="5">
        <f>SUMIF(Visits!$E$2:$E$89,'User Engagement'!$A316,Visits!$L$2:$L$89)</f>
        <v>0</v>
      </c>
      <c r="T316" s="5">
        <f>SUMIFS(Visits!$L$2:$L$89,Visits!$E$2:$E$89,'User Engagement'!$A316,Visits!$U$2:$U$89,"&gt;3/28/24")</f>
        <v>0</v>
      </c>
      <c r="U316" s="19" t="e">
        <f t="shared" si="27"/>
        <v>#DIV/0!</v>
      </c>
      <c r="V316" s="19" t="str">
        <f t="shared" si="28"/>
        <v>n/a</v>
      </c>
    </row>
  </sheetData>
  <autoFilter ref="A3:Y61" xr:uid="{B843ACFC-4ABF-744F-B768-F3DAD832B8CE}">
    <sortState xmlns:xlrd2="http://schemas.microsoft.com/office/spreadsheetml/2017/richdata2" ref="A4:Y61">
      <sortCondition ref="E3:E61"/>
    </sortState>
  </autoFilter>
  <mergeCells count="1">
    <mergeCell ref="S2:V2"/>
  </mergeCells>
  <conditionalFormatting sqref="G4:G316">
    <cfRule type="colorScale" priority="2">
      <colorScale>
        <cfvo type="min"/>
        <cfvo type="max"/>
        <color rgb="FFFCFCFF"/>
        <color rgb="FF63BE7B"/>
      </colorScale>
    </cfRule>
  </conditionalFormatting>
  <conditionalFormatting sqref="I4:I316">
    <cfRule type="colorScale" priority="3">
      <colorScale>
        <cfvo type="min"/>
        <cfvo type="max"/>
        <color rgb="FFFCFCFF"/>
        <color rgb="FF63BE7B"/>
      </colorScale>
    </cfRule>
  </conditionalFormatting>
  <conditionalFormatting sqref="S4:S316">
    <cfRule type="colorScale" priority="1">
      <colorScale>
        <cfvo type="min"/>
        <cfvo type="max"/>
        <color rgb="FFFCFCFF"/>
        <color rgb="FF63BE7B"/>
      </colorScale>
    </cfRule>
  </conditionalFormatting>
  <conditionalFormatting sqref="T4:T316">
    <cfRule type="colorScale" priority="5">
      <colorScale>
        <cfvo type="min"/>
        <cfvo type="max"/>
        <color rgb="FFFCFCFF"/>
        <color rgb="FF63BE7B"/>
      </colorScale>
    </cfRule>
  </conditionalFormatting>
  <conditionalFormatting sqref="U4:U31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8631-129C-4B3F-9FA1-3C0E32A0DE9D}">
  <sheetPr>
    <tabColor rgb="FFFF0000"/>
  </sheetPr>
  <dimension ref="A1:J25"/>
  <sheetViews>
    <sheetView workbookViewId="0">
      <selection activeCell="D22" sqref="D22"/>
    </sheetView>
  </sheetViews>
  <sheetFormatPr baseColWidth="10" defaultColWidth="11" defaultRowHeight="16" x14ac:dyDescent="0.2"/>
  <cols>
    <col min="1" max="1" width="7.1640625" customWidth="1"/>
    <col min="2" max="3" width="12.5" customWidth="1"/>
    <col min="4" max="6" width="13.83203125" customWidth="1"/>
    <col min="7" max="7" width="14" customWidth="1"/>
    <col min="8" max="8" width="13.83203125" customWidth="1"/>
  </cols>
  <sheetData>
    <row r="1" spans="1:8" ht="34" x14ac:dyDescent="0.4">
      <c r="A1" s="89" t="s">
        <v>354</v>
      </c>
    </row>
    <row r="3" spans="1:8" x14ac:dyDescent="0.2">
      <c r="A3" s="99" t="s">
        <v>355</v>
      </c>
      <c r="B3" s="100">
        <v>45474</v>
      </c>
    </row>
    <row r="5" spans="1:8" ht="22" x14ac:dyDescent="0.3">
      <c r="A5" s="105" t="s">
        <v>356</v>
      </c>
      <c r="B5" s="106"/>
      <c r="C5" s="106"/>
      <c r="D5" s="106"/>
      <c r="E5" s="106"/>
      <c r="F5" s="106"/>
      <c r="G5" s="106"/>
      <c r="H5" s="106"/>
    </row>
    <row r="6" spans="1:8" s="108" customFormat="1" ht="31.5" customHeight="1" x14ac:dyDescent="0.2">
      <c r="A6" s="107" t="s">
        <v>357</v>
      </c>
      <c r="B6" s="107" t="s">
        <v>358</v>
      </c>
      <c r="C6" s="107" t="s">
        <v>359</v>
      </c>
      <c r="D6" s="107" t="s">
        <v>360</v>
      </c>
      <c r="E6" s="107" t="s">
        <v>361</v>
      </c>
      <c r="F6" s="107" t="s">
        <v>362</v>
      </c>
      <c r="G6" s="107" t="s">
        <v>363</v>
      </c>
      <c r="H6" s="107" t="s">
        <v>364</v>
      </c>
    </row>
    <row r="7" spans="1:8" x14ac:dyDescent="0.2">
      <c r="A7" s="5">
        <v>1</v>
      </c>
      <c r="B7" s="98">
        <f>B3-7</f>
        <v>45467</v>
      </c>
      <c r="C7" s="98">
        <f>B3-1</f>
        <v>45473</v>
      </c>
      <c r="D7">
        <f>VLOOKUP(C7,'Manual Input'!A:D,2,FALSE)</f>
        <v>0</v>
      </c>
      <c r="F7">
        <f>SUM('User Engagement'!P:P)</f>
        <v>22</v>
      </c>
      <c r="G7">
        <f>VLOOKUP(C7,'Manual Input'!A:D,3,FALSE)</f>
        <v>0</v>
      </c>
      <c r="H7">
        <f>VLOOKUP(C7,'Manual Input'!A:Z,6,FALSE)</f>
        <v>0</v>
      </c>
    </row>
    <row r="8" spans="1:8" x14ac:dyDescent="0.2">
      <c r="A8" s="5">
        <v>2</v>
      </c>
      <c r="B8" s="98">
        <f>B7-7</f>
        <v>45460</v>
      </c>
      <c r="C8" s="98">
        <f>C7-7</f>
        <v>45466</v>
      </c>
      <c r="D8">
        <f>VLOOKUP(C8,'Manual Input'!A:D,2,FALSE)</f>
        <v>0</v>
      </c>
      <c r="G8">
        <f>VLOOKUP(C8,'Manual Input'!A:D,3,FALSE)</f>
        <v>0</v>
      </c>
      <c r="H8">
        <f>VLOOKUP(C8,'Manual Input'!A:Z,6,FALSE)</f>
        <v>0</v>
      </c>
    </row>
    <row r="9" spans="1:8" x14ac:dyDescent="0.2">
      <c r="A9" s="5">
        <v>3</v>
      </c>
      <c r="B9" s="98">
        <f t="shared" ref="B9:B18" si="0">B8-7</f>
        <v>45453</v>
      </c>
      <c r="C9" s="98">
        <f t="shared" ref="C9:C18" si="1">C8-7</f>
        <v>45459</v>
      </c>
      <c r="D9">
        <f>VLOOKUP(C9,'Manual Input'!A:D,2,FALSE)</f>
        <v>0</v>
      </c>
      <c r="G9">
        <f>VLOOKUP(C9,'Manual Input'!A:D,3,FALSE)</f>
        <v>0</v>
      </c>
      <c r="H9">
        <f>VLOOKUP(C9,'Manual Input'!A:Z,6,FALSE)</f>
        <v>3</v>
      </c>
    </row>
    <row r="10" spans="1:8" x14ac:dyDescent="0.2">
      <c r="A10" s="5">
        <v>4</v>
      </c>
      <c r="B10" s="98">
        <f t="shared" si="0"/>
        <v>45446</v>
      </c>
      <c r="C10" s="98">
        <f t="shared" si="1"/>
        <v>45452</v>
      </c>
      <c r="D10">
        <f>VLOOKUP(C10,'Manual Input'!A:D,2,FALSE)</f>
        <v>0</v>
      </c>
      <c r="G10">
        <f>VLOOKUP(C10,'Manual Input'!A:D,3,FALSE)</f>
        <v>0</v>
      </c>
      <c r="H10">
        <f>VLOOKUP(C10,'Manual Input'!A:Z,6,FALSE)</f>
        <v>6</v>
      </c>
    </row>
    <row r="11" spans="1:8" x14ac:dyDescent="0.2">
      <c r="A11" s="5">
        <v>5</v>
      </c>
      <c r="B11" s="98">
        <f t="shared" si="0"/>
        <v>45439</v>
      </c>
      <c r="C11" s="98">
        <f t="shared" si="1"/>
        <v>45445</v>
      </c>
      <c r="D11">
        <f>VLOOKUP(C11,'Manual Input'!A:D,2,FALSE)</f>
        <v>0</v>
      </c>
      <c r="F11">
        <f>SUM('User Engagement'!Q:Q)</f>
        <v>30</v>
      </c>
      <c r="G11">
        <f>VLOOKUP(C11,'Manual Input'!A:D,3,FALSE)</f>
        <v>0</v>
      </c>
      <c r="H11">
        <f>VLOOKUP(C11,'Manual Input'!A:Z,6,FALSE)</f>
        <v>31</v>
      </c>
    </row>
    <row r="12" spans="1:8" x14ac:dyDescent="0.2">
      <c r="A12" s="5">
        <v>6</v>
      </c>
      <c r="B12" s="98">
        <f t="shared" si="0"/>
        <v>45432</v>
      </c>
      <c r="C12" s="98">
        <f t="shared" si="1"/>
        <v>45438</v>
      </c>
      <c r="D12">
        <f>VLOOKUP(C12,'Manual Input'!A:D,2,FALSE)</f>
        <v>0</v>
      </c>
      <c r="G12">
        <f>VLOOKUP(C12,'Manual Input'!A:D,3,FALSE)</f>
        <v>0</v>
      </c>
      <c r="H12">
        <f>VLOOKUP(C12,'Manual Input'!A:Z,6,FALSE)</f>
        <v>11</v>
      </c>
    </row>
    <row r="13" spans="1:8" x14ac:dyDescent="0.2">
      <c r="A13" s="5">
        <v>7</v>
      </c>
      <c r="B13" s="98">
        <f t="shared" si="0"/>
        <v>45425</v>
      </c>
      <c r="C13" s="98">
        <f t="shared" si="1"/>
        <v>45431</v>
      </c>
      <c r="D13">
        <f>VLOOKUP(C13,'Manual Input'!A:D,2,FALSE)</f>
        <v>422</v>
      </c>
      <c r="G13">
        <f>VLOOKUP(C13,'Manual Input'!A:D,3,FALSE)</f>
        <v>0</v>
      </c>
      <c r="H13">
        <f>VLOOKUP(C13,'Manual Input'!A:Z,6,FALSE)</f>
        <v>0</v>
      </c>
    </row>
    <row r="14" spans="1:8" x14ac:dyDescent="0.2">
      <c r="A14" s="5">
        <v>8</v>
      </c>
      <c r="B14" s="98">
        <f t="shared" si="0"/>
        <v>45418</v>
      </c>
      <c r="C14" s="98">
        <f t="shared" si="1"/>
        <v>45424</v>
      </c>
      <c r="D14">
        <f>VLOOKUP(C14,'Manual Input'!A:D,2,FALSE)</f>
        <v>400</v>
      </c>
      <c r="G14">
        <f>VLOOKUP(C14,'Manual Input'!A:D,3,FALSE)</f>
        <v>0</v>
      </c>
      <c r="H14">
        <f>VLOOKUP(C14,'Manual Input'!A:Z,6,FALSE)</f>
        <v>7</v>
      </c>
    </row>
    <row r="15" spans="1:8" x14ac:dyDescent="0.2">
      <c r="A15" s="5">
        <v>9</v>
      </c>
      <c r="B15" s="98">
        <f t="shared" si="0"/>
        <v>45411</v>
      </c>
      <c r="C15" s="98">
        <f t="shared" si="1"/>
        <v>45417</v>
      </c>
      <c r="D15">
        <f>VLOOKUP(C15,'Manual Input'!A:D,2,FALSE)</f>
        <v>388</v>
      </c>
      <c r="G15">
        <f>VLOOKUP(C15,'Manual Input'!A:D,3,FALSE)</f>
        <v>0</v>
      </c>
      <c r="H15">
        <f>VLOOKUP(C15,'Manual Input'!A:Z,6,FALSE)</f>
        <v>0</v>
      </c>
    </row>
    <row r="16" spans="1:8" x14ac:dyDescent="0.2">
      <c r="A16" s="5">
        <v>10</v>
      </c>
      <c r="B16" s="98">
        <f t="shared" si="0"/>
        <v>45404</v>
      </c>
      <c r="C16" s="98">
        <f t="shared" si="1"/>
        <v>45410</v>
      </c>
      <c r="D16">
        <f>VLOOKUP(C16,'Manual Input'!A:D,2,FALSE)</f>
        <v>0</v>
      </c>
      <c r="G16">
        <f>VLOOKUP(C16,'Manual Input'!A:D,3,FALSE)</f>
        <v>0</v>
      </c>
      <c r="H16">
        <f>VLOOKUP(C16,'Manual Input'!A:Z,6,FALSE)</f>
        <v>0</v>
      </c>
    </row>
    <row r="17" spans="1:10" x14ac:dyDescent="0.2">
      <c r="A17" s="5">
        <v>11</v>
      </c>
      <c r="B17" s="98">
        <f t="shared" si="0"/>
        <v>45397</v>
      </c>
      <c r="C17" s="98">
        <f t="shared" si="1"/>
        <v>45403</v>
      </c>
      <c r="D17">
        <f>VLOOKUP(C17,'Manual Input'!A:D,2,FALSE)</f>
        <v>0</v>
      </c>
      <c r="G17">
        <f>VLOOKUP(C17,'Manual Input'!A:D,3,FALSE)</f>
        <v>0</v>
      </c>
      <c r="H17">
        <f>VLOOKUP(C17,'Manual Input'!A:Z,6,FALSE)</f>
        <v>0</v>
      </c>
    </row>
    <row r="18" spans="1:10" x14ac:dyDescent="0.2">
      <c r="A18" s="5">
        <v>12</v>
      </c>
      <c r="B18" s="98">
        <f t="shared" si="0"/>
        <v>45390</v>
      </c>
      <c r="C18" s="98">
        <f t="shared" si="1"/>
        <v>45396</v>
      </c>
      <c r="D18">
        <f>VLOOKUP(C18,'Manual Input'!A:D,2,FALSE)</f>
        <v>362</v>
      </c>
      <c r="G18">
        <f>VLOOKUP(C18,'Manual Input'!A:D,3,FALSE)</f>
        <v>0</v>
      </c>
      <c r="H18">
        <f>VLOOKUP(C18,'Manual Input'!A:Z,6,FALSE)</f>
        <v>1</v>
      </c>
    </row>
    <row r="20" spans="1:10" ht="22" x14ac:dyDescent="0.3">
      <c r="A20" s="105" t="s">
        <v>365</v>
      </c>
      <c r="B20" s="106"/>
      <c r="C20" s="106"/>
      <c r="D20" s="106"/>
      <c r="E20" s="106"/>
      <c r="F20" s="106"/>
      <c r="G20" s="106"/>
      <c r="H20" s="106"/>
      <c r="I20" s="106"/>
    </row>
    <row r="21" spans="1:10" s="108" customFormat="1" ht="36.75" customHeight="1" x14ac:dyDescent="0.2">
      <c r="A21" s="107" t="s">
        <v>366</v>
      </c>
      <c r="B21" s="107" t="s">
        <v>358</v>
      </c>
      <c r="C21" s="107" t="s">
        <v>359</v>
      </c>
      <c r="D21" s="107" t="s">
        <v>362</v>
      </c>
      <c r="E21" s="107" t="s">
        <v>367</v>
      </c>
      <c r="F21" s="107" t="s">
        <v>368</v>
      </c>
      <c r="G21" s="107" t="s">
        <v>369</v>
      </c>
      <c r="H21" s="107" t="s">
        <v>370</v>
      </c>
      <c r="I21" s="107" t="s">
        <v>364</v>
      </c>
    </row>
    <row r="22" spans="1:10" x14ac:dyDescent="0.2">
      <c r="A22" s="5">
        <v>6</v>
      </c>
      <c r="B22" s="98">
        <v>45444</v>
      </c>
      <c r="C22" s="98">
        <v>45473</v>
      </c>
      <c r="D22">
        <f>COUNTIF('User Engagement'!K:K,"&gt;0")</f>
        <v>22</v>
      </c>
      <c r="E22" s="109">
        <f>COUNTIF(Visits!V:V,'New Dashboard'!A22)/D22</f>
        <v>1.3636363636363635</v>
      </c>
      <c r="F22">
        <f>SUMIF(Visits!V:V,'New Dashboard'!A22,Visits!L:L)</f>
        <v>367.5</v>
      </c>
      <c r="G22" s="109">
        <f>F22/D22</f>
        <v>16.704545454545453</v>
      </c>
      <c r="H22" s="24">
        <f>COUNTIF(Visits!V:V,'New Dashboard'!A22)/COUNTIF(Sessions!J:J,'New Dashboard'!A22)</f>
        <v>3.3333333333333335</v>
      </c>
      <c r="I22" s="8">
        <f>COUNTIF(Visits!V:V,'New Dashboard'!A22)</f>
        <v>30</v>
      </c>
    </row>
    <row r="23" spans="1:10" x14ac:dyDescent="0.2">
      <c r="A23" s="5">
        <v>5</v>
      </c>
      <c r="B23" s="98">
        <v>45413</v>
      </c>
      <c r="C23" s="98">
        <v>45443</v>
      </c>
      <c r="D23">
        <f>COUNTIF('User Engagement'!L:L,"&gt;0")</f>
        <v>30</v>
      </c>
      <c r="E23" s="109">
        <f>COUNTIF(Visits!V:V,'New Dashboard'!A23)/D23</f>
        <v>1.2666666666666666</v>
      </c>
      <c r="F23">
        <f>SUMIF(Visits!V:V,'New Dashboard'!A23,Visits!L:L)</f>
        <v>290.5</v>
      </c>
      <c r="G23" s="109">
        <f t="shared" ref="G23:G25" si="2">F23/D23</f>
        <v>9.6833333333333336</v>
      </c>
      <c r="H23" s="24">
        <f>COUNTIF(Visits!V:V,'New Dashboard'!A23)/COUNTIF(Sessions!J:J,'New Dashboard'!A23)</f>
        <v>4.75</v>
      </c>
      <c r="I23" s="8">
        <f>COUNTIF(Visits!V:V,'New Dashboard'!A23)</f>
        <v>38</v>
      </c>
      <c r="J23" s="131"/>
    </row>
    <row r="24" spans="1:10" x14ac:dyDescent="0.2">
      <c r="A24" s="5">
        <v>4</v>
      </c>
      <c r="B24" s="98">
        <v>45383</v>
      </c>
      <c r="C24" s="98">
        <v>45412</v>
      </c>
      <c r="D24">
        <f>COUNTIF('User Engagement'!M:M,"&gt;0")</f>
        <v>23</v>
      </c>
      <c r="E24" s="109">
        <f>COUNTIF(Visits!V:V,'New Dashboard'!A24)/D24</f>
        <v>1.3043478260869565</v>
      </c>
      <c r="F24">
        <f>SUMIF(Visits!V:V,'New Dashboard'!A24,Visits!L:L)</f>
        <v>375</v>
      </c>
      <c r="G24" s="109">
        <f t="shared" si="2"/>
        <v>16.304347826086957</v>
      </c>
      <c r="H24" s="24">
        <f>COUNTIF(Visits!V:V,'New Dashboard'!A24)/COUNTIF(Sessions!J:J,'New Dashboard'!A24)</f>
        <v>6</v>
      </c>
      <c r="I24" s="8">
        <f>COUNTIF(Visits!V:V,'New Dashboard'!A24)</f>
        <v>30</v>
      </c>
      <c r="J24" s="131"/>
    </row>
    <row r="25" spans="1:10" x14ac:dyDescent="0.2">
      <c r="A25" s="5">
        <v>3</v>
      </c>
      <c r="B25" s="98">
        <v>45352</v>
      </c>
      <c r="C25" s="98">
        <v>45382</v>
      </c>
      <c r="D25">
        <f>COUNTIF('User Engagement'!N:N,"&gt;0")</f>
        <v>24</v>
      </c>
      <c r="E25" s="109">
        <f>COUNTIF(Visits!V:V,'New Dashboard'!A25)/D25</f>
        <v>1.2083333333333333</v>
      </c>
      <c r="F25">
        <f>SUMIF(Visits!V:V,'New Dashboard'!A25,Visits!L:L)</f>
        <v>472</v>
      </c>
      <c r="G25" s="109">
        <f t="shared" si="2"/>
        <v>19.666666666666668</v>
      </c>
      <c r="H25" s="24">
        <f>COUNTIF(Visits!V:V,'New Dashboard'!A25)/COUNTIF(Sessions!J:J,'New Dashboard'!A25)</f>
        <v>9.6666666666666661</v>
      </c>
      <c r="I25" s="8">
        <f>COUNTIF(Visits!V:V,'New Dashboard'!A25)</f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6E82-B8AF-3647-8DBB-328A6A871369}">
  <sheetPr>
    <tabColor rgb="FF7030A0"/>
  </sheetPr>
  <dimension ref="A1:AB282"/>
  <sheetViews>
    <sheetView tabSelected="1" topLeftCell="A241" zoomScale="94" zoomScaleNormal="75" workbookViewId="0">
      <selection activeCell="A248" sqref="A248"/>
    </sheetView>
  </sheetViews>
  <sheetFormatPr baseColWidth="10" defaultRowHeight="16" x14ac:dyDescent="0.2"/>
  <cols>
    <col min="1" max="1" width="14.5" style="5" customWidth="1"/>
    <col min="2" max="2" width="10.83203125" style="5"/>
    <col min="3" max="3" width="13" style="18" bestFit="1" customWidth="1"/>
    <col min="4" max="4" width="18.33203125" style="5" bestFit="1" customWidth="1"/>
    <col min="5" max="5" width="7" style="5" bestFit="1" customWidth="1"/>
    <col min="6" max="7" width="7.1640625" style="5" bestFit="1" customWidth="1"/>
    <col min="8" max="8" width="6.83203125" style="5" bestFit="1" customWidth="1"/>
    <col min="9" max="9" width="5.6640625" style="5" bestFit="1" customWidth="1"/>
    <col min="10" max="15" width="6.6640625" style="5" bestFit="1" customWidth="1"/>
    <col min="16" max="17" width="6.1640625" style="5" bestFit="1" customWidth="1"/>
    <col min="18" max="23" width="7.1640625" style="5" bestFit="1" customWidth="1"/>
    <col min="24" max="25" width="5.5" style="5" bestFit="1" customWidth="1"/>
    <col min="26" max="26" width="6.5" style="5" bestFit="1" customWidth="1"/>
    <col min="27" max="27" width="10.5" style="5" bestFit="1" customWidth="1"/>
    <col min="28" max="28" width="20.5" style="5" bestFit="1" customWidth="1"/>
    <col min="29" max="16384" width="10.83203125" style="5"/>
  </cols>
  <sheetData>
    <row r="1" spans="3:4" hidden="1" x14ac:dyDescent="0.2"/>
    <row r="2" spans="3:4" hidden="1" x14ac:dyDescent="0.2"/>
    <row r="3" spans="3:4" hidden="1" x14ac:dyDescent="0.2">
      <c r="C3" s="160" t="s">
        <v>922</v>
      </c>
      <c r="D3" s="5" t="s">
        <v>927</v>
      </c>
    </row>
    <row r="4" spans="3:4" hidden="1" x14ac:dyDescent="0.2">
      <c r="C4" s="18" t="s">
        <v>925</v>
      </c>
    </row>
    <row r="5" spans="3:4" hidden="1" x14ac:dyDescent="0.2">
      <c r="C5" s="18" t="s">
        <v>928</v>
      </c>
      <c r="D5" s="5">
        <v>11</v>
      </c>
    </row>
    <row r="6" spans="3:4" hidden="1" x14ac:dyDescent="0.2">
      <c r="C6" s="18" t="s">
        <v>929</v>
      </c>
      <c r="D6" s="5">
        <v>3</v>
      </c>
    </row>
    <row r="7" spans="3:4" hidden="1" x14ac:dyDescent="0.2">
      <c r="C7" s="18" t="s">
        <v>930</v>
      </c>
      <c r="D7" s="5">
        <v>15</v>
      </c>
    </row>
    <row r="8" spans="3:4" hidden="1" x14ac:dyDescent="0.2">
      <c r="C8" s="18" t="s">
        <v>931</v>
      </c>
      <c r="D8" s="5">
        <v>8</v>
      </c>
    </row>
    <row r="9" spans="3:4" hidden="1" x14ac:dyDescent="0.2">
      <c r="C9" s="18" t="s">
        <v>932</v>
      </c>
      <c r="D9" s="5">
        <v>23</v>
      </c>
    </row>
    <row r="10" spans="3:4" hidden="1" x14ac:dyDescent="0.2">
      <c r="C10" s="18" t="s">
        <v>933</v>
      </c>
      <c r="D10" s="5">
        <v>7</v>
      </c>
    </row>
    <row r="11" spans="3:4" hidden="1" x14ac:dyDescent="0.2">
      <c r="C11" s="18" t="s">
        <v>934</v>
      </c>
      <c r="D11" s="5">
        <v>9</v>
      </c>
    </row>
    <row r="12" spans="3:4" hidden="1" x14ac:dyDescent="0.2">
      <c r="C12" s="18" t="s">
        <v>935</v>
      </c>
      <c r="D12" s="5">
        <v>12</v>
      </c>
    </row>
    <row r="13" spans="3:4" hidden="1" x14ac:dyDescent="0.2">
      <c r="C13" s="18" t="s">
        <v>936</v>
      </c>
      <c r="D13" s="5">
        <v>5</v>
      </c>
    </row>
    <row r="14" spans="3:4" hidden="1" x14ac:dyDescent="0.2">
      <c r="C14" s="18" t="s">
        <v>937</v>
      </c>
      <c r="D14" s="5">
        <v>1</v>
      </c>
    </row>
    <row r="15" spans="3:4" hidden="1" x14ac:dyDescent="0.2">
      <c r="C15" s="18" t="s">
        <v>938</v>
      </c>
      <c r="D15" s="5">
        <v>6</v>
      </c>
    </row>
    <row r="16" spans="3:4" hidden="1" x14ac:dyDescent="0.2">
      <c r="C16" s="18" t="s">
        <v>939</v>
      </c>
      <c r="D16" s="5">
        <v>3</v>
      </c>
    </row>
    <row r="17" spans="3:4" hidden="1" x14ac:dyDescent="0.2">
      <c r="C17" s="18" t="s">
        <v>940</v>
      </c>
      <c r="D17" s="5">
        <v>6</v>
      </c>
    </row>
    <row r="18" spans="3:4" hidden="1" x14ac:dyDescent="0.2">
      <c r="C18" s="18" t="s">
        <v>941</v>
      </c>
      <c r="D18" s="5">
        <v>8</v>
      </c>
    </row>
    <row r="19" spans="3:4" hidden="1" x14ac:dyDescent="0.2">
      <c r="C19" s="18" t="s">
        <v>942</v>
      </c>
      <c r="D19" s="5">
        <v>9</v>
      </c>
    </row>
    <row r="20" spans="3:4" hidden="1" x14ac:dyDescent="0.2">
      <c r="C20" s="18" t="s">
        <v>943</v>
      </c>
      <c r="D20" s="5">
        <v>5</v>
      </c>
    </row>
    <row r="21" spans="3:4" hidden="1" x14ac:dyDescent="0.2">
      <c r="C21" s="18" t="s">
        <v>944</v>
      </c>
      <c r="D21" s="5">
        <v>17</v>
      </c>
    </row>
    <row r="22" spans="3:4" hidden="1" x14ac:dyDescent="0.2">
      <c r="C22" s="18" t="s">
        <v>945</v>
      </c>
      <c r="D22" s="5">
        <v>2</v>
      </c>
    </row>
    <row r="23" spans="3:4" hidden="1" x14ac:dyDescent="0.2">
      <c r="C23" s="18" t="s">
        <v>946</v>
      </c>
      <c r="D23" s="5">
        <v>18</v>
      </c>
    </row>
    <row r="24" spans="3:4" hidden="1" x14ac:dyDescent="0.2">
      <c r="C24" s="18" t="s">
        <v>947</v>
      </c>
      <c r="D24" s="5">
        <v>20</v>
      </c>
    </row>
    <row r="25" spans="3:4" hidden="1" x14ac:dyDescent="0.2">
      <c r="C25" s="18" t="s">
        <v>948</v>
      </c>
      <c r="D25" s="5">
        <v>6</v>
      </c>
    </row>
    <row r="26" spans="3:4" hidden="1" x14ac:dyDescent="0.2">
      <c r="C26" s="18" t="s">
        <v>949</v>
      </c>
      <c r="D26" s="5">
        <v>4</v>
      </c>
    </row>
    <row r="27" spans="3:4" hidden="1" x14ac:dyDescent="0.2">
      <c r="C27" s="18" t="s">
        <v>923</v>
      </c>
      <c r="D27" s="5">
        <v>198</v>
      </c>
    </row>
    <row r="28" spans="3:4" hidden="1" x14ac:dyDescent="0.2"/>
    <row r="29" spans="3:4" hidden="1" x14ac:dyDescent="0.2"/>
    <row r="30" spans="3:4" hidden="1" x14ac:dyDescent="0.2"/>
    <row r="31" spans="3:4" hidden="1" x14ac:dyDescent="0.2"/>
    <row r="32" spans="3:4" hidden="1" x14ac:dyDescent="0.2"/>
    <row r="33" spans="3:27" hidden="1" x14ac:dyDescent="0.2">
      <c r="C33" s="160" t="s">
        <v>927</v>
      </c>
      <c r="D33" s="158" t="s">
        <v>926</v>
      </c>
    </row>
    <row r="34" spans="3:27" hidden="1" x14ac:dyDescent="0.2">
      <c r="C34" s="160" t="s">
        <v>922</v>
      </c>
      <c r="D34" s="5" t="s">
        <v>925</v>
      </c>
      <c r="E34" s="5" t="s">
        <v>928</v>
      </c>
      <c r="F34" s="5" t="s">
        <v>929</v>
      </c>
      <c r="G34" s="5" t="s">
        <v>930</v>
      </c>
      <c r="H34" s="5" t="s">
        <v>931</v>
      </c>
      <c r="I34" s="5" t="s">
        <v>932</v>
      </c>
      <c r="J34" s="5" t="s">
        <v>933</v>
      </c>
      <c r="K34" s="5" t="s">
        <v>934</v>
      </c>
      <c r="L34" s="5" t="s">
        <v>935</v>
      </c>
      <c r="M34" s="5" t="s">
        <v>936</v>
      </c>
      <c r="N34" s="5" t="s">
        <v>937</v>
      </c>
      <c r="O34" s="5" t="s">
        <v>938</v>
      </c>
      <c r="P34" s="5" t="s">
        <v>939</v>
      </c>
      <c r="Q34" s="5" t="s">
        <v>940</v>
      </c>
      <c r="R34" s="5" t="s">
        <v>941</v>
      </c>
      <c r="S34" s="5" t="s">
        <v>942</v>
      </c>
      <c r="T34" s="5" t="s">
        <v>943</v>
      </c>
      <c r="U34" s="5" t="s">
        <v>944</v>
      </c>
      <c r="V34" s="5" t="s">
        <v>945</v>
      </c>
      <c r="W34" s="5" t="s">
        <v>946</v>
      </c>
      <c r="X34" s="5" t="s">
        <v>947</v>
      </c>
      <c r="Y34" s="5" t="s">
        <v>948</v>
      </c>
      <c r="Z34" s="5" t="s">
        <v>949</v>
      </c>
      <c r="AA34" s="5" t="s">
        <v>923</v>
      </c>
    </row>
    <row r="35" spans="3:27" hidden="1" x14ac:dyDescent="0.2">
      <c r="C35" s="18" t="s">
        <v>522</v>
      </c>
      <c r="U35" s="5">
        <v>1</v>
      </c>
      <c r="AA35" s="5">
        <v>1</v>
      </c>
    </row>
    <row r="36" spans="3:27" hidden="1" x14ac:dyDescent="0.2">
      <c r="C36" s="18" t="s">
        <v>122</v>
      </c>
      <c r="E36" s="5">
        <v>1</v>
      </c>
      <c r="K36" s="5">
        <v>1</v>
      </c>
      <c r="S36" s="5">
        <v>1</v>
      </c>
      <c r="T36" s="5">
        <v>1</v>
      </c>
      <c r="AA36" s="5">
        <v>4</v>
      </c>
    </row>
    <row r="37" spans="3:27" hidden="1" x14ac:dyDescent="0.2">
      <c r="C37" s="18" t="s">
        <v>124</v>
      </c>
      <c r="E37" s="5">
        <v>1</v>
      </c>
      <c r="AA37" s="5">
        <v>1</v>
      </c>
    </row>
    <row r="38" spans="3:27" hidden="1" x14ac:dyDescent="0.2">
      <c r="C38" s="18" t="s">
        <v>511</v>
      </c>
      <c r="Q38" s="5">
        <v>1</v>
      </c>
      <c r="AA38" s="5">
        <v>1</v>
      </c>
    </row>
    <row r="39" spans="3:27" hidden="1" x14ac:dyDescent="0.2">
      <c r="C39" s="18" t="s">
        <v>439</v>
      </c>
      <c r="W39" s="5">
        <v>1</v>
      </c>
      <c r="AA39" s="5">
        <v>1</v>
      </c>
    </row>
    <row r="40" spans="3:27" hidden="1" x14ac:dyDescent="0.2">
      <c r="C40" s="18" t="s">
        <v>159</v>
      </c>
      <c r="I40" s="5">
        <v>1</v>
      </c>
      <c r="AA40" s="5">
        <v>1</v>
      </c>
    </row>
    <row r="41" spans="3:27" hidden="1" x14ac:dyDescent="0.2">
      <c r="C41" s="18" t="s">
        <v>162</v>
      </c>
      <c r="I41" s="5">
        <v>1</v>
      </c>
      <c r="AA41" s="5">
        <v>1</v>
      </c>
    </row>
    <row r="42" spans="3:27" hidden="1" x14ac:dyDescent="0.2">
      <c r="C42" s="18" t="s">
        <v>449</v>
      </c>
      <c r="X42" s="5">
        <v>1</v>
      </c>
      <c r="AA42" s="5">
        <v>1</v>
      </c>
    </row>
    <row r="43" spans="3:27" hidden="1" x14ac:dyDescent="0.2">
      <c r="C43" s="18" t="s">
        <v>452</v>
      </c>
      <c r="U43" s="5">
        <v>1</v>
      </c>
      <c r="AA43" s="5">
        <v>1</v>
      </c>
    </row>
    <row r="44" spans="3:27" hidden="1" x14ac:dyDescent="0.2">
      <c r="C44" s="18" t="s">
        <v>885</v>
      </c>
      <c r="X44" s="5">
        <v>1</v>
      </c>
      <c r="AA44" s="5">
        <v>1</v>
      </c>
    </row>
    <row r="45" spans="3:27" hidden="1" x14ac:dyDescent="0.2">
      <c r="C45" s="18" t="s">
        <v>172</v>
      </c>
      <c r="M45" s="5">
        <v>1</v>
      </c>
      <c r="AA45" s="5">
        <v>1</v>
      </c>
    </row>
    <row r="46" spans="3:27" hidden="1" x14ac:dyDescent="0.2">
      <c r="C46" s="18" t="s">
        <v>155</v>
      </c>
      <c r="G46" s="5">
        <v>1</v>
      </c>
      <c r="I46" s="5">
        <v>1</v>
      </c>
      <c r="AA46" s="5">
        <v>2</v>
      </c>
    </row>
    <row r="47" spans="3:27" hidden="1" x14ac:dyDescent="0.2">
      <c r="C47" s="18" t="s">
        <v>459</v>
      </c>
      <c r="X47" s="5">
        <v>1</v>
      </c>
      <c r="Y47" s="5">
        <v>1</v>
      </c>
      <c r="AA47" s="5">
        <v>2</v>
      </c>
    </row>
    <row r="48" spans="3:27" hidden="1" x14ac:dyDescent="0.2">
      <c r="C48" s="18" t="s">
        <v>541</v>
      </c>
      <c r="J48" s="5">
        <v>1</v>
      </c>
      <c r="AA48" s="5">
        <v>1</v>
      </c>
    </row>
    <row r="49" spans="3:27" hidden="1" x14ac:dyDescent="0.2">
      <c r="C49" s="18" t="s">
        <v>503</v>
      </c>
      <c r="X49" s="5">
        <v>1</v>
      </c>
      <c r="AA49" s="5">
        <v>1</v>
      </c>
    </row>
    <row r="50" spans="3:27" hidden="1" x14ac:dyDescent="0.2">
      <c r="C50" s="18" t="s">
        <v>468</v>
      </c>
      <c r="V50" s="5">
        <v>1</v>
      </c>
      <c r="X50" s="5">
        <v>1</v>
      </c>
      <c r="AA50" s="5">
        <v>2</v>
      </c>
    </row>
    <row r="51" spans="3:27" hidden="1" x14ac:dyDescent="0.2">
      <c r="C51" s="18" t="s">
        <v>127</v>
      </c>
      <c r="F51" s="5">
        <v>1</v>
      </c>
      <c r="G51" s="5">
        <v>1</v>
      </c>
      <c r="H51" s="5">
        <v>1</v>
      </c>
      <c r="J51" s="5">
        <v>1</v>
      </c>
      <c r="P51" s="5">
        <v>1</v>
      </c>
      <c r="U51" s="5">
        <v>1</v>
      </c>
      <c r="W51" s="5">
        <v>1</v>
      </c>
      <c r="X51" s="5">
        <v>1</v>
      </c>
      <c r="Z51" s="5">
        <v>1</v>
      </c>
      <c r="AA51" s="5">
        <v>9</v>
      </c>
    </row>
    <row r="52" spans="3:27" hidden="1" x14ac:dyDescent="0.2">
      <c r="C52" s="18" t="s">
        <v>138</v>
      </c>
      <c r="I52" s="5">
        <v>1</v>
      </c>
      <c r="L52" s="5">
        <v>1</v>
      </c>
      <c r="X52" s="5">
        <v>1</v>
      </c>
      <c r="AA52" s="5">
        <v>3</v>
      </c>
    </row>
    <row r="53" spans="3:27" hidden="1" x14ac:dyDescent="0.2">
      <c r="C53" s="18" t="s">
        <v>474</v>
      </c>
      <c r="X53" s="5">
        <v>1</v>
      </c>
      <c r="AA53" s="5">
        <v>1</v>
      </c>
    </row>
    <row r="54" spans="3:27" hidden="1" x14ac:dyDescent="0.2">
      <c r="C54" s="18" t="s">
        <v>163</v>
      </c>
      <c r="I54" s="5">
        <v>1</v>
      </c>
      <c r="U54" s="5">
        <v>1</v>
      </c>
      <c r="AA54" s="5">
        <v>2</v>
      </c>
    </row>
    <row r="55" spans="3:27" hidden="1" x14ac:dyDescent="0.2">
      <c r="C55" s="18" t="s">
        <v>119</v>
      </c>
      <c r="E55" s="5">
        <v>1</v>
      </c>
      <c r="H55" s="5">
        <v>1</v>
      </c>
      <c r="I55" s="5">
        <v>1</v>
      </c>
      <c r="K55" s="5">
        <v>1</v>
      </c>
      <c r="L55" s="5">
        <v>1</v>
      </c>
      <c r="U55" s="5">
        <v>1</v>
      </c>
      <c r="V55" s="5">
        <v>1</v>
      </c>
      <c r="W55" s="5">
        <v>1</v>
      </c>
      <c r="X55" s="5">
        <v>1</v>
      </c>
      <c r="AA55" s="5">
        <v>9</v>
      </c>
    </row>
    <row r="56" spans="3:27" hidden="1" x14ac:dyDescent="0.2">
      <c r="C56" s="18" t="s">
        <v>482</v>
      </c>
      <c r="W56" s="5">
        <v>1</v>
      </c>
      <c r="AA56" s="5">
        <v>1</v>
      </c>
    </row>
    <row r="57" spans="3:27" hidden="1" x14ac:dyDescent="0.2">
      <c r="C57" s="18" t="s">
        <v>486</v>
      </c>
      <c r="P57" s="5">
        <v>1</v>
      </c>
      <c r="S57" s="5">
        <v>1</v>
      </c>
      <c r="AA57" s="5">
        <v>2</v>
      </c>
    </row>
    <row r="58" spans="3:27" hidden="1" x14ac:dyDescent="0.2">
      <c r="C58" s="18" t="s">
        <v>154</v>
      </c>
      <c r="G58" s="5">
        <v>1</v>
      </c>
      <c r="AA58" s="5">
        <v>1</v>
      </c>
    </row>
    <row r="59" spans="3:27" hidden="1" x14ac:dyDescent="0.2">
      <c r="C59" s="18" t="s">
        <v>478</v>
      </c>
      <c r="X59" s="5">
        <v>1</v>
      </c>
      <c r="AA59" s="5">
        <v>1</v>
      </c>
    </row>
    <row r="60" spans="3:27" hidden="1" x14ac:dyDescent="0.2">
      <c r="C60" s="18" t="s">
        <v>892</v>
      </c>
      <c r="Y60" s="5">
        <v>1</v>
      </c>
      <c r="AA60" s="5">
        <v>1</v>
      </c>
    </row>
    <row r="61" spans="3:27" hidden="1" x14ac:dyDescent="0.2">
      <c r="C61" s="18" t="s">
        <v>499</v>
      </c>
      <c r="S61" s="5">
        <v>1</v>
      </c>
      <c r="AA61" s="5">
        <v>1</v>
      </c>
    </row>
    <row r="62" spans="3:27" hidden="1" x14ac:dyDescent="0.2">
      <c r="C62" s="18" t="s">
        <v>171</v>
      </c>
      <c r="K62" s="5">
        <v>1</v>
      </c>
      <c r="AA62" s="5">
        <v>1</v>
      </c>
    </row>
    <row r="63" spans="3:27" hidden="1" x14ac:dyDescent="0.2">
      <c r="C63" s="18" t="s">
        <v>495</v>
      </c>
      <c r="W63" s="5">
        <v>1</v>
      </c>
      <c r="AA63" s="5">
        <v>1</v>
      </c>
    </row>
    <row r="64" spans="3:27" hidden="1" x14ac:dyDescent="0.2">
      <c r="C64" s="18" t="s">
        <v>168</v>
      </c>
      <c r="K64" s="5">
        <v>1</v>
      </c>
      <c r="AA64" s="5">
        <v>1</v>
      </c>
    </row>
    <row r="65" spans="3:27" hidden="1" x14ac:dyDescent="0.2">
      <c r="C65" s="18" t="s">
        <v>889</v>
      </c>
      <c r="Y65" s="5">
        <v>1</v>
      </c>
      <c r="AA65" s="5">
        <v>1</v>
      </c>
    </row>
    <row r="66" spans="3:27" hidden="1" x14ac:dyDescent="0.2">
      <c r="C66" s="18" t="s">
        <v>145</v>
      </c>
      <c r="H66" s="5">
        <v>1</v>
      </c>
      <c r="L66" s="5">
        <v>1</v>
      </c>
      <c r="Q66" s="5">
        <v>1</v>
      </c>
      <c r="W66" s="5">
        <v>1</v>
      </c>
      <c r="AA66" s="5">
        <v>4</v>
      </c>
    </row>
    <row r="67" spans="3:27" hidden="1" x14ac:dyDescent="0.2">
      <c r="C67" s="18" t="s">
        <v>508</v>
      </c>
      <c r="S67" s="5">
        <v>1</v>
      </c>
      <c r="AA67" s="5">
        <v>1</v>
      </c>
    </row>
    <row r="68" spans="3:27" hidden="1" x14ac:dyDescent="0.2">
      <c r="C68" s="18" t="s">
        <v>152</v>
      </c>
      <c r="G68" s="5">
        <v>1</v>
      </c>
      <c r="AA68" s="5">
        <v>1</v>
      </c>
    </row>
    <row r="69" spans="3:27" hidden="1" x14ac:dyDescent="0.2">
      <c r="C69" s="18" t="s">
        <v>515</v>
      </c>
      <c r="N69" s="5">
        <v>1</v>
      </c>
      <c r="AA69" s="5">
        <v>1</v>
      </c>
    </row>
    <row r="70" spans="3:27" hidden="1" x14ac:dyDescent="0.2">
      <c r="C70" s="18" t="s">
        <v>170</v>
      </c>
      <c r="J70" s="5">
        <v>1</v>
      </c>
      <c r="AA70" s="5">
        <v>1</v>
      </c>
    </row>
    <row r="71" spans="3:27" hidden="1" x14ac:dyDescent="0.2">
      <c r="C71" s="18" t="s">
        <v>526</v>
      </c>
      <c r="U71" s="5">
        <v>1</v>
      </c>
      <c r="W71" s="5">
        <v>1</v>
      </c>
      <c r="Y71" s="5">
        <v>1</v>
      </c>
      <c r="AA71" s="5">
        <v>3</v>
      </c>
    </row>
    <row r="72" spans="3:27" hidden="1" x14ac:dyDescent="0.2">
      <c r="C72" s="18" t="s">
        <v>158</v>
      </c>
      <c r="I72" s="5">
        <v>1</v>
      </c>
      <c r="L72" s="5">
        <v>1</v>
      </c>
      <c r="AA72" s="5">
        <v>2</v>
      </c>
    </row>
    <row r="73" spans="3:27" hidden="1" x14ac:dyDescent="0.2">
      <c r="C73" s="18" t="s">
        <v>150</v>
      </c>
      <c r="G73" s="5">
        <v>1</v>
      </c>
      <c r="AA73" s="5">
        <v>1</v>
      </c>
    </row>
    <row r="74" spans="3:27" hidden="1" x14ac:dyDescent="0.2">
      <c r="C74" s="18" t="s">
        <v>490</v>
      </c>
      <c r="W74" s="5">
        <v>1</v>
      </c>
      <c r="AA74" s="5">
        <v>1</v>
      </c>
    </row>
    <row r="75" spans="3:27" hidden="1" x14ac:dyDescent="0.2">
      <c r="C75" s="18" t="s">
        <v>530</v>
      </c>
      <c r="R75" s="5">
        <v>1</v>
      </c>
      <c r="U75" s="5">
        <v>1</v>
      </c>
      <c r="Z75" s="5">
        <v>1</v>
      </c>
      <c r="AA75" s="5">
        <v>3</v>
      </c>
    </row>
    <row r="76" spans="3:27" hidden="1" x14ac:dyDescent="0.2">
      <c r="C76" s="18" t="s">
        <v>579</v>
      </c>
      <c r="I76" s="5">
        <v>1</v>
      </c>
      <c r="AA76" s="5">
        <v>1</v>
      </c>
    </row>
    <row r="77" spans="3:27" hidden="1" x14ac:dyDescent="0.2">
      <c r="C77" s="18" t="s">
        <v>176</v>
      </c>
      <c r="L77" s="5">
        <v>1</v>
      </c>
      <c r="AA77" s="5">
        <v>1</v>
      </c>
    </row>
    <row r="78" spans="3:27" hidden="1" x14ac:dyDescent="0.2">
      <c r="C78" s="18" t="s">
        <v>160</v>
      </c>
      <c r="I78" s="5">
        <v>1</v>
      </c>
      <c r="AA78" s="5">
        <v>1</v>
      </c>
    </row>
    <row r="79" spans="3:27" hidden="1" x14ac:dyDescent="0.2">
      <c r="C79" s="18" t="s">
        <v>144</v>
      </c>
      <c r="H79" s="5">
        <v>1</v>
      </c>
      <c r="I79" s="5">
        <v>1</v>
      </c>
      <c r="S79" s="5">
        <v>1</v>
      </c>
      <c r="W79" s="5">
        <v>1</v>
      </c>
      <c r="AA79" s="5">
        <v>4</v>
      </c>
    </row>
    <row r="80" spans="3:27" hidden="1" x14ac:dyDescent="0.2">
      <c r="C80" s="18" t="s">
        <v>537</v>
      </c>
      <c r="X80" s="5">
        <v>1</v>
      </c>
      <c r="AA80" s="5">
        <v>1</v>
      </c>
    </row>
    <row r="81" spans="3:27" hidden="1" x14ac:dyDescent="0.2">
      <c r="C81" s="18" t="s">
        <v>177</v>
      </c>
      <c r="L81" s="5">
        <v>1</v>
      </c>
      <c r="AA81" s="5">
        <v>1</v>
      </c>
    </row>
    <row r="82" spans="3:27" hidden="1" x14ac:dyDescent="0.2">
      <c r="C82" s="18" t="s">
        <v>128</v>
      </c>
      <c r="F82" s="5">
        <v>1</v>
      </c>
      <c r="L82" s="5">
        <v>1</v>
      </c>
      <c r="AA82" s="5">
        <v>2</v>
      </c>
    </row>
    <row r="83" spans="3:27" hidden="1" x14ac:dyDescent="0.2">
      <c r="C83" s="18" t="s">
        <v>121</v>
      </c>
      <c r="H83" s="5">
        <v>1</v>
      </c>
      <c r="I83" s="5">
        <v>1</v>
      </c>
      <c r="J83" s="5">
        <v>1</v>
      </c>
      <c r="O83" s="5">
        <v>1</v>
      </c>
      <c r="Q83" s="5">
        <v>1</v>
      </c>
      <c r="R83" s="5">
        <v>1</v>
      </c>
      <c r="T83" s="5">
        <v>1</v>
      </c>
      <c r="W83" s="5">
        <v>1</v>
      </c>
      <c r="AA83" s="5">
        <v>8</v>
      </c>
    </row>
    <row r="84" spans="3:27" hidden="1" x14ac:dyDescent="0.2">
      <c r="C84" s="18" t="s">
        <v>178</v>
      </c>
      <c r="M84" s="5">
        <v>1</v>
      </c>
      <c r="R84" s="5">
        <v>1</v>
      </c>
      <c r="AA84" s="5">
        <v>2</v>
      </c>
    </row>
    <row r="85" spans="3:27" hidden="1" x14ac:dyDescent="0.2">
      <c r="C85" s="18" t="s">
        <v>570</v>
      </c>
      <c r="R85" s="5">
        <v>1</v>
      </c>
      <c r="AA85" s="5">
        <v>1</v>
      </c>
    </row>
    <row r="86" spans="3:27" hidden="1" x14ac:dyDescent="0.2">
      <c r="C86" s="18" t="s">
        <v>133</v>
      </c>
      <c r="E86" s="5">
        <v>1</v>
      </c>
      <c r="L86" s="5">
        <v>1</v>
      </c>
      <c r="U86" s="5">
        <v>1</v>
      </c>
      <c r="AA86" s="5">
        <v>3</v>
      </c>
    </row>
    <row r="87" spans="3:27" hidden="1" x14ac:dyDescent="0.2">
      <c r="C87" s="18" t="s">
        <v>554</v>
      </c>
      <c r="W87" s="5">
        <v>1</v>
      </c>
      <c r="AA87" s="5">
        <v>1</v>
      </c>
    </row>
    <row r="88" spans="3:27" hidden="1" x14ac:dyDescent="0.2">
      <c r="C88" s="18" t="s">
        <v>562</v>
      </c>
      <c r="S88" s="5">
        <v>1</v>
      </c>
      <c r="AA88" s="5">
        <v>1</v>
      </c>
    </row>
    <row r="89" spans="3:27" hidden="1" x14ac:dyDescent="0.2">
      <c r="C89" s="18" t="s">
        <v>139</v>
      </c>
      <c r="G89" s="5">
        <v>1</v>
      </c>
      <c r="I89" s="5">
        <v>1</v>
      </c>
      <c r="AA89" s="5">
        <v>2</v>
      </c>
    </row>
    <row r="90" spans="3:27" hidden="1" x14ac:dyDescent="0.2">
      <c r="C90" s="18" t="s">
        <v>115</v>
      </c>
      <c r="E90" s="5">
        <v>1</v>
      </c>
      <c r="G90" s="5">
        <v>1</v>
      </c>
      <c r="K90" s="5">
        <v>1</v>
      </c>
      <c r="T90" s="5">
        <v>1</v>
      </c>
      <c r="AA90" s="5">
        <v>4</v>
      </c>
    </row>
    <row r="91" spans="3:27" hidden="1" x14ac:dyDescent="0.2">
      <c r="C91" s="18" t="s">
        <v>175</v>
      </c>
      <c r="L91" s="5">
        <v>1</v>
      </c>
      <c r="O91" s="5">
        <v>1</v>
      </c>
      <c r="S91" s="5">
        <v>1</v>
      </c>
      <c r="T91" s="5">
        <v>1</v>
      </c>
      <c r="W91" s="5">
        <v>1</v>
      </c>
      <c r="AA91" s="5">
        <v>5</v>
      </c>
    </row>
    <row r="92" spans="3:27" hidden="1" x14ac:dyDescent="0.2">
      <c r="C92" s="18" t="s">
        <v>565</v>
      </c>
      <c r="X92" s="5">
        <v>1</v>
      </c>
      <c r="Y92" s="5">
        <v>1</v>
      </c>
      <c r="AA92" s="5">
        <v>2</v>
      </c>
    </row>
    <row r="93" spans="3:27" hidden="1" x14ac:dyDescent="0.2">
      <c r="C93" s="18" t="s">
        <v>560</v>
      </c>
      <c r="U93" s="5">
        <v>1</v>
      </c>
      <c r="X93" s="5">
        <v>1</v>
      </c>
      <c r="AA93" s="5">
        <v>2</v>
      </c>
    </row>
    <row r="94" spans="3:27" hidden="1" x14ac:dyDescent="0.2">
      <c r="C94" s="18" t="s">
        <v>157</v>
      </c>
      <c r="G94" s="5">
        <v>1</v>
      </c>
      <c r="U94" s="5">
        <v>1</v>
      </c>
      <c r="X94" s="5">
        <v>1</v>
      </c>
      <c r="AA94" s="5">
        <v>3</v>
      </c>
    </row>
    <row r="95" spans="3:27" hidden="1" x14ac:dyDescent="0.2">
      <c r="C95" s="18" t="s">
        <v>574</v>
      </c>
      <c r="W95" s="5">
        <v>1</v>
      </c>
      <c r="AA95" s="5">
        <v>1</v>
      </c>
    </row>
    <row r="96" spans="3:27" hidden="1" x14ac:dyDescent="0.2">
      <c r="C96" s="18" t="s">
        <v>137</v>
      </c>
      <c r="H96" s="5">
        <v>1</v>
      </c>
      <c r="I96" s="5">
        <v>1</v>
      </c>
      <c r="P96" s="5">
        <v>1</v>
      </c>
      <c r="AA96" s="5">
        <v>3</v>
      </c>
    </row>
    <row r="97" spans="3:27" hidden="1" x14ac:dyDescent="0.2">
      <c r="C97" s="18" t="s">
        <v>143</v>
      </c>
      <c r="E97" s="5">
        <v>1</v>
      </c>
      <c r="AA97" s="5">
        <v>1</v>
      </c>
    </row>
    <row r="98" spans="3:27" hidden="1" x14ac:dyDescent="0.2">
      <c r="C98" s="18" t="s">
        <v>875</v>
      </c>
      <c r="W98" s="5">
        <v>1</v>
      </c>
      <c r="AA98" s="5">
        <v>1</v>
      </c>
    </row>
    <row r="99" spans="3:27" hidden="1" x14ac:dyDescent="0.2">
      <c r="C99" s="18" t="s">
        <v>174</v>
      </c>
      <c r="M99" s="5">
        <v>1</v>
      </c>
      <c r="AA99" s="5">
        <v>1</v>
      </c>
    </row>
    <row r="100" spans="3:27" hidden="1" x14ac:dyDescent="0.2">
      <c r="C100" s="18" t="s">
        <v>583</v>
      </c>
      <c r="W100" s="5">
        <v>1</v>
      </c>
      <c r="AA100" s="5">
        <v>1</v>
      </c>
    </row>
    <row r="101" spans="3:27" hidden="1" x14ac:dyDescent="0.2">
      <c r="C101" s="18" t="s">
        <v>125</v>
      </c>
      <c r="E101" s="5">
        <v>1</v>
      </c>
      <c r="G101" s="5">
        <v>1</v>
      </c>
      <c r="H101" s="5">
        <v>1</v>
      </c>
      <c r="I101" s="5">
        <v>1</v>
      </c>
      <c r="K101" s="5">
        <v>1</v>
      </c>
      <c r="O101" s="5">
        <v>1</v>
      </c>
      <c r="Q101" s="5">
        <v>1</v>
      </c>
      <c r="X101" s="5">
        <v>1</v>
      </c>
      <c r="Y101" s="5">
        <v>1</v>
      </c>
      <c r="AA101" s="5">
        <v>9</v>
      </c>
    </row>
    <row r="102" spans="3:27" hidden="1" x14ac:dyDescent="0.2">
      <c r="C102" s="18" t="s">
        <v>161</v>
      </c>
      <c r="I102" s="5">
        <v>1</v>
      </c>
      <c r="U102" s="5">
        <v>1</v>
      </c>
      <c r="AA102" s="5">
        <v>2</v>
      </c>
    </row>
    <row r="103" spans="3:27" hidden="1" x14ac:dyDescent="0.2">
      <c r="C103" s="18" t="s">
        <v>129</v>
      </c>
      <c r="F103" s="5">
        <v>1</v>
      </c>
      <c r="AA103" s="5">
        <v>1</v>
      </c>
    </row>
    <row r="104" spans="3:27" hidden="1" x14ac:dyDescent="0.2">
      <c r="C104" s="18" t="s">
        <v>590</v>
      </c>
      <c r="W104" s="5">
        <v>1</v>
      </c>
      <c r="AA104" s="5">
        <v>1</v>
      </c>
    </row>
    <row r="105" spans="3:27" hidden="1" x14ac:dyDescent="0.2">
      <c r="C105" s="18" t="s">
        <v>131</v>
      </c>
      <c r="I105" s="5">
        <v>1</v>
      </c>
      <c r="U105" s="5">
        <v>2</v>
      </c>
      <c r="AA105" s="5">
        <v>3</v>
      </c>
    </row>
    <row r="106" spans="3:27" hidden="1" x14ac:dyDescent="0.2">
      <c r="C106" s="18" t="s">
        <v>151</v>
      </c>
      <c r="G106" s="5">
        <v>1</v>
      </c>
      <c r="AA106" s="5">
        <v>1</v>
      </c>
    </row>
    <row r="107" spans="3:27" hidden="1" x14ac:dyDescent="0.2">
      <c r="C107" s="18" t="s">
        <v>165</v>
      </c>
      <c r="G107" s="5">
        <v>1</v>
      </c>
      <c r="I107" s="5">
        <v>1</v>
      </c>
      <c r="R107" s="5">
        <v>1</v>
      </c>
      <c r="U107" s="5">
        <v>1</v>
      </c>
      <c r="X107" s="5">
        <v>1</v>
      </c>
      <c r="Z107" s="5">
        <v>1</v>
      </c>
      <c r="AA107" s="5">
        <v>6</v>
      </c>
    </row>
    <row r="108" spans="3:27" hidden="1" x14ac:dyDescent="0.2">
      <c r="C108" s="18" t="s">
        <v>132</v>
      </c>
      <c r="K108" s="5">
        <v>1</v>
      </c>
      <c r="L108" s="5">
        <v>1</v>
      </c>
      <c r="T108" s="5">
        <v>1</v>
      </c>
      <c r="W108" s="5">
        <v>1</v>
      </c>
      <c r="X108" s="5">
        <v>1</v>
      </c>
      <c r="Z108" s="5">
        <v>1</v>
      </c>
      <c r="AA108" s="5">
        <v>6</v>
      </c>
    </row>
    <row r="109" spans="3:27" hidden="1" x14ac:dyDescent="0.2">
      <c r="C109" s="18" t="s">
        <v>602</v>
      </c>
      <c r="O109" s="5">
        <v>1</v>
      </c>
      <c r="S109" s="5">
        <v>1</v>
      </c>
      <c r="AA109" s="5">
        <v>2</v>
      </c>
    </row>
    <row r="110" spans="3:27" hidden="1" x14ac:dyDescent="0.2">
      <c r="C110" s="18" t="s">
        <v>605</v>
      </c>
      <c r="X110" s="5">
        <v>1</v>
      </c>
      <c r="AA110" s="5">
        <v>1</v>
      </c>
    </row>
    <row r="111" spans="3:27" hidden="1" x14ac:dyDescent="0.2">
      <c r="C111" s="18" t="s">
        <v>153</v>
      </c>
      <c r="G111" s="5">
        <v>1</v>
      </c>
      <c r="AA111" s="5">
        <v>1</v>
      </c>
    </row>
    <row r="112" spans="3:27" hidden="1" x14ac:dyDescent="0.2">
      <c r="C112" s="18" t="s">
        <v>147</v>
      </c>
      <c r="H112" s="5">
        <v>1</v>
      </c>
      <c r="AA112" s="5">
        <v>1</v>
      </c>
    </row>
    <row r="113" spans="3:27" hidden="1" x14ac:dyDescent="0.2">
      <c r="C113" s="18" t="s">
        <v>135</v>
      </c>
      <c r="E113" s="5">
        <v>1</v>
      </c>
      <c r="I113" s="5">
        <v>1</v>
      </c>
      <c r="Q113" s="5">
        <v>1</v>
      </c>
      <c r="AA113" s="5">
        <v>3</v>
      </c>
    </row>
    <row r="114" spans="3:27" hidden="1" x14ac:dyDescent="0.2">
      <c r="C114" s="18" t="s">
        <v>142</v>
      </c>
      <c r="E114" s="5">
        <v>1</v>
      </c>
      <c r="AA114" s="5">
        <v>1</v>
      </c>
    </row>
    <row r="115" spans="3:27" hidden="1" x14ac:dyDescent="0.2">
      <c r="C115" s="18" t="s">
        <v>148</v>
      </c>
      <c r="I115" s="5">
        <v>1</v>
      </c>
      <c r="AA115" s="5">
        <v>1</v>
      </c>
    </row>
    <row r="116" spans="3:27" hidden="1" x14ac:dyDescent="0.2">
      <c r="C116" s="18" t="s">
        <v>164</v>
      </c>
      <c r="I116" s="5">
        <v>1</v>
      </c>
      <c r="AA116" s="5">
        <v>1</v>
      </c>
    </row>
    <row r="117" spans="3:27" hidden="1" x14ac:dyDescent="0.2">
      <c r="C117" s="18" t="s">
        <v>614</v>
      </c>
      <c r="U117" s="5">
        <v>1</v>
      </c>
      <c r="AA117" s="5">
        <v>1</v>
      </c>
    </row>
    <row r="118" spans="3:27" hidden="1" x14ac:dyDescent="0.2">
      <c r="C118" s="18" t="s">
        <v>611</v>
      </c>
      <c r="Q118" s="5">
        <v>1</v>
      </c>
      <c r="AA118" s="5">
        <v>1</v>
      </c>
    </row>
    <row r="119" spans="3:27" hidden="1" x14ac:dyDescent="0.2">
      <c r="C119" s="18" t="s">
        <v>120</v>
      </c>
      <c r="G119" s="5">
        <v>1</v>
      </c>
      <c r="I119" s="5">
        <v>1</v>
      </c>
      <c r="J119" s="5">
        <v>1</v>
      </c>
      <c r="M119" s="5">
        <v>1</v>
      </c>
      <c r="O119" s="5">
        <v>1</v>
      </c>
      <c r="R119" s="5">
        <v>1</v>
      </c>
      <c r="W119" s="5">
        <v>1</v>
      </c>
      <c r="X119" s="5">
        <v>1</v>
      </c>
      <c r="AA119" s="5">
        <v>8</v>
      </c>
    </row>
    <row r="120" spans="3:27" hidden="1" x14ac:dyDescent="0.2">
      <c r="C120" s="18" t="s">
        <v>618</v>
      </c>
      <c r="I120" s="5">
        <v>1</v>
      </c>
      <c r="AA120" s="5">
        <v>1</v>
      </c>
    </row>
    <row r="121" spans="3:27" hidden="1" x14ac:dyDescent="0.2">
      <c r="C121" s="18" t="s">
        <v>141</v>
      </c>
      <c r="E121" s="5">
        <v>1</v>
      </c>
      <c r="AA121" s="5">
        <v>1</v>
      </c>
    </row>
    <row r="122" spans="3:27" hidden="1" x14ac:dyDescent="0.2">
      <c r="C122" s="18" t="s">
        <v>173</v>
      </c>
      <c r="I122" s="5">
        <v>1</v>
      </c>
      <c r="M122" s="5">
        <v>1</v>
      </c>
      <c r="AA122" s="5">
        <v>2</v>
      </c>
    </row>
    <row r="123" spans="3:27" hidden="1" x14ac:dyDescent="0.2">
      <c r="C123" s="18" t="s">
        <v>136</v>
      </c>
      <c r="E123" s="5">
        <v>1</v>
      </c>
      <c r="K123" s="5">
        <v>1</v>
      </c>
      <c r="AA123" s="5">
        <v>2</v>
      </c>
    </row>
    <row r="124" spans="3:27" hidden="1" x14ac:dyDescent="0.2">
      <c r="C124" s="18" t="s">
        <v>627</v>
      </c>
      <c r="X124" s="5">
        <v>1</v>
      </c>
      <c r="AA124" s="5">
        <v>1</v>
      </c>
    </row>
    <row r="125" spans="3:27" hidden="1" x14ac:dyDescent="0.2">
      <c r="C125" s="18" t="s">
        <v>167</v>
      </c>
      <c r="J125" s="5">
        <v>1</v>
      </c>
      <c r="R125" s="5">
        <v>1</v>
      </c>
      <c r="AA125" s="5">
        <v>2</v>
      </c>
    </row>
    <row r="126" spans="3:27" hidden="1" x14ac:dyDescent="0.2">
      <c r="C126" s="18" t="s">
        <v>545</v>
      </c>
      <c r="S126" s="5">
        <v>1</v>
      </c>
      <c r="AA126" s="5">
        <v>1</v>
      </c>
    </row>
    <row r="127" spans="3:27" hidden="1" x14ac:dyDescent="0.2">
      <c r="C127" s="18" t="s">
        <v>621</v>
      </c>
      <c r="O127" s="5">
        <v>1</v>
      </c>
      <c r="AA127" s="5">
        <v>1</v>
      </c>
    </row>
    <row r="128" spans="3:27" hidden="1" x14ac:dyDescent="0.2">
      <c r="C128" s="18" t="s">
        <v>633</v>
      </c>
      <c r="R128" s="5">
        <v>1</v>
      </c>
      <c r="U128" s="5">
        <v>1</v>
      </c>
      <c r="AA128" s="5">
        <v>2</v>
      </c>
    </row>
    <row r="129" spans="3:27" hidden="1" x14ac:dyDescent="0.2">
      <c r="C129" s="18" t="s">
        <v>169</v>
      </c>
      <c r="K129" s="5">
        <v>1</v>
      </c>
      <c r="AA129" s="5">
        <v>1</v>
      </c>
    </row>
    <row r="130" spans="3:27" hidden="1" x14ac:dyDescent="0.2">
      <c r="C130" s="18" t="s">
        <v>166</v>
      </c>
      <c r="J130" s="5">
        <v>1</v>
      </c>
      <c r="L130" s="5">
        <v>1</v>
      </c>
      <c r="AA130" s="5">
        <v>2</v>
      </c>
    </row>
    <row r="131" spans="3:27" hidden="1" x14ac:dyDescent="0.2">
      <c r="C131" s="18" t="s">
        <v>924</v>
      </c>
    </row>
    <row r="132" spans="3:27" hidden="1" x14ac:dyDescent="0.2">
      <c r="C132" s="5" t="s">
        <v>954</v>
      </c>
      <c r="U132" s="5">
        <v>1</v>
      </c>
      <c r="AA132" s="5">
        <v>1</v>
      </c>
    </row>
    <row r="133" spans="3:27" hidden="1" x14ac:dyDescent="0.2">
      <c r="C133" s="5" t="s">
        <v>956</v>
      </c>
      <c r="G133" s="5">
        <v>1</v>
      </c>
      <c r="AA133" s="5">
        <v>1</v>
      </c>
    </row>
    <row r="134" spans="3:27" hidden="1" x14ac:dyDescent="0.2">
      <c r="C134" s="5" t="s">
        <v>958</v>
      </c>
      <c r="G134" s="5">
        <v>1</v>
      </c>
      <c r="AA134" s="5">
        <v>1</v>
      </c>
    </row>
    <row r="135" spans="3:27" hidden="1" x14ac:dyDescent="0.2">
      <c r="C135" s="5" t="s">
        <v>959</v>
      </c>
      <c r="L135" s="5">
        <v>1</v>
      </c>
      <c r="AA135" s="5">
        <v>1</v>
      </c>
    </row>
    <row r="136" spans="3:27" hidden="1" x14ac:dyDescent="0.2">
      <c r="C136" s="18" t="s">
        <v>923</v>
      </c>
      <c r="E136" s="5">
        <v>11</v>
      </c>
      <c r="F136" s="5">
        <v>3</v>
      </c>
      <c r="G136" s="5">
        <v>15</v>
      </c>
      <c r="H136" s="5">
        <v>8</v>
      </c>
      <c r="I136" s="5">
        <v>23</v>
      </c>
      <c r="J136" s="5">
        <v>7</v>
      </c>
      <c r="K136" s="5">
        <v>9</v>
      </c>
      <c r="L136" s="5">
        <v>12</v>
      </c>
      <c r="M136" s="5">
        <v>5</v>
      </c>
      <c r="N136" s="5">
        <v>1</v>
      </c>
      <c r="O136" s="5">
        <v>6</v>
      </c>
      <c r="P136" s="5">
        <v>3</v>
      </c>
      <c r="Q136" s="5">
        <v>6</v>
      </c>
      <c r="R136" s="5">
        <v>8</v>
      </c>
      <c r="S136" s="5">
        <v>9</v>
      </c>
      <c r="T136" s="5">
        <v>5</v>
      </c>
      <c r="U136" s="5">
        <v>17</v>
      </c>
      <c r="V136" s="5">
        <v>2</v>
      </c>
      <c r="W136" s="5">
        <v>18</v>
      </c>
      <c r="X136" s="5">
        <v>20</v>
      </c>
      <c r="Y136" s="5">
        <v>6</v>
      </c>
      <c r="Z136" s="5">
        <v>4</v>
      </c>
      <c r="AA136" s="5">
        <v>198</v>
      </c>
    </row>
    <row r="137" spans="3:27" hidden="1" x14ac:dyDescent="0.2">
      <c r="C137" s="161" t="s">
        <v>953</v>
      </c>
    </row>
    <row r="138" spans="3:27" hidden="1" x14ac:dyDescent="0.2">
      <c r="E138" s="159"/>
    </row>
    <row r="139" spans="3:27" hidden="1" x14ac:dyDescent="0.2">
      <c r="C139" s="18" t="str">
        <f>C35</f>
        <v>6.saracchi@gmail.com</v>
      </c>
      <c r="E139" s="5">
        <f>E35</f>
        <v>0</v>
      </c>
      <c r="F139" s="5">
        <f>IF(SUM($E139:E139)=1,0,F35)</f>
        <v>0</v>
      </c>
      <c r="G139" s="5">
        <f>IF(SUM($E139:F139)=1,0,G35)</f>
        <v>0</v>
      </c>
      <c r="H139" s="5">
        <f>IF(SUM($E139:G139)=1,0,H35)</f>
        <v>0</v>
      </c>
      <c r="I139" s="5">
        <f>IF(SUM($E139:H139)=1,0,I35)</f>
        <v>0</v>
      </c>
      <c r="J139" s="5">
        <f>IF(SUM($E139:I139)=1,0,J35)</f>
        <v>0</v>
      </c>
      <c r="K139" s="5">
        <f>IF(SUM($E139:J139)=1,0,K35)</f>
        <v>0</v>
      </c>
      <c r="L139" s="5">
        <f>IF(SUM($E139:K139)=1,0,L35)</f>
        <v>0</v>
      </c>
      <c r="M139" s="5">
        <f>IF(SUM($E139:L139)=1,0,M35)</f>
        <v>0</v>
      </c>
      <c r="N139" s="5">
        <f>IF(SUM($E139:M139)=1,0,N35)</f>
        <v>0</v>
      </c>
      <c r="O139" s="5">
        <f>IF(SUM($E139:N139)=1,0,O35)</f>
        <v>0</v>
      </c>
      <c r="P139" s="5">
        <f>IF(SUM($E139:O139)=1,0,P35)</f>
        <v>0</v>
      </c>
      <c r="Q139" s="5">
        <f>IF(SUM($E139:P139)=1,0,Q35)</f>
        <v>0</v>
      </c>
      <c r="R139" s="5">
        <f>IF(SUM($E139:Q139)=1,0,R35)</f>
        <v>0</v>
      </c>
      <c r="S139" s="5">
        <f>IF(SUM($E139:R139)=1,0,S35)</f>
        <v>0</v>
      </c>
      <c r="T139" s="5">
        <f>IF(SUM($E139:S139)=1,0,T35)</f>
        <v>0</v>
      </c>
      <c r="U139" s="5">
        <f>IF(SUM($E139:T139)=1,0,U35)</f>
        <v>1</v>
      </c>
      <c r="V139" s="5">
        <f>IF(SUM($E139:U139)=1,0,V35)</f>
        <v>0</v>
      </c>
      <c r="W139" s="5">
        <f>IF(SUM($E139:V139)=1,0,W35)</f>
        <v>0</v>
      </c>
      <c r="X139" s="5">
        <f>IF(SUM($E139:W139)=1,0,X35)</f>
        <v>0</v>
      </c>
      <c r="Y139" s="5">
        <f>IF(SUM($E139:X139)=1,0,Y35)</f>
        <v>0</v>
      </c>
      <c r="Z139" s="5">
        <f>IF(SUM($E139:Y139)=1,0,Z35)</f>
        <v>0</v>
      </c>
      <c r="AA139" s="5">
        <f>SUM(E139:Z139)</f>
        <v>1</v>
      </c>
    </row>
    <row r="140" spans="3:27" hidden="1" x14ac:dyDescent="0.2">
      <c r="C140" s="18" t="str">
        <f t="shared" ref="C140:C203" si="0">C36</f>
        <v>aidanakassymova@gmail.com</v>
      </c>
      <c r="E140" s="5">
        <f t="shared" ref="E140:E203" si="1">E36</f>
        <v>1</v>
      </c>
      <c r="F140" s="5">
        <f>IF(SUM($E140:E140)=1,0,F36)</f>
        <v>0</v>
      </c>
      <c r="G140" s="5">
        <f>IF(SUM($E140:F140)=1,0,G36)</f>
        <v>0</v>
      </c>
      <c r="H140" s="5">
        <f>IF(SUM($E140:G140)=1,0,H36)</f>
        <v>0</v>
      </c>
      <c r="I140" s="5">
        <f>IF(SUM($E140:H140)=1,0,I36)</f>
        <v>0</v>
      </c>
      <c r="J140" s="5">
        <f>IF(SUM($E140:I140)=1,0,J36)</f>
        <v>0</v>
      </c>
      <c r="K140" s="5">
        <f>IF(SUM($E140:J140)=1,0,K36)</f>
        <v>0</v>
      </c>
      <c r="L140" s="5">
        <f>IF(SUM($E140:K140)=1,0,L36)</f>
        <v>0</v>
      </c>
      <c r="M140" s="5">
        <f>IF(SUM($E140:L140)=1,0,M36)</f>
        <v>0</v>
      </c>
      <c r="N140" s="5">
        <f>IF(SUM($E140:M140)=1,0,N36)</f>
        <v>0</v>
      </c>
      <c r="O140" s="5">
        <f>IF(SUM($E140:N140)=1,0,O36)</f>
        <v>0</v>
      </c>
      <c r="P140" s="5">
        <f>IF(SUM($E140:O140)=1,0,P36)</f>
        <v>0</v>
      </c>
      <c r="Q140" s="5">
        <f>IF(SUM($E140:P140)=1,0,Q36)</f>
        <v>0</v>
      </c>
      <c r="R140" s="5">
        <f>IF(SUM($E140:Q140)=1,0,R36)</f>
        <v>0</v>
      </c>
      <c r="S140" s="5">
        <f>IF(SUM($E140:R140)=1,0,S36)</f>
        <v>0</v>
      </c>
      <c r="T140" s="5">
        <f>IF(SUM($E140:S140)=1,0,T36)</f>
        <v>0</v>
      </c>
      <c r="U140" s="5">
        <f>IF(SUM($E140:T140)=1,0,U36)</f>
        <v>0</v>
      </c>
      <c r="V140" s="5">
        <f>IF(SUM($E140:U140)=1,0,V36)</f>
        <v>0</v>
      </c>
      <c r="W140" s="5">
        <f>IF(SUM($E140:V140)=1,0,W36)</f>
        <v>0</v>
      </c>
      <c r="X140" s="5">
        <f>IF(SUM($E140:W140)=1,0,X36)</f>
        <v>0</v>
      </c>
      <c r="Y140" s="5">
        <f>IF(SUM($E140:X140)=1,0,Y36)</f>
        <v>0</v>
      </c>
      <c r="Z140" s="5">
        <f>IF(SUM($E140:Y140)=1,0,Z36)</f>
        <v>0</v>
      </c>
      <c r="AA140" s="5">
        <f t="shared" ref="AA140:AA203" si="2">SUM(E140:Z140)</f>
        <v>1</v>
      </c>
    </row>
    <row r="141" spans="3:27" hidden="1" x14ac:dyDescent="0.2">
      <c r="C141" s="18" t="str">
        <f t="shared" si="0"/>
        <v>alekseypleshkov17@gmail.com</v>
      </c>
      <c r="E141" s="5">
        <f t="shared" si="1"/>
        <v>1</v>
      </c>
      <c r="F141" s="5">
        <f>IF(SUM($E141:E141)=1,0,F37)</f>
        <v>0</v>
      </c>
      <c r="G141" s="5">
        <f>IF(SUM($E141:F141)=1,0,G37)</f>
        <v>0</v>
      </c>
      <c r="H141" s="5">
        <f>IF(SUM($E141:G141)=1,0,H37)</f>
        <v>0</v>
      </c>
      <c r="I141" s="5">
        <f>IF(SUM($E141:H141)=1,0,I37)</f>
        <v>0</v>
      </c>
      <c r="J141" s="5">
        <f>IF(SUM($E141:I141)=1,0,J37)</f>
        <v>0</v>
      </c>
      <c r="K141" s="5">
        <f>IF(SUM($E141:J141)=1,0,K37)</f>
        <v>0</v>
      </c>
      <c r="L141" s="5">
        <f>IF(SUM($E141:K141)=1,0,L37)</f>
        <v>0</v>
      </c>
      <c r="M141" s="5">
        <f>IF(SUM($E141:L141)=1,0,M37)</f>
        <v>0</v>
      </c>
      <c r="N141" s="5">
        <f>IF(SUM($E141:M141)=1,0,N37)</f>
        <v>0</v>
      </c>
      <c r="O141" s="5">
        <f>IF(SUM($E141:N141)=1,0,O37)</f>
        <v>0</v>
      </c>
      <c r="P141" s="5">
        <f>IF(SUM($E141:O141)=1,0,P37)</f>
        <v>0</v>
      </c>
      <c r="Q141" s="5">
        <f>IF(SUM($E141:P141)=1,0,Q37)</f>
        <v>0</v>
      </c>
      <c r="R141" s="5">
        <f>IF(SUM($E141:Q141)=1,0,R37)</f>
        <v>0</v>
      </c>
      <c r="S141" s="5">
        <f>IF(SUM($E141:R141)=1,0,S37)</f>
        <v>0</v>
      </c>
      <c r="T141" s="5">
        <f>IF(SUM($E141:S141)=1,0,T37)</f>
        <v>0</v>
      </c>
      <c r="U141" s="5">
        <f>IF(SUM($E141:T141)=1,0,U37)</f>
        <v>0</v>
      </c>
      <c r="V141" s="5">
        <f>IF(SUM($E141:U141)=1,0,V37)</f>
        <v>0</v>
      </c>
      <c r="W141" s="5">
        <f>IF(SUM($E141:V141)=1,0,W37)</f>
        <v>0</v>
      </c>
      <c r="X141" s="5">
        <f>IF(SUM($E141:W141)=1,0,X37)</f>
        <v>0</v>
      </c>
      <c r="Y141" s="5">
        <f>IF(SUM($E141:X141)=1,0,Y37)</f>
        <v>0</v>
      </c>
      <c r="Z141" s="5">
        <f>IF(SUM($E141:Y141)=1,0,Z37)</f>
        <v>0</v>
      </c>
      <c r="AA141" s="5">
        <f t="shared" si="2"/>
        <v>1</v>
      </c>
    </row>
    <row r="142" spans="3:27" hidden="1" x14ac:dyDescent="0.2">
      <c r="C142" s="18" t="str">
        <f t="shared" si="0"/>
        <v>alena.german.71@gmail.com</v>
      </c>
      <c r="E142" s="5">
        <f t="shared" si="1"/>
        <v>0</v>
      </c>
      <c r="F142" s="5">
        <f>IF(SUM($E142:E142)=1,0,F38)</f>
        <v>0</v>
      </c>
      <c r="G142" s="5">
        <f>IF(SUM($E142:F142)=1,0,G38)</f>
        <v>0</v>
      </c>
      <c r="H142" s="5">
        <f>IF(SUM($E142:G142)=1,0,H38)</f>
        <v>0</v>
      </c>
      <c r="I142" s="5">
        <f>IF(SUM($E142:H142)=1,0,I38)</f>
        <v>0</v>
      </c>
      <c r="J142" s="5">
        <f>IF(SUM($E142:I142)=1,0,J38)</f>
        <v>0</v>
      </c>
      <c r="K142" s="5">
        <f>IF(SUM($E142:J142)=1,0,K38)</f>
        <v>0</v>
      </c>
      <c r="L142" s="5">
        <f>IF(SUM($E142:K142)=1,0,L38)</f>
        <v>0</v>
      </c>
      <c r="M142" s="5">
        <f>IF(SUM($E142:L142)=1,0,M38)</f>
        <v>0</v>
      </c>
      <c r="N142" s="5">
        <f>IF(SUM($E142:M142)=1,0,N38)</f>
        <v>0</v>
      </c>
      <c r="O142" s="5">
        <f>IF(SUM($E142:N142)=1,0,O38)</f>
        <v>0</v>
      </c>
      <c r="P142" s="5">
        <f>IF(SUM($E142:O142)=1,0,P38)</f>
        <v>0</v>
      </c>
      <c r="Q142" s="5">
        <f>IF(SUM($E142:P142)=1,0,Q38)</f>
        <v>1</v>
      </c>
      <c r="R142" s="5">
        <f>IF(SUM($E142:Q142)=1,0,R38)</f>
        <v>0</v>
      </c>
      <c r="S142" s="5">
        <f>IF(SUM($E142:R142)=1,0,S38)</f>
        <v>0</v>
      </c>
      <c r="T142" s="5">
        <f>IF(SUM($E142:S142)=1,0,T38)</f>
        <v>0</v>
      </c>
      <c r="U142" s="5">
        <f>IF(SUM($E142:T142)=1,0,U38)</f>
        <v>0</v>
      </c>
      <c r="V142" s="5">
        <f>IF(SUM($E142:U142)=1,0,V38)</f>
        <v>0</v>
      </c>
      <c r="W142" s="5">
        <f>IF(SUM($E142:V142)=1,0,W38)</f>
        <v>0</v>
      </c>
      <c r="X142" s="5">
        <f>IF(SUM($E142:W142)=1,0,X38)</f>
        <v>0</v>
      </c>
      <c r="Y142" s="5">
        <f>IF(SUM($E142:X142)=1,0,Y38)</f>
        <v>0</v>
      </c>
      <c r="Z142" s="5">
        <f>IF(SUM($E142:Y142)=1,0,Z38)</f>
        <v>0</v>
      </c>
      <c r="AA142" s="5">
        <f t="shared" si="2"/>
        <v>1</v>
      </c>
    </row>
    <row r="143" spans="3:27" hidden="1" x14ac:dyDescent="0.2">
      <c r="C143" s="18" t="str">
        <f t="shared" si="0"/>
        <v>alina.flatscher@gmail.com</v>
      </c>
      <c r="E143" s="5">
        <f t="shared" si="1"/>
        <v>0</v>
      </c>
      <c r="F143" s="5">
        <f>IF(SUM($E143:E143)=1,0,F39)</f>
        <v>0</v>
      </c>
      <c r="G143" s="5">
        <f>IF(SUM($E143:F143)=1,0,G39)</f>
        <v>0</v>
      </c>
      <c r="H143" s="5">
        <f>IF(SUM($E143:G143)=1,0,H39)</f>
        <v>0</v>
      </c>
      <c r="I143" s="5">
        <f>IF(SUM($E143:H143)=1,0,I39)</f>
        <v>0</v>
      </c>
      <c r="J143" s="5">
        <f>IF(SUM($E143:I143)=1,0,J39)</f>
        <v>0</v>
      </c>
      <c r="K143" s="5">
        <f>IF(SUM($E143:J143)=1,0,K39)</f>
        <v>0</v>
      </c>
      <c r="L143" s="5">
        <f>IF(SUM($E143:K143)=1,0,L39)</f>
        <v>0</v>
      </c>
      <c r="M143" s="5">
        <f>IF(SUM($E143:L143)=1,0,M39)</f>
        <v>0</v>
      </c>
      <c r="N143" s="5">
        <f>IF(SUM($E143:M143)=1,0,N39)</f>
        <v>0</v>
      </c>
      <c r="O143" s="5">
        <f>IF(SUM($E143:N143)=1,0,O39)</f>
        <v>0</v>
      </c>
      <c r="P143" s="5">
        <f>IF(SUM($E143:O143)=1,0,P39)</f>
        <v>0</v>
      </c>
      <c r="Q143" s="5">
        <f>IF(SUM($E143:P143)=1,0,Q39)</f>
        <v>0</v>
      </c>
      <c r="R143" s="5">
        <f>IF(SUM($E143:Q143)=1,0,R39)</f>
        <v>0</v>
      </c>
      <c r="S143" s="5">
        <f>IF(SUM($E143:R143)=1,0,S39)</f>
        <v>0</v>
      </c>
      <c r="T143" s="5">
        <f>IF(SUM($E143:S143)=1,0,T39)</f>
        <v>0</v>
      </c>
      <c r="U143" s="5">
        <f>IF(SUM($E143:T143)=1,0,U39)</f>
        <v>0</v>
      </c>
      <c r="V143" s="5">
        <f>IF(SUM($E143:U143)=1,0,V39)</f>
        <v>0</v>
      </c>
      <c r="W143" s="5">
        <f>IF(SUM($E143:V143)=1,0,W39)</f>
        <v>1</v>
      </c>
      <c r="X143" s="5">
        <f>IF(SUM($E143:W143)=1,0,X39)</f>
        <v>0</v>
      </c>
      <c r="Y143" s="5">
        <f>IF(SUM($E143:X143)=1,0,Y39)</f>
        <v>0</v>
      </c>
      <c r="Z143" s="5">
        <f>IF(SUM($E143:Y143)=1,0,Z39)</f>
        <v>0</v>
      </c>
      <c r="AA143" s="5">
        <f t="shared" si="2"/>
        <v>1</v>
      </c>
    </row>
    <row r="144" spans="3:27" hidden="1" x14ac:dyDescent="0.2">
      <c r="C144" s="18" t="str">
        <f t="shared" si="0"/>
        <v>anamariaperu@hotmail.co.uk</v>
      </c>
      <c r="E144" s="5">
        <f t="shared" si="1"/>
        <v>0</v>
      </c>
      <c r="F144" s="5">
        <f>IF(SUM($E144:E144)=1,0,F40)</f>
        <v>0</v>
      </c>
      <c r="G144" s="5">
        <f>IF(SUM($E144:F144)=1,0,G40)</f>
        <v>0</v>
      </c>
      <c r="H144" s="5">
        <f>IF(SUM($E144:G144)=1,0,H40)</f>
        <v>0</v>
      </c>
      <c r="I144" s="5">
        <f>IF(SUM($E144:H144)=1,0,I40)</f>
        <v>1</v>
      </c>
      <c r="J144" s="5">
        <f>IF(SUM($E144:I144)=1,0,J40)</f>
        <v>0</v>
      </c>
      <c r="K144" s="5">
        <f>IF(SUM($E144:J144)=1,0,K40)</f>
        <v>0</v>
      </c>
      <c r="L144" s="5">
        <f>IF(SUM($E144:K144)=1,0,L40)</f>
        <v>0</v>
      </c>
      <c r="M144" s="5">
        <f>IF(SUM($E144:L144)=1,0,M40)</f>
        <v>0</v>
      </c>
      <c r="N144" s="5">
        <f>IF(SUM($E144:M144)=1,0,N40)</f>
        <v>0</v>
      </c>
      <c r="O144" s="5">
        <f>IF(SUM($E144:N144)=1,0,O40)</f>
        <v>0</v>
      </c>
      <c r="P144" s="5">
        <f>IF(SUM($E144:O144)=1,0,P40)</f>
        <v>0</v>
      </c>
      <c r="Q144" s="5">
        <f>IF(SUM($E144:P144)=1,0,Q40)</f>
        <v>0</v>
      </c>
      <c r="R144" s="5">
        <f>IF(SUM($E144:Q144)=1,0,R40)</f>
        <v>0</v>
      </c>
      <c r="S144" s="5">
        <f>IF(SUM($E144:R144)=1,0,S40)</f>
        <v>0</v>
      </c>
      <c r="T144" s="5">
        <f>IF(SUM($E144:S144)=1,0,T40)</f>
        <v>0</v>
      </c>
      <c r="U144" s="5">
        <f>IF(SUM($E144:T144)=1,0,U40)</f>
        <v>0</v>
      </c>
      <c r="V144" s="5">
        <f>IF(SUM($E144:U144)=1,0,V40)</f>
        <v>0</v>
      </c>
      <c r="W144" s="5">
        <f>IF(SUM($E144:V144)=1,0,W40)</f>
        <v>0</v>
      </c>
      <c r="X144" s="5">
        <f>IF(SUM($E144:W144)=1,0,X40)</f>
        <v>0</v>
      </c>
      <c r="Y144" s="5">
        <f>IF(SUM($E144:X144)=1,0,Y40)</f>
        <v>0</v>
      </c>
      <c r="Z144" s="5">
        <f>IF(SUM($E144:Y144)=1,0,Z40)</f>
        <v>0</v>
      </c>
      <c r="AA144" s="5">
        <f t="shared" si="2"/>
        <v>1</v>
      </c>
    </row>
    <row r="145" spans="3:27" hidden="1" x14ac:dyDescent="0.2">
      <c r="C145" s="18" t="str">
        <f t="shared" si="0"/>
        <v>anayosefi@gmail.com</v>
      </c>
      <c r="E145" s="5">
        <f t="shared" si="1"/>
        <v>0</v>
      </c>
      <c r="F145" s="5">
        <f>IF(SUM($E145:E145)=1,0,F41)</f>
        <v>0</v>
      </c>
      <c r="G145" s="5">
        <f>IF(SUM($E145:F145)=1,0,G41)</f>
        <v>0</v>
      </c>
      <c r="H145" s="5">
        <f>IF(SUM($E145:G145)=1,0,H41)</f>
        <v>0</v>
      </c>
      <c r="I145" s="5">
        <f>IF(SUM($E145:H145)=1,0,I41)</f>
        <v>1</v>
      </c>
      <c r="J145" s="5">
        <f>IF(SUM($E145:I145)=1,0,J41)</f>
        <v>0</v>
      </c>
      <c r="K145" s="5">
        <f>IF(SUM($E145:J145)=1,0,K41)</f>
        <v>0</v>
      </c>
      <c r="L145" s="5">
        <f>IF(SUM($E145:K145)=1,0,L41)</f>
        <v>0</v>
      </c>
      <c r="M145" s="5">
        <f>IF(SUM($E145:L145)=1,0,M41)</f>
        <v>0</v>
      </c>
      <c r="N145" s="5">
        <f>IF(SUM($E145:M145)=1,0,N41)</f>
        <v>0</v>
      </c>
      <c r="O145" s="5">
        <f>IF(SUM($E145:N145)=1,0,O41)</f>
        <v>0</v>
      </c>
      <c r="P145" s="5">
        <f>IF(SUM($E145:O145)=1,0,P41)</f>
        <v>0</v>
      </c>
      <c r="Q145" s="5">
        <f>IF(SUM($E145:P145)=1,0,Q41)</f>
        <v>0</v>
      </c>
      <c r="R145" s="5">
        <f>IF(SUM($E145:Q145)=1,0,R41)</f>
        <v>0</v>
      </c>
      <c r="S145" s="5">
        <f>IF(SUM($E145:R145)=1,0,S41)</f>
        <v>0</v>
      </c>
      <c r="T145" s="5">
        <f>IF(SUM($E145:S145)=1,0,T41)</f>
        <v>0</v>
      </c>
      <c r="U145" s="5">
        <f>IF(SUM($E145:T145)=1,0,U41)</f>
        <v>0</v>
      </c>
      <c r="V145" s="5">
        <f>IF(SUM($E145:U145)=1,0,V41)</f>
        <v>0</v>
      </c>
      <c r="W145" s="5">
        <f>IF(SUM($E145:V145)=1,0,W41)</f>
        <v>0</v>
      </c>
      <c r="X145" s="5">
        <f>IF(SUM($E145:W145)=1,0,X41)</f>
        <v>0</v>
      </c>
      <c r="Y145" s="5">
        <f>IF(SUM($E145:X145)=1,0,Y41)</f>
        <v>0</v>
      </c>
      <c r="Z145" s="5">
        <f>IF(SUM($E145:Y145)=1,0,Z41)</f>
        <v>0</v>
      </c>
      <c r="AA145" s="5">
        <f t="shared" si="2"/>
        <v>1</v>
      </c>
    </row>
    <row r="146" spans="3:27" hidden="1" x14ac:dyDescent="0.2">
      <c r="C146" s="18" t="str">
        <f t="shared" si="0"/>
        <v>andrew.restlesspanda@gmail.com</v>
      </c>
      <c r="E146" s="5">
        <f t="shared" si="1"/>
        <v>0</v>
      </c>
      <c r="F146" s="5">
        <f>IF(SUM($E146:E146)=1,0,F42)</f>
        <v>0</v>
      </c>
      <c r="G146" s="5">
        <f>IF(SUM($E146:F146)=1,0,G42)</f>
        <v>0</v>
      </c>
      <c r="H146" s="5">
        <f>IF(SUM($E146:G146)=1,0,H42)</f>
        <v>0</v>
      </c>
      <c r="I146" s="5">
        <f>IF(SUM($E146:H146)=1,0,I42)</f>
        <v>0</v>
      </c>
      <c r="J146" s="5">
        <f>IF(SUM($E146:I146)=1,0,J42)</f>
        <v>0</v>
      </c>
      <c r="K146" s="5">
        <f>IF(SUM($E146:J146)=1,0,K42)</f>
        <v>0</v>
      </c>
      <c r="L146" s="5">
        <f>IF(SUM($E146:K146)=1,0,L42)</f>
        <v>0</v>
      </c>
      <c r="M146" s="5">
        <f>IF(SUM($E146:L146)=1,0,M42)</f>
        <v>0</v>
      </c>
      <c r="N146" s="5">
        <f>IF(SUM($E146:M146)=1,0,N42)</f>
        <v>0</v>
      </c>
      <c r="O146" s="5">
        <f>IF(SUM($E146:N146)=1,0,O42)</f>
        <v>0</v>
      </c>
      <c r="P146" s="5">
        <f>IF(SUM($E146:O146)=1,0,P42)</f>
        <v>0</v>
      </c>
      <c r="Q146" s="5">
        <f>IF(SUM($E146:P146)=1,0,Q42)</f>
        <v>0</v>
      </c>
      <c r="R146" s="5">
        <f>IF(SUM($E146:Q146)=1,0,R42)</f>
        <v>0</v>
      </c>
      <c r="S146" s="5">
        <f>IF(SUM($E146:R146)=1,0,S42)</f>
        <v>0</v>
      </c>
      <c r="T146" s="5">
        <f>IF(SUM($E146:S146)=1,0,T42)</f>
        <v>0</v>
      </c>
      <c r="U146" s="5">
        <f>IF(SUM($E146:T146)=1,0,U42)</f>
        <v>0</v>
      </c>
      <c r="V146" s="5">
        <f>IF(SUM($E146:U146)=1,0,V42)</f>
        <v>0</v>
      </c>
      <c r="W146" s="5">
        <f>IF(SUM($E146:V146)=1,0,W42)</f>
        <v>0</v>
      </c>
      <c r="X146" s="5">
        <f>IF(SUM($E146:W146)=1,0,X42)</f>
        <v>1</v>
      </c>
      <c r="Y146" s="5">
        <f>IF(SUM($E146:X146)=1,0,Y42)</f>
        <v>0</v>
      </c>
      <c r="Z146" s="5">
        <f>IF(SUM($E146:Y146)=1,0,Z42)</f>
        <v>0</v>
      </c>
      <c r="AA146" s="5">
        <f t="shared" si="2"/>
        <v>1</v>
      </c>
    </row>
    <row r="147" spans="3:27" hidden="1" x14ac:dyDescent="0.2">
      <c r="C147" s="18" t="str">
        <f t="shared" si="0"/>
        <v>angelakiva10@gmail.com</v>
      </c>
      <c r="E147" s="5">
        <f t="shared" si="1"/>
        <v>0</v>
      </c>
      <c r="F147" s="5">
        <f>IF(SUM($E147:E147)=1,0,F43)</f>
        <v>0</v>
      </c>
      <c r="G147" s="5">
        <f>IF(SUM($E147:F147)=1,0,G43)</f>
        <v>0</v>
      </c>
      <c r="H147" s="5">
        <f>IF(SUM($E147:G147)=1,0,H43)</f>
        <v>0</v>
      </c>
      <c r="I147" s="5">
        <f>IF(SUM($E147:H147)=1,0,I43)</f>
        <v>0</v>
      </c>
      <c r="J147" s="5">
        <f>IF(SUM($E147:I147)=1,0,J43)</f>
        <v>0</v>
      </c>
      <c r="K147" s="5">
        <f>IF(SUM($E147:J147)=1,0,K43)</f>
        <v>0</v>
      </c>
      <c r="L147" s="5">
        <f>IF(SUM($E147:K147)=1,0,L43)</f>
        <v>0</v>
      </c>
      <c r="M147" s="5">
        <f>IF(SUM($E147:L147)=1,0,M43)</f>
        <v>0</v>
      </c>
      <c r="N147" s="5">
        <f>IF(SUM($E147:M147)=1,0,N43)</f>
        <v>0</v>
      </c>
      <c r="O147" s="5">
        <f>IF(SUM($E147:N147)=1,0,O43)</f>
        <v>0</v>
      </c>
      <c r="P147" s="5">
        <f>IF(SUM($E147:O147)=1,0,P43)</f>
        <v>0</v>
      </c>
      <c r="Q147" s="5">
        <f>IF(SUM($E147:P147)=1,0,Q43)</f>
        <v>0</v>
      </c>
      <c r="R147" s="5">
        <f>IF(SUM($E147:Q147)=1,0,R43)</f>
        <v>0</v>
      </c>
      <c r="S147" s="5">
        <f>IF(SUM($E147:R147)=1,0,S43)</f>
        <v>0</v>
      </c>
      <c r="T147" s="5">
        <f>IF(SUM($E147:S147)=1,0,T43)</f>
        <v>0</v>
      </c>
      <c r="U147" s="5">
        <f>IF(SUM($E147:T147)=1,0,U43)</f>
        <v>1</v>
      </c>
      <c r="V147" s="5">
        <f>IF(SUM($E147:U147)=1,0,V43)</f>
        <v>0</v>
      </c>
      <c r="W147" s="5">
        <f>IF(SUM($E147:V147)=1,0,W43)</f>
        <v>0</v>
      </c>
      <c r="X147" s="5">
        <f>IF(SUM($E147:W147)=1,0,X43)</f>
        <v>0</v>
      </c>
      <c r="Y147" s="5">
        <f>IF(SUM($E147:X147)=1,0,Y43)</f>
        <v>0</v>
      </c>
      <c r="Z147" s="5">
        <f>IF(SUM($E147:Y147)=1,0,Z43)</f>
        <v>0</v>
      </c>
      <c r="AA147" s="5">
        <f t="shared" si="2"/>
        <v>1</v>
      </c>
    </row>
    <row r="148" spans="3:27" hidden="1" x14ac:dyDescent="0.2">
      <c r="C148" s="18" t="str">
        <f t="shared" si="0"/>
        <v>anishasood26@gmail.com</v>
      </c>
      <c r="E148" s="5">
        <f t="shared" si="1"/>
        <v>0</v>
      </c>
      <c r="F148" s="5">
        <f>IF(SUM($E148:E148)=1,0,F44)</f>
        <v>0</v>
      </c>
      <c r="G148" s="5">
        <f>IF(SUM($E148:F148)=1,0,G44)</f>
        <v>0</v>
      </c>
      <c r="H148" s="5">
        <f>IF(SUM($E148:G148)=1,0,H44)</f>
        <v>0</v>
      </c>
      <c r="I148" s="5">
        <f>IF(SUM($E148:H148)=1,0,I44)</f>
        <v>0</v>
      </c>
      <c r="J148" s="5">
        <f>IF(SUM($E148:I148)=1,0,J44)</f>
        <v>0</v>
      </c>
      <c r="K148" s="5">
        <f>IF(SUM($E148:J148)=1,0,K44)</f>
        <v>0</v>
      </c>
      <c r="L148" s="5">
        <f>IF(SUM($E148:K148)=1,0,L44)</f>
        <v>0</v>
      </c>
      <c r="M148" s="5">
        <f>IF(SUM($E148:L148)=1,0,M44)</f>
        <v>0</v>
      </c>
      <c r="N148" s="5">
        <f>IF(SUM($E148:M148)=1,0,N44)</f>
        <v>0</v>
      </c>
      <c r="O148" s="5">
        <f>IF(SUM($E148:N148)=1,0,O44)</f>
        <v>0</v>
      </c>
      <c r="P148" s="5">
        <f>IF(SUM($E148:O148)=1,0,P44)</f>
        <v>0</v>
      </c>
      <c r="Q148" s="5">
        <f>IF(SUM($E148:P148)=1,0,Q44)</f>
        <v>0</v>
      </c>
      <c r="R148" s="5">
        <f>IF(SUM($E148:Q148)=1,0,R44)</f>
        <v>0</v>
      </c>
      <c r="S148" s="5">
        <f>IF(SUM($E148:R148)=1,0,S44)</f>
        <v>0</v>
      </c>
      <c r="T148" s="5">
        <f>IF(SUM($E148:S148)=1,0,T44)</f>
        <v>0</v>
      </c>
      <c r="U148" s="5">
        <f>IF(SUM($E148:T148)=1,0,U44)</f>
        <v>0</v>
      </c>
      <c r="V148" s="5">
        <f>IF(SUM($E148:U148)=1,0,V44)</f>
        <v>0</v>
      </c>
      <c r="W148" s="5">
        <f>IF(SUM($E148:V148)=1,0,W44)</f>
        <v>0</v>
      </c>
      <c r="X148" s="5">
        <f>IF(SUM($E148:W148)=1,0,X44)</f>
        <v>1</v>
      </c>
      <c r="Y148" s="5">
        <f>IF(SUM($E148:X148)=1,0,Y44)</f>
        <v>0</v>
      </c>
      <c r="Z148" s="5">
        <f>IF(SUM($E148:Y148)=1,0,Z44)</f>
        <v>0</v>
      </c>
      <c r="AA148" s="5">
        <f t="shared" si="2"/>
        <v>1</v>
      </c>
    </row>
    <row r="149" spans="3:27" hidden="1" x14ac:dyDescent="0.2">
      <c r="C149" s="18" t="str">
        <f t="shared" si="0"/>
        <v>apbhetherington@gmail.com</v>
      </c>
      <c r="E149" s="5">
        <f t="shared" si="1"/>
        <v>0</v>
      </c>
      <c r="F149" s="5">
        <f>IF(SUM($E149:E149)=1,0,F45)</f>
        <v>0</v>
      </c>
      <c r="G149" s="5">
        <f>IF(SUM($E149:F149)=1,0,G45)</f>
        <v>0</v>
      </c>
      <c r="H149" s="5">
        <f>IF(SUM($E149:G149)=1,0,H45)</f>
        <v>0</v>
      </c>
      <c r="I149" s="5">
        <f>IF(SUM($E149:H149)=1,0,I45)</f>
        <v>0</v>
      </c>
      <c r="J149" s="5">
        <f>IF(SUM($E149:I149)=1,0,J45)</f>
        <v>0</v>
      </c>
      <c r="K149" s="5">
        <f>IF(SUM($E149:J149)=1,0,K45)</f>
        <v>0</v>
      </c>
      <c r="L149" s="5">
        <f>IF(SUM($E149:K149)=1,0,L45)</f>
        <v>0</v>
      </c>
      <c r="M149" s="5">
        <f>IF(SUM($E149:L149)=1,0,M45)</f>
        <v>1</v>
      </c>
      <c r="N149" s="5">
        <f>IF(SUM($E149:M149)=1,0,N45)</f>
        <v>0</v>
      </c>
      <c r="O149" s="5">
        <f>IF(SUM($E149:N149)=1,0,O45)</f>
        <v>0</v>
      </c>
      <c r="P149" s="5">
        <f>IF(SUM($E149:O149)=1,0,P45)</f>
        <v>0</v>
      </c>
      <c r="Q149" s="5">
        <f>IF(SUM($E149:P149)=1,0,Q45)</f>
        <v>0</v>
      </c>
      <c r="R149" s="5">
        <f>IF(SUM($E149:Q149)=1,0,R45)</f>
        <v>0</v>
      </c>
      <c r="S149" s="5">
        <f>IF(SUM($E149:R149)=1,0,S45)</f>
        <v>0</v>
      </c>
      <c r="T149" s="5">
        <f>IF(SUM($E149:S149)=1,0,T45)</f>
        <v>0</v>
      </c>
      <c r="U149" s="5">
        <f>IF(SUM($E149:T149)=1,0,U45)</f>
        <v>0</v>
      </c>
      <c r="V149" s="5">
        <f>IF(SUM($E149:U149)=1,0,V45)</f>
        <v>0</v>
      </c>
      <c r="W149" s="5">
        <f>IF(SUM($E149:V149)=1,0,W45)</f>
        <v>0</v>
      </c>
      <c r="X149" s="5">
        <f>IF(SUM($E149:W149)=1,0,X45)</f>
        <v>0</v>
      </c>
      <c r="Y149" s="5">
        <f>IF(SUM($E149:X149)=1,0,Y45)</f>
        <v>0</v>
      </c>
      <c r="Z149" s="5">
        <f>IF(SUM($E149:Y149)=1,0,Z45)</f>
        <v>0</v>
      </c>
      <c r="AA149" s="5">
        <f t="shared" si="2"/>
        <v>1</v>
      </c>
    </row>
    <row r="150" spans="3:27" hidden="1" x14ac:dyDescent="0.2">
      <c r="C150" s="18" t="str">
        <f t="shared" si="0"/>
        <v>audreyrebeccahutabarat@gmail.com</v>
      </c>
      <c r="E150" s="5">
        <f t="shared" si="1"/>
        <v>0</v>
      </c>
      <c r="F150" s="5">
        <f>IF(SUM($E150:E150)=1,0,F46)</f>
        <v>0</v>
      </c>
      <c r="G150" s="5">
        <f>IF(SUM($E150:F150)=1,0,G46)</f>
        <v>1</v>
      </c>
      <c r="H150" s="5">
        <f>IF(SUM($E150:G150)=1,0,H46)</f>
        <v>0</v>
      </c>
      <c r="I150" s="5">
        <f>IF(SUM($E150:H150)=1,0,I46)</f>
        <v>0</v>
      </c>
      <c r="J150" s="5">
        <f>IF(SUM($E150:I150)=1,0,J46)</f>
        <v>0</v>
      </c>
      <c r="K150" s="5">
        <f>IF(SUM($E150:J150)=1,0,K46)</f>
        <v>0</v>
      </c>
      <c r="L150" s="5">
        <f>IF(SUM($E150:K150)=1,0,L46)</f>
        <v>0</v>
      </c>
      <c r="M150" s="5">
        <f>IF(SUM($E150:L150)=1,0,M46)</f>
        <v>0</v>
      </c>
      <c r="N150" s="5">
        <f>IF(SUM($E150:M150)=1,0,N46)</f>
        <v>0</v>
      </c>
      <c r="O150" s="5">
        <f>IF(SUM($E150:N150)=1,0,O46)</f>
        <v>0</v>
      </c>
      <c r="P150" s="5">
        <f>IF(SUM($E150:O150)=1,0,P46)</f>
        <v>0</v>
      </c>
      <c r="Q150" s="5">
        <f>IF(SUM($E150:P150)=1,0,Q46)</f>
        <v>0</v>
      </c>
      <c r="R150" s="5">
        <f>IF(SUM($E150:Q150)=1,0,R46)</f>
        <v>0</v>
      </c>
      <c r="S150" s="5">
        <f>IF(SUM($E150:R150)=1,0,S46)</f>
        <v>0</v>
      </c>
      <c r="T150" s="5">
        <f>IF(SUM($E150:S150)=1,0,T46)</f>
        <v>0</v>
      </c>
      <c r="U150" s="5">
        <f>IF(SUM($E150:T150)=1,0,U46)</f>
        <v>0</v>
      </c>
      <c r="V150" s="5">
        <f>IF(SUM($E150:U150)=1,0,V46)</f>
        <v>0</v>
      </c>
      <c r="W150" s="5">
        <f>IF(SUM($E150:V150)=1,0,W46)</f>
        <v>0</v>
      </c>
      <c r="X150" s="5">
        <f>IF(SUM($E150:W150)=1,0,X46)</f>
        <v>0</v>
      </c>
      <c r="Y150" s="5">
        <f>IF(SUM($E150:X150)=1,0,Y46)</f>
        <v>0</v>
      </c>
      <c r="Z150" s="5">
        <f>IF(SUM($E150:Y150)=1,0,Z46)</f>
        <v>0</v>
      </c>
      <c r="AA150" s="5">
        <f t="shared" si="2"/>
        <v>1</v>
      </c>
    </row>
    <row r="151" spans="3:27" hidden="1" x14ac:dyDescent="0.2">
      <c r="C151" s="18" t="str">
        <f t="shared" si="0"/>
        <v>beverly.mccrory@gmail.com</v>
      </c>
      <c r="E151" s="5">
        <f t="shared" si="1"/>
        <v>0</v>
      </c>
      <c r="F151" s="5">
        <f>IF(SUM($E151:E151)=1,0,F47)</f>
        <v>0</v>
      </c>
      <c r="G151" s="5">
        <f>IF(SUM($E151:F151)=1,0,G47)</f>
        <v>0</v>
      </c>
      <c r="H151" s="5">
        <f>IF(SUM($E151:G151)=1,0,H47)</f>
        <v>0</v>
      </c>
      <c r="I151" s="5">
        <f>IF(SUM($E151:H151)=1,0,I47)</f>
        <v>0</v>
      </c>
      <c r="J151" s="5">
        <f>IF(SUM($E151:I151)=1,0,J47)</f>
        <v>0</v>
      </c>
      <c r="K151" s="5">
        <f>IF(SUM($E151:J151)=1,0,K47)</f>
        <v>0</v>
      </c>
      <c r="L151" s="5">
        <f>IF(SUM($E151:K151)=1,0,L47)</f>
        <v>0</v>
      </c>
      <c r="M151" s="5">
        <f>IF(SUM($E151:L151)=1,0,M47)</f>
        <v>0</v>
      </c>
      <c r="N151" s="5">
        <f>IF(SUM($E151:M151)=1,0,N47)</f>
        <v>0</v>
      </c>
      <c r="O151" s="5">
        <f>IF(SUM($E151:N151)=1,0,O47)</f>
        <v>0</v>
      </c>
      <c r="P151" s="5">
        <f>IF(SUM($E151:O151)=1,0,P47)</f>
        <v>0</v>
      </c>
      <c r="Q151" s="5">
        <f>IF(SUM($E151:P151)=1,0,Q47)</f>
        <v>0</v>
      </c>
      <c r="R151" s="5">
        <f>IF(SUM($E151:Q151)=1,0,R47)</f>
        <v>0</v>
      </c>
      <c r="S151" s="5">
        <f>IF(SUM($E151:R151)=1,0,S47)</f>
        <v>0</v>
      </c>
      <c r="T151" s="5">
        <f>IF(SUM($E151:S151)=1,0,T47)</f>
        <v>0</v>
      </c>
      <c r="U151" s="5">
        <f>IF(SUM($E151:T151)=1,0,U47)</f>
        <v>0</v>
      </c>
      <c r="V151" s="5">
        <f>IF(SUM($E151:U151)=1,0,V47)</f>
        <v>0</v>
      </c>
      <c r="W151" s="5">
        <f>IF(SUM($E151:V151)=1,0,W47)</f>
        <v>0</v>
      </c>
      <c r="X151" s="5">
        <f>IF(SUM($E151:W151)=1,0,X47)</f>
        <v>1</v>
      </c>
      <c r="Y151" s="5">
        <f>IF(SUM($E151:X151)=1,0,Y47)</f>
        <v>0</v>
      </c>
      <c r="Z151" s="5">
        <f>IF(SUM($E151:Y151)=1,0,Z47)</f>
        <v>0</v>
      </c>
      <c r="AA151" s="5">
        <f t="shared" si="2"/>
        <v>1</v>
      </c>
    </row>
    <row r="152" spans="3:27" hidden="1" x14ac:dyDescent="0.2">
      <c r="C152" s="18" t="str">
        <f t="shared" si="0"/>
        <v>blattnerj@gmail.com</v>
      </c>
      <c r="E152" s="5">
        <f t="shared" si="1"/>
        <v>0</v>
      </c>
      <c r="F152" s="5">
        <f>IF(SUM($E152:E152)=1,0,F48)</f>
        <v>0</v>
      </c>
      <c r="G152" s="5">
        <f>IF(SUM($E152:F152)=1,0,G48)</f>
        <v>0</v>
      </c>
      <c r="H152" s="5">
        <f>IF(SUM($E152:G152)=1,0,H48)</f>
        <v>0</v>
      </c>
      <c r="I152" s="5">
        <f>IF(SUM($E152:H152)=1,0,I48)</f>
        <v>0</v>
      </c>
      <c r="J152" s="5">
        <f>IF(SUM($E152:I152)=1,0,J48)</f>
        <v>1</v>
      </c>
      <c r="K152" s="5">
        <f>IF(SUM($E152:J152)=1,0,K48)</f>
        <v>0</v>
      </c>
      <c r="L152" s="5">
        <f>IF(SUM($E152:K152)=1,0,L48)</f>
        <v>0</v>
      </c>
      <c r="M152" s="5">
        <f>IF(SUM($E152:L152)=1,0,M48)</f>
        <v>0</v>
      </c>
      <c r="N152" s="5">
        <f>IF(SUM($E152:M152)=1,0,N48)</f>
        <v>0</v>
      </c>
      <c r="O152" s="5">
        <f>IF(SUM($E152:N152)=1,0,O48)</f>
        <v>0</v>
      </c>
      <c r="P152" s="5">
        <f>IF(SUM($E152:O152)=1,0,P48)</f>
        <v>0</v>
      </c>
      <c r="Q152" s="5">
        <f>IF(SUM($E152:P152)=1,0,Q48)</f>
        <v>0</v>
      </c>
      <c r="R152" s="5">
        <f>IF(SUM($E152:Q152)=1,0,R48)</f>
        <v>0</v>
      </c>
      <c r="S152" s="5">
        <f>IF(SUM($E152:R152)=1,0,S48)</f>
        <v>0</v>
      </c>
      <c r="T152" s="5">
        <f>IF(SUM($E152:S152)=1,0,T48)</f>
        <v>0</v>
      </c>
      <c r="U152" s="5">
        <f>IF(SUM($E152:T152)=1,0,U48)</f>
        <v>0</v>
      </c>
      <c r="V152" s="5">
        <f>IF(SUM($E152:U152)=1,0,V48)</f>
        <v>0</v>
      </c>
      <c r="W152" s="5">
        <f>IF(SUM($E152:V152)=1,0,W48)</f>
        <v>0</v>
      </c>
      <c r="X152" s="5">
        <f>IF(SUM($E152:W152)=1,0,X48)</f>
        <v>0</v>
      </c>
      <c r="Y152" s="5">
        <f>IF(SUM($E152:X152)=1,0,Y48)</f>
        <v>0</v>
      </c>
      <c r="Z152" s="5">
        <f>IF(SUM($E152:Y152)=1,0,Z48)</f>
        <v>0</v>
      </c>
      <c r="AA152" s="5">
        <f t="shared" si="2"/>
        <v>1</v>
      </c>
    </row>
    <row r="153" spans="3:27" hidden="1" x14ac:dyDescent="0.2">
      <c r="C153" s="18" t="str">
        <f t="shared" si="0"/>
        <v>C.Emily.white@gmail.com</v>
      </c>
      <c r="E153" s="5">
        <f t="shared" si="1"/>
        <v>0</v>
      </c>
      <c r="F153" s="5">
        <f>IF(SUM($E153:E153)=1,0,F49)</f>
        <v>0</v>
      </c>
      <c r="G153" s="5">
        <f>IF(SUM($E153:F153)=1,0,G49)</f>
        <v>0</v>
      </c>
      <c r="H153" s="5">
        <f>IF(SUM($E153:G153)=1,0,H49)</f>
        <v>0</v>
      </c>
      <c r="I153" s="5">
        <f>IF(SUM($E153:H153)=1,0,I49)</f>
        <v>0</v>
      </c>
      <c r="J153" s="5">
        <f>IF(SUM($E153:I153)=1,0,J49)</f>
        <v>0</v>
      </c>
      <c r="K153" s="5">
        <f>IF(SUM($E153:J153)=1,0,K49)</f>
        <v>0</v>
      </c>
      <c r="L153" s="5">
        <f>IF(SUM($E153:K153)=1,0,L49)</f>
        <v>0</v>
      </c>
      <c r="M153" s="5">
        <f>IF(SUM($E153:L153)=1,0,M49)</f>
        <v>0</v>
      </c>
      <c r="N153" s="5">
        <f>IF(SUM($E153:M153)=1,0,N49)</f>
        <v>0</v>
      </c>
      <c r="O153" s="5">
        <f>IF(SUM($E153:N153)=1,0,O49)</f>
        <v>0</v>
      </c>
      <c r="P153" s="5">
        <f>IF(SUM($E153:O153)=1,0,P49)</f>
        <v>0</v>
      </c>
      <c r="Q153" s="5">
        <f>IF(SUM($E153:P153)=1,0,Q49)</f>
        <v>0</v>
      </c>
      <c r="R153" s="5">
        <f>IF(SUM($E153:Q153)=1,0,R49)</f>
        <v>0</v>
      </c>
      <c r="S153" s="5">
        <f>IF(SUM($E153:R153)=1,0,S49)</f>
        <v>0</v>
      </c>
      <c r="T153" s="5">
        <f>IF(SUM($E153:S153)=1,0,T49)</f>
        <v>0</v>
      </c>
      <c r="U153" s="5">
        <f>IF(SUM($E153:T153)=1,0,U49)</f>
        <v>0</v>
      </c>
      <c r="V153" s="5">
        <f>IF(SUM($E153:U153)=1,0,V49)</f>
        <v>0</v>
      </c>
      <c r="W153" s="5">
        <f>IF(SUM($E153:V153)=1,0,W49)</f>
        <v>0</v>
      </c>
      <c r="X153" s="5">
        <f>IF(SUM($E153:W153)=1,0,X49)</f>
        <v>1</v>
      </c>
      <c r="Y153" s="5">
        <f>IF(SUM($E153:X153)=1,0,Y49)</f>
        <v>0</v>
      </c>
      <c r="Z153" s="5">
        <f>IF(SUM($E153:Y153)=1,0,Z49)</f>
        <v>0</v>
      </c>
      <c r="AA153" s="5">
        <f t="shared" si="2"/>
        <v>1</v>
      </c>
    </row>
    <row r="154" spans="3:27" hidden="1" x14ac:dyDescent="0.2">
      <c r="C154" s="18" t="str">
        <f t="shared" si="0"/>
        <v>celia.sattamino@gmail.com</v>
      </c>
      <c r="E154" s="5">
        <f t="shared" si="1"/>
        <v>0</v>
      </c>
      <c r="F154" s="5">
        <f>IF(SUM($E154:E154)=1,0,F50)</f>
        <v>0</v>
      </c>
      <c r="G154" s="5">
        <f>IF(SUM($E154:F154)=1,0,G50)</f>
        <v>0</v>
      </c>
      <c r="H154" s="5">
        <f>IF(SUM($E154:G154)=1,0,H50)</f>
        <v>0</v>
      </c>
      <c r="I154" s="5">
        <f>IF(SUM($E154:H154)=1,0,I50)</f>
        <v>0</v>
      </c>
      <c r="J154" s="5">
        <f>IF(SUM($E154:I154)=1,0,J50)</f>
        <v>0</v>
      </c>
      <c r="K154" s="5">
        <f>IF(SUM($E154:J154)=1,0,K50)</f>
        <v>0</v>
      </c>
      <c r="L154" s="5">
        <f>IF(SUM($E154:K154)=1,0,L50)</f>
        <v>0</v>
      </c>
      <c r="M154" s="5">
        <f>IF(SUM($E154:L154)=1,0,M50)</f>
        <v>0</v>
      </c>
      <c r="N154" s="5">
        <f>IF(SUM($E154:M154)=1,0,N50)</f>
        <v>0</v>
      </c>
      <c r="O154" s="5">
        <f>IF(SUM($E154:N154)=1,0,O50)</f>
        <v>0</v>
      </c>
      <c r="P154" s="5">
        <f>IF(SUM($E154:O154)=1,0,P50)</f>
        <v>0</v>
      </c>
      <c r="Q154" s="5">
        <f>IF(SUM($E154:P154)=1,0,Q50)</f>
        <v>0</v>
      </c>
      <c r="R154" s="5">
        <f>IF(SUM($E154:Q154)=1,0,R50)</f>
        <v>0</v>
      </c>
      <c r="S154" s="5">
        <f>IF(SUM($E154:R154)=1,0,S50)</f>
        <v>0</v>
      </c>
      <c r="T154" s="5">
        <f>IF(SUM($E154:S154)=1,0,T50)</f>
        <v>0</v>
      </c>
      <c r="U154" s="5">
        <f>IF(SUM($E154:T154)=1,0,U50)</f>
        <v>0</v>
      </c>
      <c r="V154" s="5">
        <f>IF(SUM($E154:U154)=1,0,V50)</f>
        <v>1</v>
      </c>
      <c r="W154" s="5">
        <f>IF(SUM($E154:V154)=1,0,W50)</f>
        <v>0</v>
      </c>
      <c r="X154" s="5">
        <f>IF(SUM($E154:W154)=1,0,X50)</f>
        <v>0</v>
      </c>
      <c r="Y154" s="5">
        <f>IF(SUM($E154:X154)=1,0,Y50)</f>
        <v>0</v>
      </c>
      <c r="Z154" s="5">
        <f>IF(SUM($E154:Y154)=1,0,Z50)</f>
        <v>0</v>
      </c>
      <c r="AA154" s="5">
        <f t="shared" si="2"/>
        <v>1</v>
      </c>
    </row>
    <row r="155" spans="3:27" hidden="1" x14ac:dyDescent="0.2">
      <c r="C155" s="18" t="str">
        <f t="shared" si="0"/>
        <v>Clairelouisecouchman@hotmail.com</v>
      </c>
      <c r="E155" s="5">
        <f t="shared" si="1"/>
        <v>0</v>
      </c>
      <c r="F155" s="5">
        <f>IF(SUM($E155:E155)=1,0,F51)</f>
        <v>1</v>
      </c>
      <c r="G155" s="5">
        <f>IF(SUM($E155:F155)=1,0,G51)</f>
        <v>0</v>
      </c>
      <c r="H155" s="5">
        <f>IF(SUM($E155:G155)=1,0,H51)</f>
        <v>0</v>
      </c>
      <c r="I155" s="5">
        <f>IF(SUM($E155:H155)=1,0,I51)</f>
        <v>0</v>
      </c>
      <c r="J155" s="5">
        <f>IF(SUM($E155:I155)=1,0,J51)</f>
        <v>0</v>
      </c>
      <c r="K155" s="5">
        <f>IF(SUM($E155:J155)=1,0,K51)</f>
        <v>0</v>
      </c>
      <c r="L155" s="5">
        <f>IF(SUM($E155:K155)=1,0,L51)</f>
        <v>0</v>
      </c>
      <c r="M155" s="5">
        <f>IF(SUM($E155:L155)=1,0,M51)</f>
        <v>0</v>
      </c>
      <c r="N155" s="5">
        <f>IF(SUM($E155:M155)=1,0,N51)</f>
        <v>0</v>
      </c>
      <c r="O155" s="5">
        <f>IF(SUM($E155:N155)=1,0,O51)</f>
        <v>0</v>
      </c>
      <c r="P155" s="5">
        <f>IF(SUM($E155:O155)=1,0,P51)</f>
        <v>0</v>
      </c>
      <c r="Q155" s="5">
        <f>IF(SUM($E155:P155)=1,0,Q51)</f>
        <v>0</v>
      </c>
      <c r="R155" s="5">
        <f>IF(SUM($E155:Q155)=1,0,R51)</f>
        <v>0</v>
      </c>
      <c r="S155" s="5">
        <f>IF(SUM($E155:R155)=1,0,S51)</f>
        <v>0</v>
      </c>
      <c r="T155" s="5">
        <f>IF(SUM($E155:S155)=1,0,T51)</f>
        <v>0</v>
      </c>
      <c r="U155" s="5">
        <f>IF(SUM($E155:T155)=1,0,U51)</f>
        <v>0</v>
      </c>
      <c r="V155" s="5">
        <f>IF(SUM($E155:U155)=1,0,V51)</f>
        <v>0</v>
      </c>
      <c r="W155" s="5">
        <f>IF(SUM($E155:V155)=1,0,W51)</f>
        <v>0</v>
      </c>
      <c r="X155" s="5">
        <f>IF(SUM($E155:W155)=1,0,X51)</f>
        <v>0</v>
      </c>
      <c r="Y155" s="5">
        <f>IF(SUM($E155:X155)=1,0,Y51)</f>
        <v>0</v>
      </c>
      <c r="Z155" s="5">
        <f>IF(SUM($E155:Y155)=1,0,Z51)</f>
        <v>0</v>
      </c>
      <c r="AA155" s="5">
        <f t="shared" si="2"/>
        <v>1</v>
      </c>
    </row>
    <row r="156" spans="3:27" hidden="1" x14ac:dyDescent="0.2">
      <c r="C156" s="18" t="str">
        <f t="shared" si="0"/>
        <v>claudiapaicu@yahoo.com</v>
      </c>
      <c r="E156" s="5">
        <f t="shared" si="1"/>
        <v>0</v>
      </c>
      <c r="F156" s="5">
        <f>IF(SUM($E156:E156)=1,0,F52)</f>
        <v>0</v>
      </c>
      <c r="G156" s="5">
        <f>IF(SUM($E156:F156)=1,0,G52)</f>
        <v>0</v>
      </c>
      <c r="H156" s="5">
        <f>IF(SUM($E156:G156)=1,0,H52)</f>
        <v>0</v>
      </c>
      <c r="I156" s="5">
        <f>IF(SUM($E156:H156)=1,0,I52)</f>
        <v>1</v>
      </c>
      <c r="J156" s="5">
        <f>IF(SUM($E156:I156)=1,0,J52)</f>
        <v>0</v>
      </c>
      <c r="K156" s="5">
        <f>IF(SUM($E156:J156)=1,0,K52)</f>
        <v>0</v>
      </c>
      <c r="L156" s="5">
        <f>IF(SUM($E156:K156)=1,0,L52)</f>
        <v>0</v>
      </c>
      <c r="M156" s="5">
        <f>IF(SUM($E156:L156)=1,0,M52)</f>
        <v>0</v>
      </c>
      <c r="N156" s="5">
        <f>IF(SUM($E156:M156)=1,0,N52)</f>
        <v>0</v>
      </c>
      <c r="O156" s="5">
        <f>IF(SUM($E156:N156)=1,0,O52)</f>
        <v>0</v>
      </c>
      <c r="P156" s="5">
        <f>IF(SUM($E156:O156)=1,0,P52)</f>
        <v>0</v>
      </c>
      <c r="Q156" s="5">
        <f>IF(SUM($E156:P156)=1,0,Q52)</f>
        <v>0</v>
      </c>
      <c r="R156" s="5">
        <f>IF(SUM($E156:Q156)=1,0,R52)</f>
        <v>0</v>
      </c>
      <c r="S156" s="5">
        <f>IF(SUM($E156:R156)=1,0,S52)</f>
        <v>0</v>
      </c>
      <c r="T156" s="5">
        <f>IF(SUM($E156:S156)=1,0,T52)</f>
        <v>0</v>
      </c>
      <c r="U156" s="5">
        <f>IF(SUM($E156:T156)=1,0,U52)</f>
        <v>0</v>
      </c>
      <c r="V156" s="5">
        <f>IF(SUM($E156:U156)=1,0,V52)</f>
        <v>0</v>
      </c>
      <c r="W156" s="5">
        <f>IF(SUM($E156:V156)=1,0,W52)</f>
        <v>0</v>
      </c>
      <c r="X156" s="5">
        <f>IF(SUM($E156:W156)=1,0,X52)</f>
        <v>0</v>
      </c>
      <c r="Y156" s="5">
        <f>IF(SUM($E156:X156)=1,0,Y52)</f>
        <v>0</v>
      </c>
      <c r="Z156" s="5">
        <f>IF(SUM($E156:Y156)=1,0,Z52)</f>
        <v>0</v>
      </c>
      <c r="AA156" s="5">
        <f t="shared" si="2"/>
        <v>1</v>
      </c>
    </row>
    <row r="157" spans="3:27" hidden="1" x14ac:dyDescent="0.2">
      <c r="C157" s="18" t="str">
        <f t="shared" si="0"/>
        <v>Corneliu.civig@gmail.com</v>
      </c>
      <c r="E157" s="5">
        <f t="shared" si="1"/>
        <v>0</v>
      </c>
      <c r="F157" s="5">
        <f>IF(SUM($E157:E157)=1,0,F53)</f>
        <v>0</v>
      </c>
      <c r="G157" s="5">
        <f>IF(SUM($E157:F157)=1,0,G53)</f>
        <v>0</v>
      </c>
      <c r="H157" s="5">
        <f>IF(SUM($E157:G157)=1,0,H53)</f>
        <v>0</v>
      </c>
      <c r="I157" s="5">
        <f>IF(SUM($E157:H157)=1,0,I53)</f>
        <v>0</v>
      </c>
      <c r="J157" s="5">
        <f>IF(SUM($E157:I157)=1,0,J53)</f>
        <v>0</v>
      </c>
      <c r="K157" s="5">
        <f>IF(SUM($E157:J157)=1,0,K53)</f>
        <v>0</v>
      </c>
      <c r="L157" s="5">
        <f>IF(SUM($E157:K157)=1,0,L53)</f>
        <v>0</v>
      </c>
      <c r="M157" s="5">
        <f>IF(SUM($E157:L157)=1,0,M53)</f>
        <v>0</v>
      </c>
      <c r="N157" s="5">
        <f>IF(SUM($E157:M157)=1,0,N53)</f>
        <v>0</v>
      </c>
      <c r="O157" s="5">
        <f>IF(SUM($E157:N157)=1,0,O53)</f>
        <v>0</v>
      </c>
      <c r="P157" s="5">
        <f>IF(SUM($E157:O157)=1,0,P53)</f>
        <v>0</v>
      </c>
      <c r="Q157" s="5">
        <f>IF(SUM($E157:P157)=1,0,Q53)</f>
        <v>0</v>
      </c>
      <c r="R157" s="5">
        <f>IF(SUM($E157:Q157)=1,0,R53)</f>
        <v>0</v>
      </c>
      <c r="S157" s="5">
        <f>IF(SUM($E157:R157)=1,0,S53)</f>
        <v>0</v>
      </c>
      <c r="T157" s="5">
        <f>IF(SUM($E157:S157)=1,0,T53)</f>
        <v>0</v>
      </c>
      <c r="U157" s="5">
        <f>IF(SUM($E157:T157)=1,0,U53)</f>
        <v>0</v>
      </c>
      <c r="V157" s="5">
        <f>IF(SUM($E157:U157)=1,0,V53)</f>
        <v>0</v>
      </c>
      <c r="W157" s="5">
        <f>IF(SUM($E157:V157)=1,0,W53)</f>
        <v>0</v>
      </c>
      <c r="X157" s="5">
        <f>IF(SUM($E157:W157)=1,0,X53)</f>
        <v>1</v>
      </c>
      <c r="Y157" s="5">
        <f>IF(SUM($E157:X157)=1,0,Y53)</f>
        <v>0</v>
      </c>
      <c r="Z157" s="5">
        <f>IF(SUM($E157:Y157)=1,0,Z53)</f>
        <v>0</v>
      </c>
      <c r="AA157" s="5">
        <f t="shared" si="2"/>
        <v>1</v>
      </c>
    </row>
    <row r="158" spans="3:27" hidden="1" x14ac:dyDescent="0.2">
      <c r="C158" s="18" t="str">
        <f t="shared" si="0"/>
        <v>d.v.davideveronese@gmail.com</v>
      </c>
      <c r="E158" s="5">
        <f t="shared" si="1"/>
        <v>0</v>
      </c>
      <c r="F158" s="5">
        <f>IF(SUM($E158:E158)=1,0,F54)</f>
        <v>0</v>
      </c>
      <c r="G158" s="5">
        <f>IF(SUM($E158:F158)=1,0,G54)</f>
        <v>0</v>
      </c>
      <c r="H158" s="5">
        <f>IF(SUM($E158:G158)=1,0,H54)</f>
        <v>0</v>
      </c>
      <c r="I158" s="5">
        <f>IF(SUM($E158:H158)=1,0,I54)</f>
        <v>1</v>
      </c>
      <c r="J158" s="5">
        <f>IF(SUM($E158:I158)=1,0,J54)</f>
        <v>0</v>
      </c>
      <c r="K158" s="5">
        <f>IF(SUM($E158:J158)=1,0,K54)</f>
        <v>0</v>
      </c>
      <c r="L158" s="5">
        <f>IF(SUM($E158:K158)=1,0,L54)</f>
        <v>0</v>
      </c>
      <c r="M158" s="5">
        <f>IF(SUM($E158:L158)=1,0,M54)</f>
        <v>0</v>
      </c>
      <c r="N158" s="5">
        <f>IF(SUM($E158:M158)=1,0,N54)</f>
        <v>0</v>
      </c>
      <c r="O158" s="5">
        <f>IF(SUM($E158:N158)=1,0,O54)</f>
        <v>0</v>
      </c>
      <c r="P158" s="5">
        <f>IF(SUM($E158:O158)=1,0,P54)</f>
        <v>0</v>
      </c>
      <c r="Q158" s="5">
        <f>IF(SUM($E158:P158)=1,0,Q54)</f>
        <v>0</v>
      </c>
      <c r="R158" s="5">
        <f>IF(SUM($E158:Q158)=1,0,R54)</f>
        <v>0</v>
      </c>
      <c r="S158" s="5">
        <f>IF(SUM($E158:R158)=1,0,S54)</f>
        <v>0</v>
      </c>
      <c r="T158" s="5">
        <f>IF(SUM($E158:S158)=1,0,T54)</f>
        <v>0</v>
      </c>
      <c r="U158" s="5">
        <f>IF(SUM($E158:T158)=1,0,U54)</f>
        <v>0</v>
      </c>
      <c r="V158" s="5">
        <f>IF(SUM($E158:U158)=1,0,V54)</f>
        <v>0</v>
      </c>
      <c r="W158" s="5">
        <f>IF(SUM($E158:V158)=1,0,W54)</f>
        <v>0</v>
      </c>
      <c r="X158" s="5">
        <f>IF(SUM($E158:W158)=1,0,X54)</f>
        <v>0</v>
      </c>
      <c r="Y158" s="5">
        <f>IF(SUM($E158:X158)=1,0,Y54)</f>
        <v>0</v>
      </c>
      <c r="Z158" s="5">
        <f>IF(SUM($E158:Y158)=1,0,Z54)</f>
        <v>0</v>
      </c>
      <c r="AA158" s="5">
        <f t="shared" si="2"/>
        <v>1</v>
      </c>
    </row>
    <row r="159" spans="3:27" hidden="1" x14ac:dyDescent="0.2">
      <c r="C159" s="18" t="str">
        <f t="shared" si="0"/>
        <v>daniel.lugg@yahoo.com</v>
      </c>
      <c r="E159" s="5">
        <f t="shared" si="1"/>
        <v>1</v>
      </c>
      <c r="F159" s="5">
        <f>IF(SUM($E159:E159)=1,0,F55)</f>
        <v>0</v>
      </c>
      <c r="G159" s="5">
        <f>IF(SUM($E159:F159)=1,0,G55)</f>
        <v>0</v>
      </c>
      <c r="H159" s="5">
        <f>IF(SUM($E159:G159)=1,0,H55)</f>
        <v>0</v>
      </c>
      <c r="I159" s="5">
        <f>IF(SUM($E159:H159)=1,0,I55)</f>
        <v>0</v>
      </c>
      <c r="J159" s="5">
        <f>IF(SUM($E159:I159)=1,0,J55)</f>
        <v>0</v>
      </c>
      <c r="K159" s="5">
        <f>IF(SUM($E159:J159)=1,0,K55)</f>
        <v>0</v>
      </c>
      <c r="L159" s="5">
        <f>IF(SUM($E159:K159)=1,0,L55)</f>
        <v>0</v>
      </c>
      <c r="M159" s="5">
        <f>IF(SUM($E159:L159)=1,0,M55)</f>
        <v>0</v>
      </c>
      <c r="N159" s="5">
        <f>IF(SUM($E159:M159)=1,0,N55)</f>
        <v>0</v>
      </c>
      <c r="O159" s="5">
        <f>IF(SUM($E159:N159)=1,0,O55)</f>
        <v>0</v>
      </c>
      <c r="P159" s="5">
        <f>IF(SUM($E159:O159)=1,0,P55)</f>
        <v>0</v>
      </c>
      <c r="Q159" s="5">
        <f>IF(SUM($E159:P159)=1,0,Q55)</f>
        <v>0</v>
      </c>
      <c r="R159" s="5">
        <f>IF(SUM($E159:Q159)=1,0,R55)</f>
        <v>0</v>
      </c>
      <c r="S159" s="5">
        <f>IF(SUM($E159:R159)=1,0,S55)</f>
        <v>0</v>
      </c>
      <c r="T159" s="5">
        <f>IF(SUM($E159:S159)=1,0,T55)</f>
        <v>0</v>
      </c>
      <c r="U159" s="5">
        <f>IF(SUM($E159:T159)=1,0,U55)</f>
        <v>0</v>
      </c>
      <c r="V159" s="5">
        <f>IF(SUM($E159:U159)=1,0,V55)</f>
        <v>0</v>
      </c>
      <c r="W159" s="5">
        <f>IF(SUM($E159:V159)=1,0,W55)</f>
        <v>0</v>
      </c>
      <c r="X159" s="5">
        <f>IF(SUM($E159:W159)=1,0,X55)</f>
        <v>0</v>
      </c>
      <c r="Y159" s="5">
        <f>IF(SUM($E159:X159)=1,0,Y55)</f>
        <v>0</v>
      </c>
      <c r="Z159" s="5">
        <f>IF(SUM($E159:Y159)=1,0,Z55)</f>
        <v>0</v>
      </c>
      <c r="AA159" s="5">
        <f t="shared" si="2"/>
        <v>1</v>
      </c>
    </row>
    <row r="160" spans="3:27" hidden="1" x14ac:dyDescent="0.2">
      <c r="C160" s="18" t="str">
        <f t="shared" si="0"/>
        <v>david.flatscher@gmail.com</v>
      </c>
      <c r="E160" s="5">
        <f t="shared" si="1"/>
        <v>0</v>
      </c>
      <c r="F160" s="5">
        <f>IF(SUM($E160:E160)=1,0,F56)</f>
        <v>0</v>
      </c>
      <c r="G160" s="5">
        <f>IF(SUM($E160:F160)=1,0,G56)</f>
        <v>0</v>
      </c>
      <c r="H160" s="5">
        <f>IF(SUM($E160:G160)=1,0,H56)</f>
        <v>0</v>
      </c>
      <c r="I160" s="5">
        <f>IF(SUM($E160:H160)=1,0,I56)</f>
        <v>0</v>
      </c>
      <c r="J160" s="5">
        <f>IF(SUM($E160:I160)=1,0,J56)</f>
        <v>0</v>
      </c>
      <c r="K160" s="5">
        <f>IF(SUM($E160:J160)=1,0,K56)</f>
        <v>0</v>
      </c>
      <c r="L160" s="5">
        <f>IF(SUM($E160:K160)=1,0,L56)</f>
        <v>0</v>
      </c>
      <c r="M160" s="5">
        <f>IF(SUM($E160:L160)=1,0,M56)</f>
        <v>0</v>
      </c>
      <c r="N160" s="5">
        <f>IF(SUM($E160:M160)=1,0,N56)</f>
        <v>0</v>
      </c>
      <c r="O160" s="5">
        <f>IF(SUM($E160:N160)=1,0,O56)</f>
        <v>0</v>
      </c>
      <c r="P160" s="5">
        <f>IF(SUM($E160:O160)=1,0,P56)</f>
        <v>0</v>
      </c>
      <c r="Q160" s="5">
        <f>IF(SUM($E160:P160)=1,0,Q56)</f>
        <v>0</v>
      </c>
      <c r="R160" s="5">
        <f>IF(SUM($E160:Q160)=1,0,R56)</f>
        <v>0</v>
      </c>
      <c r="S160" s="5">
        <f>IF(SUM($E160:R160)=1,0,S56)</f>
        <v>0</v>
      </c>
      <c r="T160" s="5">
        <f>IF(SUM($E160:S160)=1,0,T56)</f>
        <v>0</v>
      </c>
      <c r="U160" s="5">
        <f>IF(SUM($E160:T160)=1,0,U56)</f>
        <v>0</v>
      </c>
      <c r="V160" s="5">
        <f>IF(SUM($E160:U160)=1,0,V56)</f>
        <v>0</v>
      </c>
      <c r="W160" s="5">
        <f>IF(SUM($E160:V160)=1,0,W56)</f>
        <v>1</v>
      </c>
      <c r="X160" s="5">
        <f>IF(SUM($E160:W160)=1,0,X56)</f>
        <v>0</v>
      </c>
      <c r="Y160" s="5">
        <f>IF(SUM($E160:X160)=1,0,Y56)</f>
        <v>0</v>
      </c>
      <c r="Z160" s="5">
        <f>IF(SUM($E160:Y160)=1,0,Z56)</f>
        <v>0</v>
      </c>
      <c r="AA160" s="5">
        <f t="shared" si="2"/>
        <v>1</v>
      </c>
    </row>
    <row r="161" spans="3:27" hidden="1" x14ac:dyDescent="0.2">
      <c r="C161" s="18" t="str">
        <f t="shared" si="0"/>
        <v>dildeep96@gmail.com</v>
      </c>
      <c r="E161" s="5">
        <f t="shared" si="1"/>
        <v>0</v>
      </c>
      <c r="F161" s="5">
        <f>IF(SUM($E161:E161)=1,0,F57)</f>
        <v>0</v>
      </c>
      <c r="G161" s="5">
        <f>IF(SUM($E161:F161)=1,0,G57)</f>
        <v>0</v>
      </c>
      <c r="H161" s="5">
        <f>IF(SUM($E161:G161)=1,0,H57)</f>
        <v>0</v>
      </c>
      <c r="I161" s="5">
        <f>IF(SUM($E161:H161)=1,0,I57)</f>
        <v>0</v>
      </c>
      <c r="J161" s="5">
        <f>IF(SUM($E161:I161)=1,0,J57)</f>
        <v>0</v>
      </c>
      <c r="K161" s="5">
        <f>IF(SUM($E161:J161)=1,0,K57)</f>
        <v>0</v>
      </c>
      <c r="L161" s="5">
        <f>IF(SUM($E161:K161)=1,0,L57)</f>
        <v>0</v>
      </c>
      <c r="M161" s="5">
        <f>IF(SUM($E161:L161)=1,0,M57)</f>
        <v>0</v>
      </c>
      <c r="N161" s="5">
        <f>IF(SUM($E161:M161)=1,0,N57)</f>
        <v>0</v>
      </c>
      <c r="O161" s="5">
        <f>IF(SUM($E161:N161)=1,0,O57)</f>
        <v>0</v>
      </c>
      <c r="P161" s="5">
        <f>IF(SUM($E161:O161)=1,0,P57)</f>
        <v>1</v>
      </c>
      <c r="Q161" s="5">
        <f>IF(SUM($E161:P161)=1,0,Q57)</f>
        <v>0</v>
      </c>
      <c r="R161" s="5">
        <f>IF(SUM($E161:Q161)=1,0,R57)</f>
        <v>0</v>
      </c>
      <c r="S161" s="5">
        <f>IF(SUM($E161:R161)=1,0,S57)</f>
        <v>0</v>
      </c>
      <c r="T161" s="5">
        <f>IF(SUM($E161:S161)=1,0,T57)</f>
        <v>0</v>
      </c>
      <c r="U161" s="5">
        <f>IF(SUM($E161:T161)=1,0,U57)</f>
        <v>0</v>
      </c>
      <c r="V161" s="5">
        <f>IF(SUM($E161:U161)=1,0,V57)</f>
        <v>0</v>
      </c>
      <c r="W161" s="5">
        <f>IF(SUM($E161:V161)=1,0,W57)</f>
        <v>0</v>
      </c>
      <c r="X161" s="5">
        <f>IF(SUM($E161:W161)=1,0,X57)</f>
        <v>0</v>
      </c>
      <c r="Y161" s="5">
        <f>IF(SUM($E161:X161)=1,0,Y57)</f>
        <v>0</v>
      </c>
      <c r="Z161" s="5">
        <f>IF(SUM($E161:Y161)=1,0,Z57)</f>
        <v>0</v>
      </c>
      <c r="AA161" s="5">
        <f t="shared" si="2"/>
        <v>1</v>
      </c>
    </row>
    <row r="162" spans="3:27" hidden="1" x14ac:dyDescent="0.2">
      <c r="C162" s="18" t="str">
        <f t="shared" si="0"/>
        <v>dmbarden@hotmail.co.uk</v>
      </c>
      <c r="E162" s="5">
        <f t="shared" si="1"/>
        <v>0</v>
      </c>
      <c r="F162" s="5">
        <f>IF(SUM($E162:E162)=1,0,F58)</f>
        <v>0</v>
      </c>
      <c r="G162" s="5">
        <f>IF(SUM($E162:F162)=1,0,G58)</f>
        <v>1</v>
      </c>
      <c r="H162" s="5">
        <f>IF(SUM($E162:G162)=1,0,H58)</f>
        <v>0</v>
      </c>
      <c r="I162" s="5">
        <f>IF(SUM($E162:H162)=1,0,I58)</f>
        <v>0</v>
      </c>
      <c r="J162" s="5">
        <f>IF(SUM($E162:I162)=1,0,J58)</f>
        <v>0</v>
      </c>
      <c r="K162" s="5">
        <f>IF(SUM($E162:J162)=1,0,K58)</f>
        <v>0</v>
      </c>
      <c r="L162" s="5">
        <f>IF(SUM($E162:K162)=1,0,L58)</f>
        <v>0</v>
      </c>
      <c r="M162" s="5">
        <f>IF(SUM($E162:L162)=1,0,M58)</f>
        <v>0</v>
      </c>
      <c r="N162" s="5">
        <f>IF(SUM($E162:M162)=1,0,N58)</f>
        <v>0</v>
      </c>
      <c r="O162" s="5">
        <f>IF(SUM($E162:N162)=1,0,O58)</f>
        <v>0</v>
      </c>
      <c r="P162" s="5">
        <f>IF(SUM($E162:O162)=1,0,P58)</f>
        <v>0</v>
      </c>
      <c r="Q162" s="5">
        <f>IF(SUM($E162:P162)=1,0,Q58)</f>
        <v>0</v>
      </c>
      <c r="R162" s="5">
        <f>IF(SUM($E162:Q162)=1,0,R58)</f>
        <v>0</v>
      </c>
      <c r="S162" s="5">
        <f>IF(SUM($E162:R162)=1,0,S58)</f>
        <v>0</v>
      </c>
      <c r="T162" s="5">
        <f>IF(SUM($E162:S162)=1,0,T58)</f>
        <v>0</v>
      </c>
      <c r="U162" s="5">
        <f>IF(SUM($E162:T162)=1,0,U58)</f>
        <v>0</v>
      </c>
      <c r="V162" s="5">
        <f>IF(SUM($E162:U162)=1,0,V58)</f>
        <v>0</v>
      </c>
      <c r="W162" s="5">
        <f>IF(SUM($E162:V162)=1,0,W58)</f>
        <v>0</v>
      </c>
      <c r="X162" s="5">
        <f>IF(SUM($E162:W162)=1,0,X58)</f>
        <v>0</v>
      </c>
      <c r="Y162" s="5">
        <f>IF(SUM($E162:X162)=1,0,Y58)</f>
        <v>0</v>
      </c>
      <c r="Z162" s="5">
        <f>IF(SUM($E162:Y162)=1,0,Z58)</f>
        <v>0</v>
      </c>
      <c r="AA162" s="5">
        <f t="shared" si="2"/>
        <v>1</v>
      </c>
    </row>
    <row r="163" spans="3:27" hidden="1" x14ac:dyDescent="0.2">
      <c r="C163" s="18" t="str">
        <f t="shared" si="0"/>
        <v>dmello.daniel@gmail.com</v>
      </c>
      <c r="E163" s="5">
        <f t="shared" si="1"/>
        <v>0</v>
      </c>
      <c r="F163" s="5">
        <f>IF(SUM($E163:E163)=1,0,F59)</f>
        <v>0</v>
      </c>
      <c r="G163" s="5">
        <f>IF(SUM($E163:F163)=1,0,G59)</f>
        <v>0</v>
      </c>
      <c r="H163" s="5">
        <f>IF(SUM($E163:G163)=1,0,H59)</f>
        <v>0</v>
      </c>
      <c r="I163" s="5">
        <f>IF(SUM($E163:H163)=1,0,I59)</f>
        <v>0</v>
      </c>
      <c r="J163" s="5">
        <f>IF(SUM($E163:I163)=1,0,J59)</f>
        <v>0</v>
      </c>
      <c r="K163" s="5">
        <f>IF(SUM($E163:J163)=1,0,K59)</f>
        <v>0</v>
      </c>
      <c r="L163" s="5">
        <f>IF(SUM($E163:K163)=1,0,L59)</f>
        <v>0</v>
      </c>
      <c r="M163" s="5">
        <f>IF(SUM($E163:L163)=1,0,M59)</f>
        <v>0</v>
      </c>
      <c r="N163" s="5">
        <f>IF(SUM($E163:M163)=1,0,N59)</f>
        <v>0</v>
      </c>
      <c r="O163" s="5">
        <f>IF(SUM($E163:N163)=1,0,O59)</f>
        <v>0</v>
      </c>
      <c r="P163" s="5">
        <f>IF(SUM($E163:O163)=1,0,P59)</f>
        <v>0</v>
      </c>
      <c r="Q163" s="5">
        <f>IF(SUM($E163:P163)=1,0,Q59)</f>
        <v>0</v>
      </c>
      <c r="R163" s="5">
        <f>IF(SUM($E163:Q163)=1,0,R59)</f>
        <v>0</v>
      </c>
      <c r="S163" s="5">
        <f>IF(SUM($E163:R163)=1,0,S59)</f>
        <v>0</v>
      </c>
      <c r="T163" s="5">
        <f>IF(SUM($E163:S163)=1,0,T59)</f>
        <v>0</v>
      </c>
      <c r="U163" s="5">
        <f>IF(SUM($E163:T163)=1,0,U59)</f>
        <v>0</v>
      </c>
      <c r="V163" s="5">
        <f>IF(SUM($E163:U163)=1,0,V59)</f>
        <v>0</v>
      </c>
      <c r="W163" s="5">
        <f>IF(SUM($E163:V163)=1,0,W59)</f>
        <v>0</v>
      </c>
      <c r="X163" s="5">
        <f>IF(SUM($E163:W163)=1,0,X59)</f>
        <v>1</v>
      </c>
      <c r="Y163" s="5">
        <f>IF(SUM($E163:X163)=1,0,Y59)</f>
        <v>0</v>
      </c>
      <c r="Z163" s="5">
        <f>IF(SUM($E163:Y163)=1,0,Z59)</f>
        <v>0</v>
      </c>
      <c r="AA163" s="5">
        <f t="shared" si="2"/>
        <v>1</v>
      </c>
    </row>
    <row r="164" spans="3:27" hidden="1" x14ac:dyDescent="0.2">
      <c r="C164" s="18" t="str">
        <f t="shared" si="0"/>
        <v>e_squires@hotmail.com</v>
      </c>
      <c r="E164" s="5">
        <f t="shared" si="1"/>
        <v>0</v>
      </c>
      <c r="F164" s="5">
        <f>IF(SUM($E164:E164)=1,0,F60)</f>
        <v>0</v>
      </c>
      <c r="G164" s="5">
        <f>IF(SUM($E164:F164)=1,0,G60)</f>
        <v>0</v>
      </c>
      <c r="H164" s="5">
        <f>IF(SUM($E164:G164)=1,0,H60)</f>
        <v>0</v>
      </c>
      <c r="I164" s="5">
        <f>IF(SUM($E164:H164)=1,0,I60)</f>
        <v>0</v>
      </c>
      <c r="J164" s="5">
        <f>IF(SUM($E164:I164)=1,0,J60)</f>
        <v>0</v>
      </c>
      <c r="K164" s="5">
        <f>IF(SUM($E164:J164)=1,0,K60)</f>
        <v>0</v>
      </c>
      <c r="L164" s="5">
        <f>IF(SUM($E164:K164)=1,0,L60)</f>
        <v>0</v>
      </c>
      <c r="M164" s="5">
        <f>IF(SUM($E164:L164)=1,0,M60)</f>
        <v>0</v>
      </c>
      <c r="N164" s="5">
        <f>IF(SUM($E164:M164)=1,0,N60)</f>
        <v>0</v>
      </c>
      <c r="O164" s="5">
        <f>IF(SUM($E164:N164)=1,0,O60)</f>
        <v>0</v>
      </c>
      <c r="P164" s="5">
        <f>IF(SUM($E164:O164)=1,0,P60)</f>
        <v>0</v>
      </c>
      <c r="Q164" s="5">
        <f>IF(SUM($E164:P164)=1,0,Q60)</f>
        <v>0</v>
      </c>
      <c r="R164" s="5">
        <f>IF(SUM($E164:Q164)=1,0,R60)</f>
        <v>0</v>
      </c>
      <c r="S164" s="5">
        <f>IF(SUM($E164:R164)=1,0,S60)</f>
        <v>0</v>
      </c>
      <c r="T164" s="5">
        <f>IF(SUM($E164:S164)=1,0,T60)</f>
        <v>0</v>
      </c>
      <c r="U164" s="5">
        <f>IF(SUM($E164:T164)=1,0,U60)</f>
        <v>0</v>
      </c>
      <c r="V164" s="5">
        <f>IF(SUM($E164:U164)=1,0,V60)</f>
        <v>0</v>
      </c>
      <c r="W164" s="5">
        <f>IF(SUM($E164:V164)=1,0,W60)</f>
        <v>0</v>
      </c>
      <c r="X164" s="5">
        <f>IF(SUM($E164:W164)=1,0,X60)</f>
        <v>0</v>
      </c>
      <c r="Y164" s="5">
        <f>IF(SUM($E164:X164)=1,0,Y60)</f>
        <v>1</v>
      </c>
      <c r="Z164" s="5">
        <f>IF(SUM($E164:Y164)=1,0,Z60)</f>
        <v>0</v>
      </c>
      <c r="AA164" s="5">
        <f t="shared" si="2"/>
        <v>1</v>
      </c>
    </row>
    <row r="165" spans="3:27" hidden="1" x14ac:dyDescent="0.2">
      <c r="C165" s="18" t="str">
        <f t="shared" si="0"/>
        <v>edementyeva@yandex.ru</v>
      </c>
      <c r="E165" s="5">
        <f t="shared" si="1"/>
        <v>0</v>
      </c>
      <c r="F165" s="5">
        <f>IF(SUM($E165:E165)=1,0,F61)</f>
        <v>0</v>
      </c>
      <c r="G165" s="5">
        <f>IF(SUM($E165:F165)=1,0,G61)</f>
        <v>0</v>
      </c>
      <c r="H165" s="5">
        <f>IF(SUM($E165:G165)=1,0,H61)</f>
        <v>0</v>
      </c>
      <c r="I165" s="5">
        <f>IF(SUM($E165:H165)=1,0,I61)</f>
        <v>0</v>
      </c>
      <c r="J165" s="5">
        <f>IF(SUM($E165:I165)=1,0,J61)</f>
        <v>0</v>
      </c>
      <c r="K165" s="5">
        <f>IF(SUM($E165:J165)=1,0,K61)</f>
        <v>0</v>
      </c>
      <c r="L165" s="5">
        <f>IF(SUM($E165:K165)=1,0,L61)</f>
        <v>0</v>
      </c>
      <c r="M165" s="5">
        <f>IF(SUM($E165:L165)=1,0,M61)</f>
        <v>0</v>
      </c>
      <c r="N165" s="5">
        <f>IF(SUM($E165:M165)=1,0,N61)</f>
        <v>0</v>
      </c>
      <c r="O165" s="5">
        <f>IF(SUM($E165:N165)=1,0,O61)</f>
        <v>0</v>
      </c>
      <c r="P165" s="5">
        <f>IF(SUM($E165:O165)=1,0,P61)</f>
        <v>0</v>
      </c>
      <c r="Q165" s="5">
        <f>IF(SUM($E165:P165)=1,0,Q61)</f>
        <v>0</v>
      </c>
      <c r="R165" s="5">
        <f>IF(SUM($E165:Q165)=1,0,R61)</f>
        <v>0</v>
      </c>
      <c r="S165" s="5">
        <f>IF(SUM($E165:R165)=1,0,S61)</f>
        <v>1</v>
      </c>
      <c r="T165" s="5">
        <f>IF(SUM($E165:S165)=1,0,T61)</f>
        <v>0</v>
      </c>
      <c r="U165" s="5">
        <f>IF(SUM($E165:T165)=1,0,U61)</f>
        <v>0</v>
      </c>
      <c r="V165" s="5">
        <f>IF(SUM($E165:U165)=1,0,V61)</f>
        <v>0</v>
      </c>
      <c r="W165" s="5">
        <f>IF(SUM($E165:V165)=1,0,W61)</f>
        <v>0</v>
      </c>
      <c r="X165" s="5">
        <f>IF(SUM($E165:W165)=1,0,X61)</f>
        <v>0</v>
      </c>
      <c r="Y165" s="5">
        <f>IF(SUM($E165:X165)=1,0,Y61)</f>
        <v>0</v>
      </c>
      <c r="Z165" s="5">
        <f>IF(SUM($E165:Y165)=1,0,Z61)</f>
        <v>0</v>
      </c>
      <c r="AA165" s="5">
        <f t="shared" si="2"/>
        <v>1</v>
      </c>
    </row>
    <row r="166" spans="3:27" hidden="1" x14ac:dyDescent="0.2">
      <c r="C166" s="18" t="str">
        <f t="shared" si="0"/>
        <v>egemensiphone@gmail.com</v>
      </c>
      <c r="E166" s="5">
        <f t="shared" si="1"/>
        <v>0</v>
      </c>
      <c r="F166" s="5">
        <f>IF(SUM($E166:E166)=1,0,F62)</f>
        <v>0</v>
      </c>
      <c r="G166" s="5">
        <f>IF(SUM($E166:F166)=1,0,G62)</f>
        <v>0</v>
      </c>
      <c r="H166" s="5">
        <f>IF(SUM($E166:G166)=1,0,H62)</f>
        <v>0</v>
      </c>
      <c r="I166" s="5">
        <f>IF(SUM($E166:H166)=1,0,I62)</f>
        <v>0</v>
      </c>
      <c r="J166" s="5">
        <f>IF(SUM($E166:I166)=1,0,J62)</f>
        <v>0</v>
      </c>
      <c r="K166" s="5">
        <f>IF(SUM($E166:J166)=1,0,K62)</f>
        <v>1</v>
      </c>
      <c r="L166" s="5">
        <f>IF(SUM($E166:K166)=1,0,L62)</f>
        <v>0</v>
      </c>
      <c r="M166" s="5">
        <f>IF(SUM($E166:L166)=1,0,M62)</f>
        <v>0</v>
      </c>
      <c r="N166" s="5">
        <f>IF(SUM($E166:M166)=1,0,N62)</f>
        <v>0</v>
      </c>
      <c r="O166" s="5">
        <f>IF(SUM($E166:N166)=1,0,O62)</f>
        <v>0</v>
      </c>
      <c r="P166" s="5">
        <f>IF(SUM($E166:O166)=1,0,P62)</f>
        <v>0</v>
      </c>
      <c r="Q166" s="5">
        <f>IF(SUM($E166:P166)=1,0,Q62)</f>
        <v>0</v>
      </c>
      <c r="R166" s="5">
        <f>IF(SUM($E166:Q166)=1,0,R62)</f>
        <v>0</v>
      </c>
      <c r="S166" s="5">
        <f>IF(SUM($E166:R166)=1,0,S62)</f>
        <v>0</v>
      </c>
      <c r="T166" s="5">
        <f>IF(SUM($E166:S166)=1,0,T62)</f>
        <v>0</v>
      </c>
      <c r="U166" s="5">
        <f>IF(SUM($E166:T166)=1,0,U62)</f>
        <v>0</v>
      </c>
      <c r="V166" s="5">
        <f>IF(SUM($E166:U166)=1,0,V62)</f>
        <v>0</v>
      </c>
      <c r="W166" s="5">
        <f>IF(SUM($E166:V166)=1,0,W62)</f>
        <v>0</v>
      </c>
      <c r="X166" s="5">
        <f>IF(SUM($E166:W166)=1,0,X62)</f>
        <v>0</v>
      </c>
      <c r="Y166" s="5">
        <f>IF(SUM($E166:X166)=1,0,Y62)</f>
        <v>0</v>
      </c>
      <c r="Z166" s="5">
        <f>IF(SUM($E166:Y166)=1,0,Z62)</f>
        <v>0</v>
      </c>
      <c r="AA166" s="5">
        <f t="shared" si="2"/>
        <v>1</v>
      </c>
    </row>
    <row r="167" spans="3:27" hidden="1" x14ac:dyDescent="0.2">
      <c r="C167" s="18" t="str">
        <f t="shared" si="0"/>
        <v>ejike.onuchukwu@gmail.com</v>
      </c>
      <c r="E167" s="5">
        <f t="shared" si="1"/>
        <v>0</v>
      </c>
      <c r="F167" s="5">
        <f>IF(SUM($E167:E167)=1,0,F63)</f>
        <v>0</v>
      </c>
      <c r="G167" s="5">
        <f>IF(SUM($E167:F167)=1,0,G63)</f>
        <v>0</v>
      </c>
      <c r="H167" s="5">
        <f>IF(SUM($E167:G167)=1,0,H63)</f>
        <v>0</v>
      </c>
      <c r="I167" s="5">
        <f>IF(SUM($E167:H167)=1,0,I63)</f>
        <v>0</v>
      </c>
      <c r="J167" s="5">
        <f>IF(SUM($E167:I167)=1,0,J63)</f>
        <v>0</v>
      </c>
      <c r="K167" s="5">
        <f>IF(SUM($E167:J167)=1,0,K63)</f>
        <v>0</v>
      </c>
      <c r="L167" s="5">
        <f>IF(SUM($E167:K167)=1,0,L63)</f>
        <v>0</v>
      </c>
      <c r="M167" s="5">
        <f>IF(SUM($E167:L167)=1,0,M63)</f>
        <v>0</v>
      </c>
      <c r="N167" s="5">
        <f>IF(SUM($E167:M167)=1,0,N63)</f>
        <v>0</v>
      </c>
      <c r="O167" s="5">
        <f>IF(SUM($E167:N167)=1,0,O63)</f>
        <v>0</v>
      </c>
      <c r="P167" s="5">
        <f>IF(SUM($E167:O167)=1,0,P63)</f>
        <v>0</v>
      </c>
      <c r="Q167" s="5">
        <f>IF(SUM($E167:P167)=1,0,Q63)</f>
        <v>0</v>
      </c>
      <c r="R167" s="5">
        <f>IF(SUM($E167:Q167)=1,0,R63)</f>
        <v>0</v>
      </c>
      <c r="S167" s="5">
        <f>IF(SUM($E167:R167)=1,0,S63)</f>
        <v>0</v>
      </c>
      <c r="T167" s="5">
        <f>IF(SUM($E167:S167)=1,0,T63)</f>
        <v>0</v>
      </c>
      <c r="U167" s="5">
        <f>IF(SUM($E167:T167)=1,0,U63)</f>
        <v>0</v>
      </c>
      <c r="V167" s="5">
        <f>IF(SUM($E167:U167)=1,0,V63)</f>
        <v>0</v>
      </c>
      <c r="W167" s="5">
        <f>IF(SUM($E167:V167)=1,0,W63)</f>
        <v>1</v>
      </c>
      <c r="X167" s="5">
        <f>IF(SUM($E167:W167)=1,0,X63)</f>
        <v>0</v>
      </c>
      <c r="Y167" s="5">
        <f>IF(SUM($E167:X167)=1,0,Y63)</f>
        <v>0</v>
      </c>
      <c r="Z167" s="5">
        <f>IF(SUM($E167:Y167)=1,0,Z63)</f>
        <v>0</v>
      </c>
      <c r="AA167" s="5">
        <f t="shared" si="2"/>
        <v>1</v>
      </c>
    </row>
    <row r="168" spans="3:27" hidden="1" x14ac:dyDescent="0.2">
      <c r="C168" s="18" t="str">
        <f t="shared" si="0"/>
        <v>elena27kuv@gmail.com</v>
      </c>
      <c r="E168" s="5">
        <f t="shared" si="1"/>
        <v>0</v>
      </c>
      <c r="F168" s="5">
        <f>IF(SUM($E168:E168)=1,0,F64)</f>
        <v>0</v>
      </c>
      <c r="G168" s="5">
        <f>IF(SUM($E168:F168)=1,0,G64)</f>
        <v>0</v>
      </c>
      <c r="H168" s="5">
        <f>IF(SUM($E168:G168)=1,0,H64)</f>
        <v>0</v>
      </c>
      <c r="I168" s="5">
        <f>IF(SUM($E168:H168)=1,0,I64)</f>
        <v>0</v>
      </c>
      <c r="J168" s="5">
        <f>IF(SUM($E168:I168)=1,0,J64)</f>
        <v>0</v>
      </c>
      <c r="K168" s="5">
        <f>IF(SUM($E168:J168)=1,0,K64)</f>
        <v>1</v>
      </c>
      <c r="L168" s="5">
        <f>IF(SUM($E168:K168)=1,0,L64)</f>
        <v>0</v>
      </c>
      <c r="M168" s="5">
        <f>IF(SUM($E168:L168)=1,0,M64)</f>
        <v>0</v>
      </c>
      <c r="N168" s="5">
        <f>IF(SUM($E168:M168)=1,0,N64)</f>
        <v>0</v>
      </c>
      <c r="O168" s="5">
        <f>IF(SUM($E168:N168)=1,0,O64)</f>
        <v>0</v>
      </c>
      <c r="P168" s="5">
        <f>IF(SUM($E168:O168)=1,0,P64)</f>
        <v>0</v>
      </c>
      <c r="Q168" s="5">
        <f>IF(SUM($E168:P168)=1,0,Q64)</f>
        <v>0</v>
      </c>
      <c r="R168" s="5">
        <f>IF(SUM($E168:Q168)=1,0,R64)</f>
        <v>0</v>
      </c>
      <c r="S168" s="5">
        <f>IF(SUM($E168:R168)=1,0,S64)</f>
        <v>0</v>
      </c>
      <c r="T168" s="5">
        <f>IF(SUM($E168:S168)=1,0,T64)</f>
        <v>0</v>
      </c>
      <c r="U168" s="5">
        <f>IF(SUM($E168:T168)=1,0,U64)</f>
        <v>0</v>
      </c>
      <c r="V168" s="5">
        <f>IF(SUM($E168:U168)=1,0,V64)</f>
        <v>0</v>
      </c>
      <c r="W168" s="5">
        <f>IF(SUM($E168:V168)=1,0,W64)</f>
        <v>0</v>
      </c>
      <c r="X168" s="5">
        <f>IF(SUM($E168:W168)=1,0,X64)</f>
        <v>0</v>
      </c>
      <c r="Y168" s="5">
        <f>IF(SUM($E168:X168)=1,0,Y64)</f>
        <v>0</v>
      </c>
      <c r="Z168" s="5">
        <f>IF(SUM($E168:Y168)=1,0,Z64)</f>
        <v>0</v>
      </c>
      <c r="AA168" s="5">
        <f t="shared" si="2"/>
        <v>1</v>
      </c>
    </row>
    <row r="169" spans="3:27" hidden="1" x14ac:dyDescent="0.2">
      <c r="C169" s="18" t="str">
        <f t="shared" si="0"/>
        <v>ellangwodo@gmail.com</v>
      </c>
      <c r="E169" s="5">
        <f t="shared" si="1"/>
        <v>0</v>
      </c>
      <c r="F169" s="5">
        <f>IF(SUM($E169:E169)=1,0,F65)</f>
        <v>0</v>
      </c>
      <c r="G169" s="5">
        <f>IF(SUM($E169:F169)=1,0,G65)</f>
        <v>0</v>
      </c>
      <c r="H169" s="5">
        <f>IF(SUM($E169:G169)=1,0,H65)</f>
        <v>0</v>
      </c>
      <c r="I169" s="5">
        <f>IF(SUM($E169:H169)=1,0,I65)</f>
        <v>0</v>
      </c>
      <c r="J169" s="5">
        <f>IF(SUM($E169:I169)=1,0,J65)</f>
        <v>0</v>
      </c>
      <c r="K169" s="5">
        <f>IF(SUM($E169:J169)=1,0,K65)</f>
        <v>0</v>
      </c>
      <c r="L169" s="5">
        <f>IF(SUM($E169:K169)=1,0,L65)</f>
        <v>0</v>
      </c>
      <c r="M169" s="5">
        <f>IF(SUM($E169:L169)=1,0,M65)</f>
        <v>0</v>
      </c>
      <c r="N169" s="5">
        <f>IF(SUM($E169:M169)=1,0,N65)</f>
        <v>0</v>
      </c>
      <c r="O169" s="5">
        <f>IF(SUM($E169:N169)=1,0,O65)</f>
        <v>0</v>
      </c>
      <c r="P169" s="5">
        <f>IF(SUM($E169:O169)=1,0,P65)</f>
        <v>0</v>
      </c>
      <c r="Q169" s="5">
        <f>IF(SUM($E169:P169)=1,0,Q65)</f>
        <v>0</v>
      </c>
      <c r="R169" s="5">
        <f>IF(SUM($E169:Q169)=1,0,R65)</f>
        <v>0</v>
      </c>
      <c r="S169" s="5">
        <f>IF(SUM($E169:R169)=1,0,S65)</f>
        <v>0</v>
      </c>
      <c r="T169" s="5">
        <f>IF(SUM($E169:S169)=1,0,T65)</f>
        <v>0</v>
      </c>
      <c r="U169" s="5">
        <f>IF(SUM($E169:T169)=1,0,U65)</f>
        <v>0</v>
      </c>
      <c r="V169" s="5">
        <f>IF(SUM($E169:U169)=1,0,V65)</f>
        <v>0</v>
      </c>
      <c r="W169" s="5">
        <f>IF(SUM($E169:V169)=1,0,W65)</f>
        <v>0</v>
      </c>
      <c r="X169" s="5">
        <f>IF(SUM($E169:W169)=1,0,X65)</f>
        <v>0</v>
      </c>
      <c r="Y169" s="5">
        <f>IF(SUM($E169:X169)=1,0,Y65)</f>
        <v>1</v>
      </c>
      <c r="Z169" s="5">
        <f>IF(SUM($E169:Y169)=1,0,Z65)</f>
        <v>0</v>
      </c>
      <c r="AA169" s="5">
        <f t="shared" si="2"/>
        <v>1</v>
      </c>
    </row>
    <row r="170" spans="3:27" hidden="1" x14ac:dyDescent="0.2">
      <c r="C170" s="18" t="str">
        <f t="shared" si="0"/>
        <v>eoghannaughton@hotmail.com</v>
      </c>
      <c r="E170" s="5">
        <f t="shared" si="1"/>
        <v>0</v>
      </c>
      <c r="F170" s="5">
        <f>IF(SUM($E170:E170)=1,0,F66)</f>
        <v>0</v>
      </c>
      <c r="G170" s="5">
        <f>IF(SUM($E170:F170)=1,0,G66)</f>
        <v>0</v>
      </c>
      <c r="H170" s="5">
        <f>IF(SUM($E170:G170)=1,0,H66)</f>
        <v>1</v>
      </c>
      <c r="I170" s="5">
        <f>IF(SUM($E170:H170)=1,0,I66)</f>
        <v>0</v>
      </c>
      <c r="J170" s="5">
        <f>IF(SUM($E170:I170)=1,0,J66)</f>
        <v>0</v>
      </c>
      <c r="K170" s="5">
        <f>IF(SUM($E170:J170)=1,0,K66)</f>
        <v>0</v>
      </c>
      <c r="L170" s="5">
        <f>IF(SUM($E170:K170)=1,0,L66)</f>
        <v>0</v>
      </c>
      <c r="M170" s="5">
        <f>IF(SUM($E170:L170)=1,0,M66)</f>
        <v>0</v>
      </c>
      <c r="N170" s="5">
        <f>IF(SUM($E170:M170)=1,0,N66)</f>
        <v>0</v>
      </c>
      <c r="O170" s="5">
        <f>IF(SUM($E170:N170)=1,0,O66)</f>
        <v>0</v>
      </c>
      <c r="P170" s="5">
        <f>IF(SUM($E170:O170)=1,0,P66)</f>
        <v>0</v>
      </c>
      <c r="Q170" s="5">
        <f>IF(SUM($E170:P170)=1,0,Q66)</f>
        <v>0</v>
      </c>
      <c r="R170" s="5">
        <f>IF(SUM($E170:Q170)=1,0,R66)</f>
        <v>0</v>
      </c>
      <c r="S170" s="5">
        <f>IF(SUM($E170:R170)=1,0,S66)</f>
        <v>0</v>
      </c>
      <c r="T170" s="5">
        <f>IF(SUM($E170:S170)=1,0,T66)</f>
        <v>0</v>
      </c>
      <c r="U170" s="5">
        <f>IF(SUM($E170:T170)=1,0,U66)</f>
        <v>0</v>
      </c>
      <c r="V170" s="5">
        <f>IF(SUM($E170:U170)=1,0,V66)</f>
        <v>0</v>
      </c>
      <c r="W170" s="5">
        <f>IF(SUM($E170:V170)=1,0,W66)</f>
        <v>0</v>
      </c>
      <c r="X170" s="5">
        <f>IF(SUM($E170:W170)=1,0,X66)</f>
        <v>0</v>
      </c>
      <c r="Y170" s="5">
        <f>IF(SUM($E170:X170)=1,0,Y66)</f>
        <v>0</v>
      </c>
      <c r="Z170" s="5">
        <f>IF(SUM($E170:Y170)=1,0,Z66)</f>
        <v>0</v>
      </c>
      <c r="AA170" s="5">
        <f t="shared" si="2"/>
        <v>1</v>
      </c>
    </row>
    <row r="171" spans="3:27" hidden="1" x14ac:dyDescent="0.2">
      <c r="C171" s="18" t="str">
        <f t="shared" si="0"/>
        <v>estherchen314@gmail.com</v>
      </c>
      <c r="E171" s="5">
        <f t="shared" si="1"/>
        <v>0</v>
      </c>
      <c r="F171" s="5">
        <f>IF(SUM($E171:E171)=1,0,F67)</f>
        <v>0</v>
      </c>
      <c r="G171" s="5">
        <f>IF(SUM($E171:F171)=1,0,G67)</f>
        <v>0</v>
      </c>
      <c r="H171" s="5">
        <f>IF(SUM($E171:G171)=1,0,H67)</f>
        <v>0</v>
      </c>
      <c r="I171" s="5">
        <f>IF(SUM($E171:H171)=1,0,I67)</f>
        <v>0</v>
      </c>
      <c r="J171" s="5">
        <f>IF(SUM($E171:I171)=1,0,J67)</f>
        <v>0</v>
      </c>
      <c r="K171" s="5">
        <f>IF(SUM($E171:J171)=1,0,K67)</f>
        <v>0</v>
      </c>
      <c r="L171" s="5">
        <f>IF(SUM($E171:K171)=1,0,L67)</f>
        <v>0</v>
      </c>
      <c r="M171" s="5">
        <f>IF(SUM($E171:L171)=1,0,M67)</f>
        <v>0</v>
      </c>
      <c r="N171" s="5">
        <f>IF(SUM($E171:M171)=1,0,N67)</f>
        <v>0</v>
      </c>
      <c r="O171" s="5">
        <f>IF(SUM($E171:N171)=1,0,O67)</f>
        <v>0</v>
      </c>
      <c r="P171" s="5">
        <f>IF(SUM($E171:O171)=1,0,P67)</f>
        <v>0</v>
      </c>
      <c r="Q171" s="5">
        <f>IF(SUM($E171:P171)=1,0,Q67)</f>
        <v>0</v>
      </c>
      <c r="R171" s="5">
        <f>IF(SUM($E171:Q171)=1,0,R67)</f>
        <v>0</v>
      </c>
      <c r="S171" s="5">
        <f>IF(SUM($E171:R171)=1,0,S67)</f>
        <v>1</v>
      </c>
      <c r="T171" s="5">
        <f>IF(SUM($E171:S171)=1,0,T67)</f>
        <v>0</v>
      </c>
      <c r="U171" s="5">
        <f>IF(SUM($E171:T171)=1,0,U67)</f>
        <v>0</v>
      </c>
      <c r="V171" s="5">
        <f>IF(SUM($E171:U171)=1,0,V67)</f>
        <v>0</v>
      </c>
      <c r="W171" s="5">
        <f>IF(SUM($E171:V171)=1,0,W67)</f>
        <v>0</v>
      </c>
      <c r="X171" s="5">
        <f>IF(SUM($E171:W171)=1,0,X67)</f>
        <v>0</v>
      </c>
      <c r="Y171" s="5">
        <f>IF(SUM($E171:X171)=1,0,Y67)</f>
        <v>0</v>
      </c>
      <c r="Z171" s="5">
        <f>IF(SUM($E171:Y171)=1,0,Z67)</f>
        <v>0</v>
      </c>
      <c r="AA171" s="5">
        <f t="shared" si="2"/>
        <v>1</v>
      </c>
    </row>
    <row r="172" spans="3:27" hidden="1" x14ac:dyDescent="0.2">
      <c r="C172" s="18" t="str">
        <f t="shared" si="0"/>
        <v>ezgicaakmak@gmail.com</v>
      </c>
      <c r="E172" s="5">
        <f t="shared" si="1"/>
        <v>0</v>
      </c>
      <c r="F172" s="5">
        <f>IF(SUM($E172:E172)=1,0,F68)</f>
        <v>0</v>
      </c>
      <c r="G172" s="5">
        <f>IF(SUM($E172:F172)=1,0,G68)</f>
        <v>1</v>
      </c>
      <c r="H172" s="5">
        <f>IF(SUM($E172:G172)=1,0,H68)</f>
        <v>0</v>
      </c>
      <c r="I172" s="5">
        <f>IF(SUM($E172:H172)=1,0,I68)</f>
        <v>0</v>
      </c>
      <c r="J172" s="5">
        <f>IF(SUM($E172:I172)=1,0,J68)</f>
        <v>0</v>
      </c>
      <c r="K172" s="5">
        <f>IF(SUM($E172:J172)=1,0,K68)</f>
        <v>0</v>
      </c>
      <c r="L172" s="5">
        <f>IF(SUM($E172:K172)=1,0,L68)</f>
        <v>0</v>
      </c>
      <c r="M172" s="5">
        <f>IF(SUM($E172:L172)=1,0,M68)</f>
        <v>0</v>
      </c>
      <c r="N172" s="5">
        <f>IF(SUM($E172:M172)=1,0,N68)</f>
        <v>0</v>
      </c>
      <c r="O172" s="5">
        <f>IF(SUM($E172:N172)=1,0,O68)</f>
        <v>0</v>
      </c>
      <c r="P172" s="5">
        <f>IF(SUM($E172:O172)=1,0,P68)</f>
        <v>0</v>
      </c>
      <c r="Q172" s="5">
        <f>IF(SUM($E172:P172)=1,0,Q68)</f>
        <v>0</v>
      </c>
      <c r="R172" s="5">
        <f>IF(SUM($E172:Q172)=1,0,R68)</f>
        <v>0</v>
      </c>
      <c r="S172" s="5">
        <f>IF(SUM($E172:R172)=1,0,S68)</f>
        <v>0</v>
      </c>
      <c r="T172" s="5">
        <f>IF(SUM($E172:S172)=1,0,T68)</f>
        <v>0</v>
      </c>
      <c r="U172" s="5">
        <f>IF(SUM($E172:T172)=1,0,U68)</f>
        <v>0</v>
      </c>
      <c r="V172" s="5">
        <f>IF(SUM($E172:U172)=1,0,V68)</f>
        <v>0</v>
      </c>
      <c r="W172" s="5">
        <f>IF(SUM($E172:V172)=1,0,W68)</f>
        <v>0</v>
      </c>
      <c r="X172" s="5">
        <f>IF(SUM($E172:W172)=1,0,X68)</f>
        <v>0</v>
      </c>
      <c r="Y172" s="5">
        <f>IF(SUM($E172:X172)=1,0,Y68)</f>
        <v>0</v>
      </c>
      <c r="Z172" s="5">
        <f>IF(SUM($E172:Y172)=1,0,Z68)</f>
        <v>0</v>
      </c>
      <c r="AA172" s="5">
        <f t="shared" si="2"/>
        <v>1</v>
      </c>
    </row>
    <row r="173" spans="3:27" hidden="1" x14ac:dyDescent="0.2">
      <c r="C173" s="18" t="str">
        <f t="shared" si="0"/>
        <v>federica.martini@live.it</v>
      </c>
      <c r="E173" s="5">
        <f t="shared" si="1"/>
        <v>0</v>
      </c>
      <c r="F173" s="5">
        <f>IF(SUM($E173:E173)=1,0,F69)</f>
        <v>0</v>
      </c>
      <c r="G173" s="5">
        <f>IF(SUM($E173:F173)=1,0,G69)</f>
        <v>0</v>
      </c>
      <c r="H173" s="5">
        <f>IF(SUM($E173:G173)=1,0,H69)</f>
        <v>0</v>
      </c>
      <c r="I173" s="5">
        <f>IF(SUM($E173:H173)=1,0,I69)</f>
        <v>0</v>
      </c>
      <c r="J173" s="5">
        <f>IF(SUM($E173:I173)=1,0,J69)</f>
        <v>0</v>
      </c>
      <c r="K173" s="5">
        <f>IF(SUM($E173:J173)=1,0,K69)</f>
        <v>0</v>
      </c>
      <c r="L173" s="5">
        <f>IF(SUM($E173:K173)=1,0,L69)</f>
        <v>0</v>
      </c>
      <c r="M173" s="5">
        <f>IF(SUM($E173:L173)=1,0,M69)</f>
        <v>0</v>
      </c>
      <c r="N173" s="5">
        <f>IF(SUM($E173:M173)=1,0,N69)</f>
        <v>1</v>
      </c>
      <c r="O173" s="5">
        <f>IF(SUM($E173:N173)=1,0,O69)</f>
        <v>0</v>
      </c>
      <c r="P173" s="5">
        <f>IF(SUM($E173:O173)=1,0,P69)</f>
        <v>0</v>
      </c>
      <c r="Q173" s="5">
        <f>IF(SUM($E173:P173)=1,0,Q69)</f>
        <v>0</v>
      </c>
      <c r="R173" s="5">
        <f>IF(SUM($E173:Q173)=1,0,R69)</f>
        <v>0</v>
      </c>
      <c r="S173" s="5">
        <f>IF(SUM($E173:R173)=1,0,S69)</f>
        <v>0</v>
      </c>
      <c r="T173" s="5">
        <f>IF(SUM($E173:S173)=1,0,T69)</f>
        <v>0</v>
      </c>
      <c r="U173" s="5">
        <f>IF(SUM($E173:T173)=1,0,U69)</f>
        <v>0</v>
      </c>
      <c r="V173" s="5">
        <f>IF(SUM($E173:U173)=1,0,V69)</f>
        <v>0</v>
      </c>
      <c r="W173" s="5">
        <f>IF(SUM($E173:V173)=1,0,W69)</f>
        <v>0</v>
      </c>
      <c r="X173" s="5">
        <f>IF(SUM($E173:W173)=1,0,X69)</f>
        <v>0</v>
      </c>
      <c r="Y173" s="5">
        <f>IF(SUM($E173:X173)=1,0,Y69)</f>
        <v>0</v>
      </c>
      <c r="Z173" s="5">
        <f>IF(SUM($E173:Y173)=1,0,Z69)</f>
        <v>0</v>
      </c>
      <c r="AA173" s="5">
        <f t="shared" si="2"/>
        <v>1</v>
      </c>
    </row>
    <row r="174" spans="3:27" hidden="1" x14ac:dyDescent="0.2">
      <c r="C174" s="18" t="str">
        <f t="shared" si="0"/>
        <v>galimova.al.al@gmail.com</v>
      </c>
      <c r="E174" s="5">
        <f t="shared" si="1"/>
        <v>0</v>
      </c>
      <c r="F174" s="5">
        <f>IF(SUM($E174:E174)=1,0,F70)</f>
        <v>0</v>
      </c>
      <c r="G174" s="5">
        <f>IF(SUM($E174:F174)=1,0,G70)</f>
        <v>0</v>
      </c>
      <c r="H174" s="5">
        <f>IF(SUM($E174:G174)=1,0,H70)</f>
        <v>0</v>
      </c>
      <c r="I174" s="5">
        <f>IF(SUM($E174:H174)=1,0,I70)</f>
        <v>0</v>
      </c>
      <c r="J174" s="5">
        <f>IF(SUM($E174:I174)=1,0,J70)</f>
        <v>1</v>
      </c>
      <c r="K174" s="5">
        <f>IF(SUM($E174:J174)=1,0,K70)</f>
        <v>0</v>
      </c>
      <c r="L174" s="5">
        <f>IF(SUM($E174:K174)=1,0,L70)</f>
        <v>0</v>
      </c>
      <c r="M174" s="5">
        <f>IF(SUM($E174:L174)=1,0,M70)</f>
        <v>0</v>
      </c>
      <c r="N174" s="5">
        <f>IF(SUM($E174:M174)=1,0,N70)</f>
        <v>0</v>
      </c>
      <c r="O174" s="5">
        <f>IF(SUM($E174:N174)=1,0,O70)</f>
        <v>0</v>
      </c>
      <c r="P174" s="5">
        <f>IF(SUM($E174:O174)=1,0,P70)</f>
        <v>0</v>
      </c>
      <c r="Q174" s="5">
        <f>IF(SUM($E174:P174)=1,0,Q70)</f>
        <v>0</v>
      </c>
      <c r="R174" s="5">
        <f>IF(SUM($E174:Q174)=1,0,R70)</f>
        <v>0</v>
      </c>
      <c r="S174" s="5">
        <f>IF(SUM($E174:R174)=1,0,S70)</f>
        <v>0</v>
      </c>
      <c r="T174" s="5">
        <f>IF(SUM($E174:S174)=1,0,T70)</f>
        <v>0</v>
      </c>
      <c r="U174" s="5">
        <f>IF(SUM($E174:T174)=1,0,U70)</f>
        <v>0</v>
      </c>
      <c r="V174" s="5">
        <f>IF(SUM($E174:U174)=1,0,V70)</f>
        <v>0</v>
      </c>
      <c r="W174" s="5">
        <f>IF(SUM($E174:V174)=1,0,W70)</f>
        <v>0</v>
      </c>
      <c r="X174" s="5">
        <f>IF(SUM($E174:W174)=1,0,X70)</f>
        <v>0</v>
      </c>
      <c r="Y174" s="5">
        <f>IF(SUM($E174:X174)=1,0,Y70)</f>
        <v>0</v>
      </c>
      <c r="Z174" s="5">
        <f>IF(SUM($E174:Y174)=1,0,Z70)</f>
        <v>0</v>
      </c>
      <c r="AA174" s="5">
        <f t="shared" si="2"/>
        <v>1</v>
      </c>
    </row>
    <row r="175" spans="3:27" hidden="1" x14ac:dyDescent="0.2">
      <c r="C175" s="18" t="str">
        <f t="shared" si="0"/>
        <v>gilka5@hotmail.com</v>
      </c>
      <c r="E175" s="5">
        <f t="shared" si="1"/>
        <v>0</v>
      </c>
      <c r="F175" s="5">
        <f>IF(SUM($E175:E175)=1,0,F71)</f>
        <v>0</v>
      </c>
      <c r="G175" s="5">
        <f>IF(SUM($E175:F175)=1,0,G71)</f>
        <v>0</v>
      </c>
      <c r="H175" s="5">
        <f>IF(SUM($E175:G175)=1,0,H71)</f>
        <v>0</v>
      </c>
      <c r="I175" s="5">
        <f>IF(SUM($E175:H175)=1,0,I71)</f>
        <v>0</v>
      </c>
      <c r="J175" s="5">
        <f>IF(SUM($E175:I175)=1,0,J71)</f>
        <v>0</v>
      </c>
      <c r="K175" s="5">
        <f>IF(SUM($E175:J175)=1,0,K71)</f>
        <v>0</v>
      </c>
      <c r="L175" s="5">
        <f>IF(SUM($E175:K175)=1,0,L71)</f>
        <v>0</v>
      </c>
      <c r="M175" s="5">
        <f>IF(SUM($E175:L175)=1,0,M71)</f>
        <v>0</v>
      </c>
      <c r="N175" s="5">
        <f>IF(SUM($E175:M175)=1,0,N71)</f>
        <v>0</v>
      </c>
      <c r="O175" s="5">
        <f>IF(SUM($E175:N175)=1,0,O71)</f>
        <v>0</v>
      </c>
      <c r="P175" s="5">
        <f>IF(SUM($E175:O175)=1,0,P71)</f>
        <v>0</v>
      </c>
      <c r="Q175" s="5">
        <f>IF(SUM($E175:P175)=1,0,Q71)</f>
        <v>0</v>
      </c>
      <c r="R175" s="5">
        <f>IF(SUM($E175:Q175)=1,0,R71)</f>
        <v>0</v>
      </c>
      <c r="S175" s="5">
        <f>IF(SUM($E175:R175)=1,0,S71)</f>
        <v>0</v>
      </c>
      <c r="T175" s="5">
        <f>IF(SUM($E175:S175)=1,0,T71)</f>
        <v>0</v>
      </c>
      <c r="U175" s="5">
        <f>IF(SUM($E175:T175)=1,0,U71)</f>
        <v>1</v>
      </c>
      <c r="V175" s="5">
        <f>IF(SUM($E175:U175)=1,0,V71)</f>
        <v>0</v>
      </c>
      <c r="W175" s="5">
        <f>IF(SUM($E175:V175)=1,0,W71)</f>
        <v>0</v>
      </c>
      <c r="X175" s="5">
        <f>IF(SUM($E175:W175)=1,0,X71)</f>
        <v>0</v>
      </c>
      <c r="Y175" s="5">
        <f>IF(SUM($E175:X175)=1,0,Y71)</f>
        <v>0</v>
      </c>
      <c r="Z175" s="5">
        <f>IF(SUM($E175:Y175)=1,0,Z71)</f>
        <v>0</v>
      </c>
      <c r="AA175" s="5">
        <f t="shared" si="2"/>
        <v>1</v>
      </c>
    </row>
    <row r="176" spans="3:27" hidden="1" x14ac:dyDescent="0.2">
      <c r="C176" s="18" t="str">
        <f t="shared" si="0"/>
        <v>hanna.niczyporuk@gmail.com</v>
      </c>
      <c r="E176" s="5">
        <f t="shared" si="1"/>
        <v>0</v>
      </c>
      <c r="F176" s="5">
        <f>IF(SUM($E176:E176)=1,0,F72)</f>
        <v>0</v>
      </c>
      <c r="G176" s="5">
        <f>IF(SUM($E176:F176)=1,0,G72)</f>
        <v>0</v>
      </c>
      <c r="H176" s="5">
        <f>IF(SUM($E176:G176)=1,0,H72)</f>
        <v>0</v>
      </c>
      <c r="I176" s="5">
        <f>IF(SUM($E176:H176)=1,0,I72)</f>
        <v>1</v>
      </c>
      <c r="J176" s="5">
        <f>IF(SUM($E176:I176)=1,0,J72)</f>
        <v>0</v>
      </c>
      <c r="K176" s="5">
        <f>IF(SUM($E176:J176)=1,0,K72)</f>
        <v>0</v>
      </c>
      <c r="L176" s="5">
        <f>IF(SUM($E176:K176)=1,0,L72)</f>
        <v>0</v>
      </c>
      <c r="M176" s="5">
        <f>IF(SUM($E176:L176)=1,0,M72)</f>
        <v>0</v>
      </c>
      <c r="N176" s="5">
        <f>IF(SUM($E176:M176)=1,0,N72)</f>
        <v>0</v>
      </c>
      <c r="O176" s="5">
        <f>IF(SUM($E176:N176)=1,0,O72)</f>
        <v>0</v>
      </c>
      <c r="P176" s="5">
        <f>IF(SUM($E176:O176)=1,0,P72)</f>
        <v>0</v>
      </c>
      <c r="Q176" s="5">
        <f>IF(SUM($E176:P176)=1,0,Q72)</f>
        <v>0</v>
      </c>
      <c r="R176" s="5">
        <f>IF(SUM($E176:Q176)=1,0,R72)</f>
        <v>0</v>
      </c>
      <c r="S176" s="5">
        <f>IF(SUM($E176:R176)=1,0,S72)</f>
        <v>0</v>
      </c>
      <c r="T176" s="5">
        <f>IF(SUM($E176:S176)=1,0,T72)</f>
        <v>0</v>
      </c>
      <c r="U176" s="5">
        <f>IF(SUM($E176:T176)=1,0,U72)</f>
        <v>0</v>
      </c>
      <c r="V176" s="5">
        <f>IF(SUM($E176:U176)=1,0,V72)</f>
        <v>0</v>
      </c>
      <c r="W176" s="5">
        <f>IF(SUM($E176:V176)=1,0,W72)</f>
        <v>0</v>
      </c>
      <c r="X176" s="5">
        <f>IF(SUM($E176:W176)=1,0,X72)</f>
        <v>0</v>
      </c>
      <c r="Y176" s="5">
        <f>IF(SUM($E176:X176)=1,0,Y72)</f>
        <v>0</v>
      </c>
      <c r="Z176" s="5">
        <f>IF(SUM($E176:Y176)=1,0,Z72)</f>
        <v>0</v>
      </c>
      <c r="AA176" s="5">
        <f t="shared" si="2"/>
        <v>1</v>
      </c>
    </row>
    <row r="177" spans="3:27" hidden="1" x14ac:dyDescent="0.2">
      <c r="C177" s="18" t="str">
        <f t="shared" si="0"/>
        <v>hrational@gmail.com</v>
      </c>
      <c r="E177" s="5">
        <f t="shared" si="1"/>
        <v>0</v>
      </c>
      <c r="F177" s="5">
        <f>IF(SUM($E177:E177)=1,0,F73)</f>
        <v>0</v>
      </c>
      <c r="G177" s="5">
        <f>IF(SUM($E177:F177)=1,0,G73)</f>
        <v>1</v>
      </c>
      <c r="H177" s="5">
        <f>IF(SUM($E177:G177)=1,0,H73)</f>
        <v>0</v>
      </c>
      <c r="I177" s="5">
        <f>IF(SUM($E177:H177)=1,0,I73)</f>
        <v>0</v>
      </c>
      <c r="J177" s="5">
        <f>IF(SUM($E177:I177)=1,0,J73)</f>
        <v>0</v>
      </c>
      <c r="K177" s="5">
        <f>IF(SUM($E177:J177)=1,0,K73)</f>
        <v>0</v>
      </c>
      <c r="L177" s="5">
        <f>IF(SUM($E177:K177)=1,0,L73)</f>
        <v>0</v>
      </c>
      <c r="M177" s="5">
        <f>IF(SUM($E177:L177)=1,0,M73)</f>
        <v>0</v>
      </c>
      <c r="N177" s="5">
        <f>IF(SUM($E177:M177)=1,0,N73)</f>
        <v>0</v>
      </c>
      <c r="O177" s="5">
        <f>IF(SUM($E177:N177)=1,0,O73)</f>
        <v>0</v>
      </c>
      <c r="P177" s="5">
        <f>IF(SUM($E177:O177)=1,0,P73)</f>
        <v>0</v>
      </c>
      <c r="Q177" s="5">
        <f>IF(SUM($E177:P177)=1,0,Q73)</f>
        <v>0</v>
      </c>
      <c r="R177" s="5">
        <f>IF(SUM($E177:Q177)=1,0,R73)</f>
        <v>0</v>
      </c>
      <c r="S177" s="5">
        <f>IF(SUM($E177:R177)=1,0,S73)</f>
        <v>0</v>
      </c>
      <c r="T177" s="5">
        <f>IF(SUM($E177:S177)=1,0,T73)</f>
        <v>0</v>
      </c>
      <c r="U177" s="5">
        <f>IF(SUM($E177:T177)=1,0,U73)</f>
        <v>0</v>
      </c>
      <c r="V177" s="5">
        <f>IF(SUM($E177:U177)=1,0,V73)</f>
        <v>0</v>
      </c>
      <c r="W177" s="5">
        <f>IF(SUM($E177:V177)=1,0,W73)</f>
        <v>0</v>
      </c>
      <c r="X177" s="5">
        <f>IF(SUM($E177:W177)=1,0,X73)</f>
        <v>0</v>
      </c>
      <c r="Y177" s="5">
        <f>IF(SUM($E177:X177)=1,0,Y73)</f>
        <v>0</v>
      </c>
      <c r="Z177" s="5">
        <f>IF(SUM($E177:Y177)=1,0,Z73)</f>
        <v>0</v>
      </c>
      <c r="AA177" s="5">
        <f t="shared" si="2"/>
        <v>1</v>
      </c>
    </row>
    <row r="178" spans="3:27" hidden="1" x14ac:dyDescent="0.2">
      <c r="C178" s="18" t="str">
        <f t="shared" si="0"/>
        <v>imanbudget@yahoo.co.uk</v>
      </c>
      <c r="E178" s="5">
        <f t="shared" si="1"/>
        <v>0</v>
      </c>
      <c r="F178" s="5">
        <f>IF(SUM($E178:E178)=1,0,F74)</f>
        <v>0</v>
      </c>
      <c r="G178" s="5">
        <f>IF(SUM($E178:F178)=1,0,G74)</f>
        <v>0</v>
      </c>
      <c r="H178" s="5">
        <f>IF(SUM($E178:G178)=1,0,H74)</f>
        <v>0</v>
      </c>
      <c r="I178" s="5">
        <f>IF(SUM($E178:H178)=1,0,I74)</f>
        <v>0</v>
      </c>
      <c r="J178" s="5">
        <f>IF(SUM($E178:I178)=1,0,J74)</f>
        <v>0</v>
      </c>
      <c r="K178" s="5">
        <f>IF(SUM($E178:J178)=1,0,K74)</f>
        <v>0</v>
      </c>
      <c r="L178" s="5">
        <f>IF(SUM($E178:K178)=1,0,L74)</f>
        <v>0</v>
      </c>
      <c r="M178" s="5">
        <f>IF(SUM($E178:L178)=1,0,M74)</f>
        <v>0</v>
      </c>
      <c r="N178" s="5">
        <f>IF(SUM($E178:M178)=1,0,N74)</f>
        <v>0</v>
      </c>
      <c r="O178" s="5">
        <f>IF(SUM($E178:N178)=1,0,O74)</f>
        <v>0</v>
      </c>
      <c r="P178" s="5">
        <f>IF(SUM($E178:O178)=1,0,P74)</f>
        <v>0</v>
      </c>
      <c r="Q178" s="5">
        <f>IF(SUM($E178:P178)=1,0,Q74)</f>
        <v>0</v>
      </c>
      <c r="R178" s="5">
        <f>IF(SUM($E178:Q178)=1,0,R74)</f>
        <v>0</v>
      </c>
      <c r="S178" s="5">
        <f>IF(SUM($E178:R178)=1,0,S74)</f>
        <v>0</v>
      </c>
      <c r="T178" s="5">
        <f>IF(SUM($E178:S178)=1,0,T74)</f>
        <v>0</v>
      </c>
      <c r="U178" s="5">
        <f>IF(SUM($E178:T178)=1,0,U74)</f>
        <v>0</v>
      </c>
      <c r="V178" s="5">
        <f>IF(SUM($E178:U178)=1,0,V74)</f>
        <v>0</v>
      </c>
      <c r="W178" s="5">
        <f>IF(SUM($E178:V178)=1,0,W74)</f>
        <v>1</v>
      </c>
      <c r="X178" s="5">
        <f>IF(SUM($E178:W178)=1,0,X74)</f>
        <v>0</v>
      </c>
      <c r="Y178" s="5">
        <f>IF(SUM($E178:X178)=1,0,Y74)</f>
        <v>0</v>
      </c>
      <c r="Z178" s="5">
        <f>IF(SUM($E178:Y178)=1,0,Z74)</f>
        <v>0</v>
      </c>
      <c r="AA178" s="5">
        <f t="shared" si="2"/>
        <v>1</v>
      </c>
    </row>
    <row r="179" spans="3:27" hidden="1" x14ac:dyDescent="0.2">
      <c r="C179" s="18" t="str">
        <f t="shared" si="0"/>
        <v>io.brezeanu@gmail.com</v>
      </c>
      <c r="E179" s="5">
        <f t="shared" si="1"/>
        <v>0</v>
      </c>
      <c r="F179" s="5">
        <f>IF(SUM($E179:E179)=1,0,F75)</f>
        <v>0</v>
      </c>
      <c r="G179" s="5">
        <f>IF(SUM($E179:F179)=1,0,G75)</f>
        <v>0</v>
      </c>
      <c r="H179" s="5">
        <f>IF(SUM($E179:G179)=1,0,H75)</f>
        <v>0</v>
      </c>
      <c r="I179" s="5">
        <f>IF(SUM($E179:H179)=1,0,I75)</f>
        <v>0</v>
      </c>
      <c r="J179" s="5">
        <f>IF(SUM($E179:I179)=1,0,J75)</f>
        <v>0</v>
      </c>
      <c r="K179" s="5">
        <f>IF(SUM($E179:J179)=1,0,K75)</f>
        <v>0</v>
      </c>
      <c r="L179" s="5">
        <f>IF(SUM($E179:K179)=1,0,L75)</f>
        <v>0</v>
      </c>
      <c r="M179" s="5">
        <f>IF(SUM($E179:L179)=1,0,M75)</f>
        <v>0</v>
      </c>
      <c r="N179" s="5">
        <f>IF(SUM($E179:M179)=1,0,N75)</f>
        <v>0</v>
      </c>
      <c r="O179" s="5">
        <f>IF(SUM($E179:N179)=1,0,O75)</f>
        <v>0</v>
      </c>
      <c r="P179" s="5">
        <f>IF(SUM($E179:O179)=1,0,P75)</f>
        <v>0</v>
      </c>
      <c r="Q179" s="5">
        <f>IF(SUM($E179:P179)=1,0,Q75)</f>
        <v>0</v>
      </c>
      <c r="R179" s="5">
        <f>IF(SUM($E179:Q179)=1,0,R75)</f>
        <v>1</v>
      </c>
      <c r="S179" s="5">
        <f>IF(SUM($E179:R179)=1,0,S75)</f>
        <v>0</v>
      </c>
      <c r="T179" s="5">
        <f>IF(SUM($E179:S179)=1,0,T75)</f>
        <v>0</v>
      </c>
      <c r="U179" s="5">
        <f>IF(SUM($E179:T179)=1,0,U75)</f>
        <v>0</v>
      </c>
      <c r="V179" s="5">
        <f>IF(SUM($E179:U179)=1,0,V75)</f>
        <v>0</v>
      </c>
      <c r="W179" s="5">
        <f>IF(SUM($E179:V179)=1,0,W75)</f>
        <v>0</v>
      </c>
      <c r="X179" s="5">
        <f>IF(SUM($E179:W179)=1,0,X75)</f>
        <v>0</v>
      </c>
      <c r="Y179" s="5">
        <f>IF(SUM($E179:X179)=1,0,Y75)</f>
        <v>0</v>
      </c>
      <c r="Z179" s="5">
        <f>IF(SUM($E179:Y179)=1,0,Z75)</f>
        <v>0</v>
      </c>
      <c r="AA179" s="5">
        <f t="shared" si="2"/>
        <v>1</v>
      </c>
    </row>
    <row r="180" spans="3:27" hidden="1" x14ac:dyDescent="0.2">
      <c r="C180" s="18" t="str">
        <f t="shared" si="0"/>
        <v>isisding@gmail.com</v>
      </c>
      <c r="E180" s="5">
        <f t="shared" si="1"/>
        <v>0</v>
      </c>
      <c r="F180" s="5">
        <f>IF(SUM($E180:E180)=1,0,F76)</f>
        <v>0</v>
      </c>
      <c r="G180" s="5">
        <f>IF(SUM($E180:F180)=1,0,G76)</f>
        <v>0</v>
      </c>
      <c r="H180" s="5">
        <f>IF(SUM($E180:G180)=1,0,H76)</f>
        <v>0</v>
      </c>
      <c r="I180" s="5">
        <f>IF(SUM($E180:H180)=1,0,I76)</f>
        <v>1</v>
      </c>
      <c r="J180" s="5">
        <f>IF(SUM($E180:I180)=1,0,J76)</f>
        <v>0</v>
      </c>
      <c r="K180" s="5">
        <f>IF(SUM($E180:J180)=1,0,K76)</f>
        <v>0</v>
      </c>
      <c r="L180" s="5">
        <f>IF(SUM($E180:K180)=1,0,L76)</f>
        <v>0</v>
      </c>
      <c r="M180" s="5">
        <f>IF(SUM($E180:L180)=1,0,M76)</f>
        <v>0</v>
      </c>
      <c r="N180" s="5">
        <f>IF(SUM($E180:M180)=1,0,N76)</f>
        <v>0</v>
      </c>
      <c r="O180" s="5">
        <f>IF(SUM($E180:N180)=1,0,O76)</f>
        <v>0</v>
      </c>
      <c r="P180" s="5">
        <f>IF(SUM($E180:O180)=1,0,P76)</f>
        <v>0</v>
      </c>
      <c r="Q180" s="5">
        <f>IF(SUM($E180:P180)=1,0,Q76)</f>
        <v>0</v>
      </c>
      <c r="R180" s="5">
        <f>IF(SUM($E180:Q180)=1,0,R76)</f>
        <v>0</v>
      </c>
      <c r="S180" s="5">
        <f>IF(SUM($E180:R180)=1,0,S76)</f>
        <v>0</v>
      </c>
      <c r="T180" s="5">
        <f>IF(SUM($E180:S180)=1,0,T76)</f>
        <v>0</v>
      </c>
      <c r="U180" s="5">
        <f>IF(SUM($E180:T180)=1,0,U76)</f>
        <v>0</v>
      </c>
      <c r="V180" s="5">
        <f>IF(SUM($E180:U180)=1,0,V76)</f>
        <v>0</v>
      </c>
      <c r="W180" s="5">
        <f>IF(SUM($E180:V180)=1,0,W76)</f>
        <v>0</v>
      </c>
      <c r="X180" s="5">
        <f>IF(SUM($E180:W180)=1,0,X76)</f>
        <v>0</v>
      </c>
      <c r="Y180" s="5">
        <f>IF(SUM($E180:X180)=1,0,Y76)</f>
        <v>0</v>
      </c>
      <c r="Z180" s="5">
        <f>IF(SUM($E180:Y180)=1,0,Z76)</f>
        <v>0</v>
      </c>
      <c r="AA180" s="5">
        <f t="shared" si="2"/>
        <v>1</v>
      </c>
    </row>
    <row r="181" spans="3:27" hidden="1" x14ac:dyDescent="0.2">
      <c r="C181" s="18" t="str">
        <f t="shared" si="0"/>
        <v>jinishgohil@yahoo.co.in</v>
      </c>
      <c r="E181" s="5">
        <f t="shared" si="1"/>
        <v>0</v>
      </c>
      <c r="F181" s="5">
        <f>IF(SUM($E181:E181)=1,0,F77)</f>
        <v>0</v>
      </c>
      <c r="G181" s="5">
        <f>IF(SUM($E181:F181)=1,0,G77)</f>
        <v>0</v>
      </c>
      <c r="H181" s="5">
        <f>IF(SUM($E181:G181)=1,0,H77)</f>
        <v>0</v>
      </c>
      <c r="I181" s="5">
        <f>IF(SUM($E181:H181)=1,0,I77)</f>
        <v>0</v>
      </c>
      <c r="J181" s="5">
        <f>IF(SUM($E181:I181)=1,0,J77)</f>
        <v>0</v>
      </c>
      <c r="K181" s="5">
        <f>IF(SUM($E181:J181)=1,0,K77)</f>
        <v>0</v>
      </c>
      <c r="L181" s="5">
        <f>IF(SUM($E181:K181)=1,0,L77)</f>
        <v>1</v>
      </c>
      <c r="M181" s="5">
        <f>IF(SUM($E181:L181)=1,0,M77)</f>
        <v>0</v>
      </c>
      <c r="N181" s="5">
        <f>IF(SUM($E181:M181)=1,0,N77)</f>
        <v>0</v>
      </c>
      <c r="O181" s="5">
        <f>IF(SUM($E181:N181)=1,0,O77)</f>
        <v>0</v>
      </c>
      <c r="P181" s="5">
        <f>IF(SUM($E181:O181)=1,0,P77)</f>
        <v>0</v>
      </c>
      <c r="Q181" s="5">
        <f>IF(SUM($E181:P181)=1,0,Q77)</f>
        <v>0</v>
      </c>
      <c r="R181" s="5">
        <f>IF(SUM($E181:Q181)=1,0,R77)</f>
        <v>0</v>
      </c>
      <c r="S181" s="5">
        <f>IF(SUM($E181:R181)=1,0,S77)</f>
        <v>0</v>
      </c>
      <c r="T181" s="5">
        <f>IF(SUM($E181:S181)=1,0,T77)</f>
        <v>0</v>
      </c>
      <c r="U181" s="5">
        <f>IF(SUM($E181:T181)=1,0,U77)</f>
        <v>0</v>
      </c>
      <c r="V181" s="5">
        <f>IF(SUM($E181:U181)=1,0,V77)</f>
        <v>0</v>
      </c>
      <c r="W181" s="5">
        <f>IF(SUM($E181:V181)=1,0,W77)</f>
        <v>0</v>
      </c>
      <c r="X181" s="5">
        <f>IF(SUM($E181:W181)=1,0,X77)</f>
        <v>0</v>
      </c>
      <c r="Y181" s="5">
        <f>IF(SUM($E181:X181)=1,0,Y77)</f>
        <v>0</v>
      </c>
      <c r="Z181" s="5">
        <f>IF(SUM($E181:Y181)=1,0,Z77)</f>
        <v>0</v>
      </c>
      <c r="AA181" s="5">
        <f t="shared" si="2"/>
        <v>1</v>
      </c>
    </row>
    <row r="182" spans="3:27" hidden="1" x14ac:dyDescent="0.2">
      <c r="C182" s="18" t="str">
        <f t="shared" si="0"/>
        <v>jon.chikly@gmail.com</v>
      </c>
      <c r="E182" s="5">
        <f t="shared" si="1"/>
        <v>0</v>
      </c>
      <c r="F182" s="5">
        <f>IF(SUM($E182:E182)=1,0,F78)</f>
        <v>0</v>
      </c>
      <c r="G182" s="5">
        <f>IF(SUM($E182:F182)=1,0,G78)</f>
        <v>0</v>
      </c>
      <c r="H182" s="5">
        <f>IF(SUM($E182:G182)=1,0,H78)</f>
        <v>0</v>
      </c>
      <c r="I182" s="5">
        <f>IF(SUM($E182:H182)=1,0,I78)</f>
        <v>1</v>
      </c>
      <c r="J182" s="5">
        <f>IF(SUM($E182:I182)=1,0,J78)</f>
        <v>0</v>
      </c>
      <c r="K182" s="5">
        <f>IF(SUM($E182:J182)=1,0,K78)</f>
        <v>0</v>
      </c>
      <c r="L182" s="5">
        <f>IF(SUM($E182:K182)=1,0,L78)</f>
        <v>0</v>
      </c>
      <c r="M182" s="5">
        <f>IF(SUM($E182:L182)=1,0,M78)</f>
        <v>0</v>
      </c>
      <c r="N182" s="5">
        <f>IF(SUM($E182:M182)=1,0,N78)</f>
        <v>0</v>
      </c>
      <c r="O182" s="5">
        <f>IF(SUM($E182:N182)=1,0,O78)</f>
        <v>0</v>
      </c>
      <c r="P182" s="5">
        <f>IF(SUM($E182:O182)=1,0,P78)</f>
        <v>0</v>
      </c>
      <c r="Q182" s="5">
        <f>IF(SUM($E182:P182)=1,0,Q78)</f>
        <v>0</v>
      </c>
      <c r="R182" s="5">
        <f>IF(SUM($E182:Q182)=1,0,R78)</f>
        <v>0</v>
      </c>
      <c r="S182" s="5">
        <f>IF(SUM($E182:R182)=1,0,S78)</f>
        <v>0</v>
      </c>
      <c r="T182" s="5">
        <f>IF(SUM($E182:S182)=1,0,T78)</f>
        <v>0</v>
      </c>
      <c r="U182" s="5">
        <f>IF(SUM($E182:T182)=1,0,U78)</f>
        <v>0</v>
      </c>
      <c r="V182" s="5">
        <f>IF(SUM($E182:U182)=1,0,V78)</f>
        <v>0</v>
      </c>
      <c r="W182" s="5">
        <f>IF(SUM($E182:V182)=1,0,W78)</f>
        <v>0</v>
      </c>
      <c r="X182" s="5">
        <f>IF(SUM($E182:W182)=1,0,X78)</f>
        <v>0</v>
      </c>
      <c r="Y182" s="5">
        <f>IF(SUM($E182:X182)=1,0,Y78)</f>
        <v>0</v>
      </c>
      <c r="Z182" s="5">
        <f>IF(SUM($E182:Y182)=1,0,Z78)</f>
        <v>0</v>
      </c>
      <c r="AA182" s="5">
        <f t="shared" si="2"/>
        <v>1</v>
      </c>
    </row>
    <row r="183" spans="3:27" hidden="1" x14ac:dyDescent="0.2">
      <c r="C183" s="18" t="str">
        <f t="shared" si="0"/>
        <v>jones_daniela@yahoo.co.uk</v>
      </c>
      <c r="E183" s="5">
        <f t="shared" si="1"/>
        <v>0</v>
      </c>
      <c r="F183" s="5">
        <f>IF(SUM($E183:E183)=1,0,F79)</f>
        <v>0</v>
      </c>
      <c r="G183" s="5">
        <f>IF(SUM($E183:F183)=1,0,G79)</f>
        <v>0</v>
      </c>
      <c r="H183" s="5">
        <f>IF(SUM($E183:G183)=1,0,H79)</f>
        <v>1</v>
      </c>
      <c r="I183" s="5">
        <f>IF(SUM($E183:H183)=1,0,I79)</f>
        <v>0</v>
      </c>
      <c r="J183" s="5">
        <f>IF(SUM($E183:I183)=1,0,J79)</f>
        <v>0</v>
      </c>
      <c r="K183" s="5">
        <f>IF(SUM($E183:J183)=1,0,K79)</f>
        <v>0</v>
      </c>
      <c r="L183" s="5">
        <f>IF(SUM($E183:K183)=1,0,L79)</f>
        <v>0</v>
      </c>
      <c r="M183" s="5">
        <f>IF(SUM($E183:L183)=1,0,M79)</f>
        <v>0</v>
      </c>
      <c r="N183" s="5">
        <f>IF(SUM($E183:M183)=1,0,N79)</f>
        <v>0</v>
      </c>
      <c r="O183" s="5">
        <f>IF(SUM($E183:N183)=1,0,O79)</f>
        <v>0</v>
      </c>
      <c r="P183" s="5">
        <f>IF(SUM($E183:O183)=1,0,P79)</f>
        <v>0</v>
      </c>
      <c r="Q183" s="5">
        <f>IF(SUM($E183:P183)=1,0,Q79)</f>
        <v>0</v>
      </c>
      <c r="R183" s="5">
        <f>IF(SUM($E183:Q183)=1,0,R79)</f>
        <v>0</v>
      </c>
      <c r="S183" s="5">
        <f>IF(SUM($E183:R183)=1,0,S79)</f>
        <v>0</v>
      </c>
      <c r="T183" s="5">
        <f>IF(SUM($E183:S183)=1,0,T79)</f>
        <v>0</v>
      </c>
      <c r="U183" s="5">
        <f>IF(SUM($E183:T183)=1,0,U79)</f>
        <v>0</v>
      </c>
      <c r="V183" s="5">
        <f>IF(SUM($E183:U183)=1,0,V79)</f>
        <v>0</v>
      </c>
      <c r="W183" s="5">
        <f>IF(SUM($E183:V183)=1,0,W79)</f>
        <v>0</v>
      </c>
      <c r="X183" s="5">
        <f>IF(SUM($E183:W183)=1,0,X79)</f>
        <v>0</v>
      </c>
      <c r="Y183" s="5">
        <f>IF(SUM($E183:X183)=1,0,Y79)</f>
        <v>0</v>
      </c>
      <c r="Z183" s="5">
        <f>IF(SUM($E183:Y183)=1,0,Z79)</f>
        <v>0</v>
      </c>
      <c r="AA183" s="5">
        <f t="shared" si="2"/>
        <v>1</v>
      </c>
    </row>
    <row r="184" spans="3:27" hidden="1" x14ac:dyDescent="0.2">
      <c r="C184" s="18" t="str">
        <f t="shared" si="0"/>
        <v>juanpablo.dltc@gmail.com</v>
      </c>
      <c r="E184" s="5">
        <f t="shared" si="1"/>
        <v>0</v>
      </c>
      <c r="F184" s="5">
        <f>IF(SUM($E184:E184)=1,0,F80)</f>
        <v>0</v>
      </c>
      <c r="G184" s="5">
        <f>IF(SUM($E184:F184)=1,0,G80)</f>
        <v>0</v>
      </c>
      <c r="H184" s="5">
        <f>IF(SUM($E184:G184)=1,0,H80)</f>
        <v>0</v>
      </c>
      <c r="I184" s="5">
        <f>IF(SUM($E184:H184)=1,0,I80)</f>
        <v>0</v>
      </c>
      <c r="J184" s="5">
        <f>IF(SUM($E184:I184)=1,0,J80)</f>
        <v>0</v>
      </c>
      <c r="K184" s="5">
        <f>IF(SUM($E184:J184)=1,0,K80)</f>
        <v>0</v>
      </c>
      <c r="L184" s="5">
        <f>IF(SUM($E184:K184)=1,0,L80)</f>
        <v>0</v>
      </c>
      <c r="M184" s="5">
        <f>IF(SUM($E184:L184)=1,0,M80)</f>
        <v>0</v>
      </c>
      <c r="N184" s="5">
        <f>IF(SUM($E184:M184)=1,0,N80)</f>
        <v>0</v>
      </c>
      <c r="O184" s="5">
        <f>IF(SUM($E184:N184)=1,0,O80)</f>
        <v>0</v>
      </c>
      <c r="P184" s="5">
        <f>IF(SUM($E184:O184)=1,0,P80)</f>
        <v>0</v>
      </c>
      <c r="Q184" s="5">
        <f>IF(SUM($E184:P184)=1,0,Q80)</f>
        <v>0</v>
      </c>
      <c r="R184" s="5">
        <f>IF(SUM($E184:Q184)=1,0,R80)</f>
        <v>0</v>
      </c>
      <c r="S184" s="5">
        <f>IF(SUM($E184:R184)=1,0,S80)</f>
        <v>0</v>
      </c>
      <c r="T184" s="5">
        <f>IF(SUM($E184:S184)=1,0,T80)</f>
        <v>0</v>
      </c>
      <c r="U184" s="5">
        <f>IF(SUM($E184:T184)=1,0,U80)</f>
        <v>0</v>
      </c>
      <c r="V184" s="5">
        <f>IF(SUM($E184:U184)=1,0,V80)</f>
        <v>0</v>
      </c>
      <c r="W184" s="5">
        <f>IF(SUM($E184:V184)=1,0,W80)</f>
        <v>0</v>
      </c>
      <c r="X184" s="5">
        <f>IF(SUM($E184:W184)=1,0,X80)</f>
        <v>1</v>
      </c>
      <c r="Y184" s="5">
        <f>IF(SUM($E184:X184)=1,0,Y80)</f>
        <v>0</v>
      </c>
      <c r="Z184" s="5">
        <f>IF(SUM($E184:Y184)=1,0,Z80)</f>
        <v>0</v>
      </c>
      <c r="AA184" s="5">
        <f t="shared" si="2"/>
        <v>1</v>
      </c>
    </row>
    <row r="185" spans="3:27" hidden="1" x14ac:dyDescent="0.2">
      <c r="C185" s="18" t="str">
        <f t="shared" si="0"/>
        <v>jz548282@gmail.com</v>
      </c>
      <c r="E185" s="5">
        <f t="shared" si="1"/>
        <v>0</v>
      </c>
      <c r="F185" s="5">
        <f>IF(SUM($E185:E185)=1,0,F81)</f>
        <v>0</v>
      </c>
      <c r="G185" s="5">
        <f>IF(SUM($E185:F185)=1,0,G81)</f>
        <v>0</v>
      </c>
      <c r="H185" s="5">
        <f>IF(SUM($E185:G185)=1,0,H81)</f>
        <v>0</v>
      </c>
      <c r="I185" s="5">
        <f>IF(SUM($E185:H185)=1,0,I81)</f>
        <v>0</v>
      </c>
      <c r="J185" s="5">
        <f>IF(SUM($E185:I185)=1,0,J81)</f>
        <v>0</v>
      </c>
      <c r="K185" s="5">
        <f>IF(SUM($E185:J185)=1,0,K81)</f>
        <v>0</v>
      </c>
      <c r="L185" s="5">
        <f>IF(SUM($E185:K185)=1,0,L81)</f>
        <v>1</v>
      </c>
      <c r="M185" s="5">
        <f>IF(SUM($E185:L185)=1,0,M81)</f>
        <v>0</v>
      </c>
      <c r="N185" s="5">
        <f>IF(SUM($E185:M185)=1,0,N81)</f>
        <v>0</v>
      </c>
      <c r="O185" s="5">
        <f>IF(SUM($E185:N185)=1,0,O81)</f>
        <v>0</v>
      </c>
      <c r="P185" s="5">
        <f>IF(SUM($E185:O185)=1,0,P81)</f>
        <v>0</v>
      </c>
      <c r="Q185" s="5">
        <f>IF(SUM($E185:P185)=1,0,Q81)</f>
        <v>0</v>
      </c>
      <c r="R185" s="5">
        <f>IF(SUM($E185:Q185)=1,0,R81)</f>
        <v>0</v>
      </c>
      <c r="S185" s="5">
        <f>IF(SUM($E185:R185)=1,0,S81)</f>
        <v>0</v>
      </c>
      <c r="T185" s="5">
        <f>IF(SUM($E185:S185)=1,0,T81)</f>
        <v>0</v>
      </c>
      <c r="U185" s="5">
        <f>IF(SUM($E185:T185)=1,0,U81)</f>
        <v>0</v>
      </c>
      <c r="V185" s="5">
        <f>IF(SUM($E185:U185)=1,0,V81)</f>
        <v>0</v>
      </c>
      <c r="W185" s="5">
        <f>IF(SUM($E185:V185)=1,0,W81)</f>
        <v>0</v>
      </c>
      <c r="X185" s="5">
        <f>IF(SUM($E185:W185)=1,0,X81)</f>
        <v>0</v>
      </c>
      <c r="Y185" s="5">
        <f>IF(SUM($E185:X185)=1,0,Y81)</f>
        <v>0</v>
      </c>
      <c r="Z185" s="5">
        <f>IF(SUM($E185:Y185)=1,0,Z81)</f>
        <v>0</v>
      </c>
      <c r="AA185" s="5">
        <f t="shared" si="2"/>
        <v>1</v>
      </c>
    </row>
    <row r="186" spans="3:27" hidden="1" x14ac:dyDescent="0.2">
      <c r="C186" s="18" t="str">
        <f t="shared" si="0"/>
        <v>katherineyr.kim@gmail.com</v>
      </c>
      <c r="E186" s="5">
        <f t="shared" si="1"/>
        <v>0</v>
      </c>
      <c r="F186" s="5">
        <f>IF(SUM($E186:E186)=1,0,F82)</f>
        <v>1</v>
      </c>
      <c r="G186" s="5">
        <f>IF(SUM($E186:F186)=1,0,G82)</f>
        <v>0</v>
      </c>
      <c r="H186" s="5">
        <f>IF(SUM($E186:G186)=1,0,H82)</f>
        <v>0</v>
      </c>
      <c r="I186" s="5">
        <f>IF(SUM($E186:H186)=1,0,I82)</f>
        <v>0</v>
      </c>
      <c r="J186" s="5">
        <f>IF(SUM($E186:I186)=1,0,J82)</f>
        <v>0</v>
      </c>
      <c r="K186" s="5">
        <f>IF(SUM($E186:J186)=1,0,K82)</f>
        <v>0</v>
      </c>
      <c r="L186" s="5">
        <f>IF(SUM($E186:K186)=1,0,L82)</f>
        <v>0</v>
      </c>
      <c r="M186" s="5">
        <f>IF(SUM($E186:L186)=1,0,M82)</f>
        <v>0</v>
      </c>
      <c r="N186" s="5">
        <f>IF(SUM($E186:M186)=1,0,N82)</f>
        <v>0</v>
      </c>
      <c r="O186" s="5">
        <f>IF(SUM($E186:N186)=1,0,O82)</f>
        <v>0</v>
      </c>
      <c r="P186" s="5">
        <f>IF(SUM($E186:O186)=1,0,P82)</f>
        <v>0</v>
      </c>
      <c r="Q186" s="5">
        <f>IF(SUM($E186:P186)=1,0,Q82)</f>
        <v>0</v>
      </c>
      <c r="R186" s="5">
        <f>IF(SUM($E186:Q186)=1,0,R82)</f>
        <v>0</v>
      </c>
      <c r="S186" s="5">
        <f>IF(SUM($E186:R186)=1,0,S82)</f>
        <v>0</v>
      </c>
      <c r="T186" s="5">
        <f>IF(SUM($E186:S186)=1,0,T82)</f>
        <v>0</v>
      </c>
      <c r="U186" s="5">
        <f>IF(SUM($E186:T186)=1,0,U82)</f>
        <v>0</v>
      </c>
      <c r="V186" s="5">
        <f>IF(SUM($E186:U186)=1,0,V82)</f>
        <v>0</v>
      </c>
      <c r="W186" s="5">
        <f>IF(SUM($E186:V186)=1,0,W82)</f>
        <v>0</v>
      </c>
      <c r="X186" s="5">
        <f>IF(SUM($E186:W186)=1,0,X82)</f>
        <v>0</v>
      </c>
      <c r="Y186" s="5">
        <f>IF(SUM($E186:X186)=1,0,Y82)</f>
        <v>0</v>
      </c>
      <c r="Z186" s="5">
        <f>IF(SUM($E186:Y186)=1,0,Z82)</f>
        <v>0</v>
      </c>
      <c r="AA186" s="5">
        <f t="shared" si="2"/>
        <v>1</v>
      </c>
    </row>
    <row r="187" spans="3:27" hidden="1" x14ac:dyDescent="0.2">
      <c r="C187" s="18" t="str">
        <f t="shared" si="0"/>
        <v>khan.saretta@gmail.com</v>
      </c>
      <c r="E187" s="5">
        <f t="shared" si="1"/>
        <v>0</v>
      </c>
      <c r="F187" s="5">
        <f>IF(SUM($E187:E187)=1,0,F83)</f>
        <v>0</v>
      </c>
      <c r="G187" s="5">
        <f>IF(SUM($E187:F187)=1,0,G83)</f>
        <v>0</v>
      </c>
      <c r="H187" s="5">
        <f>IF(SUM($E187:G187)=1,0,H83)</f>
        <v>1</v>
      </c>
      <c r="I187" s="5">
        <f>IF(SUM($E187:H187)=1,0,I83)</f>
        <v>0</v>
      </c>
      <c r="J187" s="5">
        <f>IF(SUM($E187:I187)=1,0,J83)</f>
        <v>0</v>
      </c>
      <c r="K187" s="5">
        <f>IF(SUM($E187:J187)=1,0,K83)</f>
        <v>0</v>
      </c>
      <c r="L187" s="5">
        <f>IF(SUM($E187:K187)=1,0,L83)</f>
        <v>0</v>
      </c>
      <c r="M187" s="5">
        <f>IF(SUM($E187:L187)=1,0,M83)</f>
        <v>0</v>
      </c>
      <c r="N187" s="5">
        <f>IF(SUM($E187:M187)=1,0,N83)</f>
        <v>0</v>
      </c>
      <c r="O187" s="5">
        <f>IF(SUM($E187:N187)=1,0,O83)</f>
        <v>0</v>
      </c>
      <c r="P187" s="5">
        <f>IF(SUM($E187:O187)=1,0,P83)</f>
        <v>0</v>
      </c>
      <c r="Q187" s="5">
        <f>IF(SUM($E187:P187)=1,0,Q83)</f>
        <v>0</v>
      </c>
      <c r="R187" s="5">
        <f>IF(SUM($E187:Q187)=1,0,R83)</f>
        <v>0</v>
      </c>
      <c r="S187" s="5">
        <f>IF(SUM($E187:R187)=1,0,S83)</f>
        <v>0</v>
      </c>
      <c r="T187" s="5">
        <f>IF(SUM($E187:S187)=1,0,T83)</f>
        <v>0</v>
      </c>
      <c r="U187" s="5">
        <f>IF(SUM($E187:T187)=1,0,U83)</f>
        <v>0</v>
      </c>
      <c r="V187" s="5">
        <f>IF(SUM($E187:U187)=1,0,V83)</f>
        <v>0</v>
      </c>
      <c r="W187" s="5">
        <f>IF(SUM($E187:V187)=1,0,W83)</f>
        <v>0</v>
      </c>
      <c r="X187" s="5">
        <f>IF(SUM($E187:W187)=1,0,X83)</f>
        <v>0</v>
      </c>
      <c r="Y187" s="5">
        <f>IF(SUM($E187:X187)=1,0,Y83)</f>
        <v>0</v>
      </c>
      <c r="Z187" s="5">
        <f>IF(SUM($E187:Y187)=1,0,Z83)</f>
        <v>0</v>
      </c>
      <c r="AA187" s="5">
        <f t="shared" si="2"/>
        <v>1</v>
      </c>
    </row>
    <row r="188" spans="3:27" hidden="1" x14ac:dyDescent="0.2">
      <c r="C188" s="18" t="str">
        <f t="shared" si="0"/>
        <v>kittyor.or@gmail.com</v>
      </c>
      <c r="E188" s="5">
        <f t="shared" si="1"/>
        <v>0</v>
      </c>
      <c r="F188" s="5">
        <f>IF(SUM($E188:E188)=1,0,F84)</f>
        <v>0</v>
      </c>
      <c r="G188" s="5">
        <f>IF(SUM($E188:F188)=1,0,G84)</f>
        <v>0</v>
      </c>
      <c r="H188" s="5">
        <f>IF(SUM($E188:G188)=1,0,H84)</f>
        <v>0</v>
      </c>
      <c r="I188" s="5">
        <f>IF(SUM($E188:H188)=1,0,I84)</f>
        <v>0</v>
      </c>
      <c r="J188" s="5">
        <f>IF(SUM($E188:I188)=1,0,J84)</f>
        <v>0</v>
      </c>
      <c r="K188" s="5">
        <f>IF(SUM($E188:J188)=1,0,K84)</f>
        <v>0</v>
      </c>
      <c r="L188" s="5">
        <f>IF(SUM($E188:K188)=1,0,L84)</f>
        <v>0</v>
      </c>
      <c r="M188" s="5">
        <f>IF(SUM($E188:L188)=1,0,M84)</f>
        <v>1</v>
      </c>
      <c r="N188" s="5">
        <f>IF(SUM($E188:M188)=1,0,N84)</f>
        <v>0</v>
      </c>
      <c r="O188" s="5">
        <f>IF(SUM($E188:N188)=1,0,O84)</f>
        <v>0</v>
      </c>
      <c r="P188" s="5">
        <f>IF(SUM($E188:O188)=1,0,P84)</f>
        <v>0</v>
      </c>
      <c r="Q188" s="5">
        <f>IF(SUM($E188:P188)=1,0,Q84)</f>
        <v>0</v>
      </c>
      <c r="R188" s="5">
        <f>IF(SUM($E188:Q188)=1,0,R84)</f>
        <v>0</v>
      </c>
      <c r="S188" s="5">
        <f>IF(SUM($E188:R188)=1,0,S84)</f>
        <v>0</v>
      </c>
      <c r="T188" s="5">
        <f>IF(SUM($E188:S188)=1,0,T84)</f>
        <v>0</v>
      </c>
      <c r="U188" s="5">
        <f>IF(SUM($E188:T188)=1,0,U84)</f>
        <v>0</v>
      </c>
      <c r="V188" s="5">
        <f>IF(SUM($E188:U188)=1,0,V84)</f>
        <v>0</v>
      </c>
      <c r="W188" s="5">
        <f>IF(SUM($E188:V188)=1,0,W84)</f>
        <v>0</v>
      </c>
      <c r="X188" s="5">
        <f>IF(SUM($E188:W188)=1,0,X84)</f>
        <v>0</v>
      </c>
      <c r="Y188" s="5">
        <f>IF(SUM($E188:X188)=1,0,Y84)</f>
        <v>0</v>
      </c>
      <c r="Z188" s="5">
        <f>IF(SUM($E188:Y188)=1,0,Z84)</f>
        <v>0</v>
      </c>
      <c r="AA188" s="5">
        <f t="shared" si="2"/>
        <v>1</v>
      </c>
    </row>
    <row r="189" spans="3:27" hidden="1" x14ac:dyDescent="0.2">
      <c r="C189" s="18" t="str">
        <f t="shared" si="0"/>
        <v>lanidoms@gmail.com</v>
      </c>
      <c r="E189" s="5">
        <f t="shared" si="1"/>
        <v>0</v>
      </c>
      <c r="F189" s="5">
        <f>IF(SUM($E189:E189)=1,0,F85)</f>
        <v>0</v>
      </c>
      <c r="G189" s="5">
        <f>IF(SUM($E189:F189)=1,0,G85)</f>
        <v>0</v>
      </c>
      <c r="H189" s="5">
        <f>IF(SUM($E189:G189)=1,0,H85)</f>
        <v>0</v>
      </c>
      <c r="I189" s="5">
        <f>IF(SUM($E189:H189)=1,0,I85)</f>
        <v>0</v>
      </c>
      <c r="J189" s="5">
        <f>IF(SUM($E189:I189)=1,0,J85)</f>
        <v>0</v>
      </c>
      <c r="K189" s="5">
        <f>IF(SUM($E189:J189)=1,0,K85)</f>
        <v>0</v>
      </c>
      <c r="L189" s="5">
        <f>IF(SUM($E189:K189)=1,0,L85)</f>
        <v>0</v>
      </c>
      <c r="M189" s="5">
        <f>IF(SUM($E189:L189)=1,0,M85)</f>
        <v>0</v>
      </c>
      <c r="N189" s="5">
        <f>IF(SUM($E189:M189)=1,0,N85)</f>
        <v>0</v>
      </c>
      <c r="O189" s="5">
        <f>IF(SUM($E189:N189)=1,0,O85)</f>
        <v>0</v>
      </c>
      <c r="P189" s="5">
        <f>IF(SUM($E189:O189)=1,0,P85)</f>
        <v>0</v>
      </c>
      <c r="Q189" s="5">
        <f>IF(SUM($E189:P189)=1,0,Q85)</f>
        <v>0</v>
      </c>
      <c r="R189" s="5">
        <f>IF(SUM($E189:Q189)=1,0,R85)</f>
        <v>1</v>
      </c>
      <c r="S189" s="5">
        <f>IF(SUM($E189:R189)=1,0,S85)</f>
        <v>0</v>
      </c>
      <c r="T189" s="5">
        <f>IF(SUM($E189:S189)=1,0,T85)</f>
        <v>0</v>
      </c>
      <c r="U189" s="5">
        <f>IF(SUM($E189:T189)=1,0,U85)</f>
        <v>0</v>
      </c>
      <c r="V189" s="5">
        <f>IF(SUM($E189:U189)=1,0,V85)</f>
        <v>0</v>
      </c>
      <c r="W189" s="5">
        <f>IF(SUM($E189:V189)=1,0,W85)</f>
        <v>0</v>
      </c>
      <c r="X189" s="5">
        <f>IF(SUM($E189:W189)=1,0,X85)</f>
        <v>0</v>
      </c>
      <c r="Y189" s="5">
        <f>IF(SUM($E189:X189)=1,0,Y85)</f>
        <v>0</v>
      </c>
      <c r="Z189" s="5">
        <f>IF(SUM($E189:Y189)=1,0,Z85)</f>
        <v>0</v>
      </c>
      <c r="AA189" s="5">
        <f t="shared" si="2"/>
        <v>1</v>
      </c>
    </row>
    <row r="190" spans="3:27" hidden="1" x14ac:dyDescent="0.2">
      <c r="C190" s="18" t="str">
        <f t="shared" si="0"/>
        <v>laurabrown148@gmail.com</v>
      </c>
      <c r="E190" s="5">
        <f t="shared" si="1"/>
        <v>1</v>
      </c>
      <c r="F190" s="5">
        <f>IF(SUM($E190:E190)=1,0,F86)</f>
        <v>0</v>
      </c>
      <c r="G190" s="5">
        <f>IF(SUM($E190:F190)=1,0,G86)</f>
        <v>0</v>
      </c>
      <c r="H190" s="5">
        <f>IF(SUM($E190:G190)=1,0,H86)</f>
        <v>0</v>
      </c>
      <c r="I190" s="5">
        <f>IF(SUM($E190:H190)=1,0,I86)</f>
        <v>0</v>
      </c>
      <c r="J190" s="5">
        <f>IF(SUM($E190:I190)=1,0,J86)</f>
        <v>0</v>
      </c>
      <c r="K190" s="5">
        <f>IF(SUM($E190:J190)=1,0,K86)</f>
        <v>0</v>
      </c>
      <c r="L190" s="5">
        <f>IF(SUM($E190:K190)=1,0,L86)</f>
        <v>0</v>
      </c>
      <c r="M190" s="5">
        <f>IF(SUM($E190:L190)=1,0,M86)</f>
        <v>0</v>
      </c>
      <c r="N190" s="5">
        <f>IF(SUM($E190:M190)=1,0,N86)</f>
        <v>0</v>
      </c>
      <c r="O190" s="5">
        <f>IF(SUM($E190:N190)=1,0,O86)</f>
        <v>0</v>
      </c>
      <c r="P190" s="5">
        <f>IF(SUM($E190:O190)=1,0,P86)</f>
        <v>0</v>
      </c>
      <c r="Q190" s="5">
        <f>IF(SUM($E190:P190)=1,0,Q86)</f>
        <v>0</v>
      </c>
      <c r="R190" s="5">
        <f>IF(SUM($E190:Q190)=1,0,R86)</f>
        <v>0</v>
      </c>
      <c r="S190" s="5">
        <f>IF(SUM($E190:R190)=1,0,S86)</f>
        <v>0</v>
      </c>
      <c r="T190" s="5">
        <f>IF(SUM($E190:S190)=1,0,T86)</f>
        <v>0</v>
      </c>
      <c r="U190" s="5">
        <f>IF(SUM($E190:T190)=1,0,U86)</f>
        <v>0</v>
      </c>
      <c r="V190" s="5">
        <f>IF(SUM($E190:U190)=1,0,V86)</f>
        <v>0</v>
      </c>
      <c r="W190" s="5">
        <f>IF(SUM($E190:V190)=1,0,W86)</f>
        <v>0</v>
      </c>
      <c r="X190" s="5">
        <f>IF(SUM($E190:W190)=1,0,X86)</f>
        <v>0</v>
      </c>
      <c r="Y190" s="5">
        <f>IF(SUM($E190:X190)=1,0,Y86)</f>
        <v>0</v>
      </c>
      <c r="Z190" s="5">
        <f>IF(SUM($E190:Y190)=1,0,Z86)</f>
        <v>0</v>
      </c>
      <c r="AA190" s="5">
        <f t="shared" si="2"/>
        <v>1</v>
      </c>
    </row>
    <row r="191" spans="3:27" hidden="1" x14ac:dyDescent="0.2">
      <c r="C191" s="18" t="str">
        <f t="shared" si="0"/>
        <v>Laure.kroely@gmail.com</v>
      </c>
      <c r="E191" s="5">
        <f t="shared" si="1"/>
        <v>0</v>
      </c>
      <c r="F191" s="5">
        <f>IF(SUM($E191:E191)=1,0,F87)</f>
        <v>0</v>
      </c>
      <c r="G191" s="5">
        <f>IF(SUM($E191:F191)=1,0,G87)</f>
        <v>0</v>
      </c>
      <c r="H191" s="5">
        <f>IF(SUM($E191:G191)=1,0,H87)</f>
        <v>0</v>
      </c>
      <c r="I191" s="5">
        <f>IF(SUM($E191:H191)=1,0,I87)</f>
        <v>0</v>
      </c>
      <c r="J191" s="5">
        <f>IF(SUM($E191:I191)=1,0,J87)</f>
        <v>0</v>
      </c>
      <c r="K191" s="5">
        <f>IF(SUM($E191:J191)=1,0,K87)</f>
        <v>0</v>
      </c>
      <c r="L191" s="5">
        <f>IF(SUM($E191:K191)=1,0,L87)</f>
        <v>0</v>
      </c>
      <c r="M191" s="5">
        <f>IF(SUM($E191:L191)=1,0,M87)</f>
        <v>0</v>
      </c>
      <c r="N191" s="5">
        <f>IF(SUM($E191:M191)=1,0,N87)</f>
        <v>0</v>
      </c>
      <c r="O191" s="5">
        <f>IF(SUM($E191:N191)=1,0,O87)</f>
        <v>0</v>
      </c>
      <c r="P191" s="5">
        <f>IF(SUM($E191:O191)=1,0,P87)</f>
        <v>0</v>
      </c>
      <c r="Q191" s="5">
        <f>IF(SUM($E191:P191)=1,0,Q87)</f>
        <v>0</v>
      </c>
      <c r="R191" s="5">
        <f>IF(SUM($E191:Q191)=1,0,R87)</f>
        <v>0</v>
      </c>
      <c r="S191" s="5">
        <f>IF(SUM($E191:R191)=1,0,S87)</f>
        <v>0</v>
      </c>
      <c r="T191" s="5">
        <f>IF(SUM($E191:S191)=1,0,T87)</f>
        <v>0</v>
      </c>
      <c r="U191" s="5">
        <f>IF(SUM($E191:T191)=1,0,U87)</f>
        <v>0</v>
      </c>
      <c r="V191" s="5">
        <f>IF(SUM($E191:U191)=1,0,V87)</f>
        <v>0</v>
      </c>
      <c r="W191" s="5">
        <f>IF(SUM($E191:V191)=1,0,W87)</f>
        <v>1</v>
      </c>
      <c r="X191" s="5">
        <f>IF(SUM($E191:W191)=1,0,X87)</f>
        <v>0</v>
      </c>
      <c r="Y191" s="5">
        <f>IF(SUM($E191:X191)=1,0,Y87)</f>
        <v>0</v>
      </c>
      <c r="Z191" s="5">
        <f>IF(SUM($E191:Y191)=1,0,Z87)</f>
        <v>0</v>
      </c>
      <c r="AA191" s="5">
        <f t="shared" si="2"/>
        <v>1</v>
      </c>
    </row>
    <row r="192" spans="3:27" hidden="1" x14ac:dyDescent="0.2">
      <c r="C192" s="18" t="str">
        <f t="shared" si="0"/>
        <v>lonmys@outlook.com</v>
      </c>
      <c r="E192" s="5">
        <f t="shared" si="1"/>
        <v>0</v>
      </c>
      <c r="F192" s="5">
        <f>IF(SUM($E192:E192)=1,0,F88)</f>
        <v>0</v>
      </c>
      <c r="G192" s="5">
        <f>IF(SUM($E192:F192)=1,0,G88)</f>
        <v>0</v>
      </c>
      <c r="H192" s="5">
        <f>IF(SUM($E192:G192)=1,0,H88)</f>
        <v>0</v>
      </c>
      <c r="I192" s="5">
        <f>IF(SUM($E192:H192)=1,0,I88)</f>
        <v>0</v>
      </c>
      <c r="J192" s="5">
        <f>IF(SUM($E192:I192)=1,0,J88)</f>
        <v>0</v>
      </c>
      <c r="K192" s="5">
        <f>IF(SUM($E192:J192)=1,0,K88)</f>
        <v>0</v>
      </c>
      <c r="L192" s="5">
        <f>IF(SUM($E192:K192)=1,0,L88)</f>
        <v>0</v>
      </c>
      <c r="M192" s="5">
        <f>IF(SUM($E192:L192)=1,0,M88)</f>
        <v>0</v>
      </c>
      <c r="N192" s="5">
        <f>IF(SUM($E192:M192)=1,0,N88)</f>
        <v>0</v>
      </c>
      <c r="O192" s="5">
        <f>IF(SUM($E192:N192)=1,0,O88)</f>
        <v>0</v>
      </c>
      <c r="P192" s="5">
        <f>IF(SUM($E192:O192)=1,0,P88)</f>
        <v>0</v>
      </c>
      <c r="Q192" s="5">
        <f>IF(SUM($E192:P192)=1,0,Q88)</f>
        <v>0</v>
      </c>
      <c r="R192" s="5">
        <f>IF(SUM($E192:Q192)=1,0,R88)</f>
        <v>0</v>
      </c>
      <c r="S192" s="5">
        <f>IF(SUM($E192:R192)=1,0,S88)</f>
        <v>1</v>
      </c>
      <c r="T192" s="5">
        <f>IF(SUM($E192:S192)=1,0,T88)</f>
        <v>0</v>
      </c>
      <c r="U192" s="5">
        <f>IF(SUM($E192:T192)=1,0,U88)</f>
        <v>0</v>
      </c>
      <c r="V192" s="5">
        <f>IF(SUM($E192:U192)=1,0,V88)</f>
        <v>0</v>
      </c>
      <c r="W192" s="5">
        <f>IF(SUM($E192:V192)=1,0,W88)</f>
        <v>0</v>
      </c>
      <c r="X192" s="5">
        <f>IF(SUM($E192:W192)=1,0,X88)</f>
        <v>0</v>
      </c>
      <c r="Y192" s="5">
        <f>IF(SUM($E192:X192)=1,0,Y88)</f>
        <v>0</v>
      </c>
      <c r="Z192" s="5">
        <f>IF(SUM($E192:Y192)=1,0,Z88)</f>
        <v>0</v>
      </c>
      <c r="AA192" s="5">
        <f t="shared" si="2"/>
        <v>1</v>
      </c>
    </row>
    <row r="193" spans="3:27" hidden="1" x14ac:dyDescent="0.2">
      <c r="C193" s="18" t="str">
        <f t="shared" si="0"/>
        <v>louise.ly.chow@gmail.com</v>
      </c>
      <c r="E193" s="5">
        <f t="shared" si="1"/>
        <v>0</v>
      </c>
      <c r="F193" s="5">
        <f>IF(SUM($E193:E193)=1,0,F89)</f>
        <v>0</v>
      </c>
      <c r="G193" s="5">
        <f>IF(SUM($E193:F193)=1,0,G89)</f>
        <v>1</v>
      </c>
      <c r="H193" s="5">
        <f>IF(SUM($E193:G193)=1,0,H89)</f>
        <v>0</v>
      </c>
      <c r="I193" s="5">
        <f>IF(SUM($E193:H193)=1,0,I89)</f>
        <v>0</v>
      </c>
      <c r="J193" s="5">
        <f>IF(SUM($E193:I193)=1,0,J89)</f>
        <v>0</v>
      </c>
      <c r="K193" s="5">
        <f>IF(SUM($E193:J193)=1,0,K89)</f>
        <v>0</v>
      </c>
      <c r="L193" s="5">
        <f>IF(SUM($E193:K193)=1,0,L89)</f>
        <v>0</v>
      </c>
      <c r="M193" s="5">
        <f>IF(SUM($E193:L193)=1,0,M89)</f>
        <v>0</v>
      </c>
      <c r="N193" s="5">
        <f>IF(SUM($E193:M193)=1,0,N89)</f>
        <v>0</v>
      </c>
      <c r="O193" s="5">
        <f>IF(SUM($E193:N193)=1,0,O89)</f>
        <v>0</v>
      </c>
      <c r="P193" s="5">
        <f>IF(SUM($E193:O193)=1,0,P89)</f>
        <v>0</v>
      </c>
      <c r="Q193" s="5">
        <f>IF(SUM($E193:P193)=1,0,Q89)</f>
        <v>0</v>
      </c>
      <c r="R193" s="5">
        <f>IF(SUM($E193:Q193)=1,0,R89)</f>
        <v>0</v>
      </c>
      <c r="S193" s="5">
        <f>IF(SUM($E193:R193)=1,0,S89)</f>
        <v>0</v>
      </c>
      <c r="T193" s="5">
        <f>IF(SUM($E193:S193)=1,0,T89)</f>
        <v>0</v>
      </c>
      <c r="U193" s="5">
        <f>IF(SUM($E193:T193)=1,0,U89)</f>
        <v>0</v>
      </c>
      <c r="V193" s="5">
        <f>IF(SUM($E193:U193)=1,0,V89)</f>
        <v>0</v>
      </c>
      <c r="W193" s="5">
        <f>IF(SUM($E193:V193)=1,0,W89)</f>
        <v>0</v>
      </c>
      <c r="X193" s="5">
        <f>IF(SUM($E193:W193)=1,0,X89)</f>
        <v>0</v>
      </c>
      <c r="Y193" s="5">
        <f>IF(SUM($E193:X193)=1,0,Y89)</f>
        <v>0</v>
      </c>
      <c r="Z193" s="5">
        <f>IF(SUM($E193:Y193)=1,0,Z89)</f>
        <v>0</v>
      </c>
      <c r="AA193" s="5">
        <f t="shared" si="2"/>
        <v>1</v>
      </c>
    </row>
    <row r="194" spans="3:27" hidden="1" x14ac:dyDescent="0.2">
      <c r="C194" s="18" t="str">
        <f t="shared" si="0"/>
        <v>lucyzhou2@hotmail.com</v>
      </c>
      <c r="E194" s="5">
        <f t="shared" si="1"/>
        <v>1</v>
      </c>
      <c r="F194" s="5">
        <f>IF(SUM($E194:E194)=1,0,F90)</f>
        <v>0</v>
      </c>
      <c r="G194" s="5">
        <f>IF(SUM($E194:F194)=1,0,G90)</f>
        <v>0</v>
      </c>
      <c r="H194" s="5">
        <f>IF(SUM($E194:G194)=1,0,H90)</f>
        <v>0</v>
      </c>
      <c r="I194" s="5">
        <f>IF(SUM($E194:H194)=1,0,I90)</f>
        <v>0</v>
      </c>
      <c r="J194" s="5">
        <f>IF(SUM($E194:I194)=1,0,J90)</f>
        <v>0</v>
      </c>
      <c r="K194" s="5">
        <f>IF(SUM($E194:J194)=1,0,K90)</f>
        <v>0</v>
      </c>
      <c r="L194" s="5">
        <f>IF(SUM($E194:K194)=1,0,L90)</f>
        <v>0</v>
      </c>
      <c r="M194" s="5">
        <f>IF(SUM($E194:L194)=1,0,M90)</f>
        <v>0</v>
      </c>
      <c r="N194" s="5">
        <f>IF(SUM($E194:M194)=1,0,N90)</f>
        <v>0</v>
      </c>
      <c r="O194" s="5">
        <f>IF(SUM($E194:N194)=1,0,O90)</f>
        <v>0</v>
      </c>
      <c r="P194" s="5">
        <f>IF(SUM($E194:O194)=1,0,P90)</f>
        <v>0</v>
      </c>
      <c r="Q194" s="5">
        <f>IF(SUM($E194:P194)=1,0,Q90)</f>
        <v>0</v>
      </c>
      <c r="R194" s="5">
        <f>IF(SUM($E194:Q194)=1,0,R90)</f>
        <v>0</v>
      </c>
      <c r="S194" s="5">
        <f>IF(SUM($E194:R194)=1,0,S90)</f>
        <v>0</v>
      </c>
      <c r="T194" s="5">
        <f>IF(SUM($E194:S194)=1,0,T90)</f>
        <v>0</v>
      </c>
      <c r="U194" s="5">
        <f>IF(SUM($E194:T194)=1,0,U90)</f>
        <v>0</v>
      </c>
      <c r="V194" s="5">
        <f>IF(SUM($E194:U194)=1,0,V90)</f>
        <v>0</v>
      </c>
      <c r="W194" s="5">
        <f>IF(SUM($E194:V194)=1,0,W90)</f>
        <v>0</v>
      </c>
      <c r="X194" s="5">
        <f>IF(SUM($E194:W194)=1,0,X90)</f>
        <v>0</v>
      </c>
      <c r="Y194" s="5">
        <f>IF(SUM($E194:X194)=1,0,Y90)</f>
        <v>0</v>
      </c>
      <c r="Z194" s="5">
        <f>IF(SUM($E194:Y194)=1,0,Z90)</f>
        <v>0</v>
      </c>
      <c r="AA194" s="5">
        <f t="shared" si="2"/>
        <v>1</v>
      </c>
    </row>
    <row r="195" spans="3:27" hidden="1" x14ac:dyDescent="0.2">
      <c r="C195" s="18" t="str">
        <f t="shared" si="0"/>
        <v>maestromattheww@yahoo.co.uk</v>
      </c>
      <c r="E195" s="5">
        <f t="shared" si="1"/>
        <v>0</v>
      </c>
      <c r="F195" s="5">
        <f>IF(SUM($E195:E195)=1,0,F91)</f>
        <v>0</v>
      </c>
      <c r="G195" s="5">
        <f>IF(SUM($E195:F195)=1,0,G91)</f>
        <v>0</v>
      </c>
      <c r="H195" s="5">
        <f>IF(SUM($E195:G195)=1,0,H91)</f>
        <v>0</v>
      </c>
      <c r="I195" s="5">
        <f>IF(SUM($E195:H195)=1,0,I91)</f>
        <v>0</v>
      </c>
      <c r="J195" s="5">
        <f>IF(SUM($E195:I195)=1,0,J91)</f>
        <v>0</v>
      </c>
      <c r="K195" s="5">
        <f>IF(SUM($E195:J195)=1,0,K91)</f>
        <v>0</v>
      </c>
      <c r="L195" s="5">
        <f>IF(SUM($E195:K195)=1,0,L91)</f>
        <v>1</v>
      </c>
      <c r="M195" s="5">
        <f>IF(SUM($E195:L195)=1,0,M91)</f>
        <v>0</v>
      </c>
      <c r="N195" s="5">
        <f>IF(SUM($E195:M195)=1,0,N91)</f>
        <v>0</v>
      </c>
      <c r="O195" s="5">
        <f>IF(SUM($E195:N195)=1,0,O91)</f>
        <v>0</v>
      </c>
      <c r="P195" s="5">
        <f>IF(SUM($E195:O195)=1,0,P91)</f>
        <v>0</v>
      </c>
      <c r="Q195" s="5">
        <f>IF(SUM($E195:P195)=1,0,Q91)</f>
        <v>0</v>
      </c>
      <c r="R195" s="5">
        <f>IF(SUM($E195:Q195)=1,0,R91)</f>
        <v>0</v>
      </c>
      <c r="S195" s="5">
        <f>IF(SUM($E195:R195)=1,0,S91)</f>
        <v>0</v>
      </c>
      <c r="T195" s="5">
        <f>IF(SUM($E195:S195)=1,0,T91)</f>
        <v>0</v>
      </c>
      <c r="U195" s="5">
        <f>IF(SUM($E195:T195)=1,0,U91)</f>
        <v>0</v>
      </c>
      <c r="V195" s="5">
        <f>IF(SUM($E195:U195)=1,0,V91)</f>
        <v>0</v>
      </c>
      <c r="W195" s="5">
        <f>IF(SUM($E195:V195)=1,0,W91)</f>
        <v>0</v>
      </c>
      <c r="X195" s="5">
        <f>IF(SUM($E195:W195)=1,0,X91)</f>
        <v>0</v>
      </c>
      <c r="Y195" s="5">
        <f>IF(SUM($E195:X195)=1,0,Y91)</f>
        <v>0</v>
      </c>
      <c r="Z195" s="5">
        <f>IF(SUM($E195:Y195)=1,0,Z91)</f>
        <v>0</v>
      </c>
      <c r="AA195" s="5">
        <f t="shared" si="2"/>
        <v>1</v>
      </c>
    </row>
    <row r="196" spans="3:27" hidden="1" x14ac:dyDescent="0.2">
      <c r="C196" s="18" t="str">
        <f t="shared" si="0"/>
        <v>matthew.hoza@gmail.com</v>
      </c>
      <c r="E196" s="5">
        <f t="shared" si="1"/>
        <v>0</v>
      </c>
      <c r="F196" s="5">
        <f>IF(SUM($E196:E196)=1,0,F92)</f>
        <v>0</v>
      </c>
      <c r="G196" s="5">
        <f>IF(SUM($E196:F196)=1,0,G92)</f>
        <v>0</v>
      </c>
      <c r="H196" s="5">
        <f>IF(SUM($E196:G196)=1,0,H92)</f>
        <v>0</v>
      </c>
      <c r="I196" s="5">
        <f>IF(SUM($E196:H196)=1,0,I92)</f>
        <v>0</v>
      </c>
      <c r="J196" s="5">
        <f>IF(SUM($E196:I196)=1,0,J92)</f>
        <v>0</v>
      </c>
      <c r="K196" s="5">
        <f>IF(SUM($E196:J196)=1,0,K92)</f>
        <v>0</v>
      </c>
      <c r="L196" s="5">
        <f>IF(SUM($E196:K196)=1,0,L92)</f>
        <v>0</v>
      </c>
      <c r="M196" s="5">
        <f>IF(SUM($E196:L196)=1,0,M92)</f>
        <v>0</v>
      </c>
      <c r="N196" s="5">
        <f>IF(SUM($E196:M196)=1,0,N92)</f>
        <v>0</v>
      </c>
      <c r="O196" s="5">
        <f>IF(SUM($E196:N196)=1,0,O92)</f>
        <v>0</v>
      </c>
      <c r="P196" s="5">
        <f>IF(SUM($E196:O196)=1,0,P92)</f>
        <v>0</v>
      </c>
      <c r="Q196" s="5">
        <f>IF(SUM($E196:P196)=1,0,Q92)</f>
        <v>0</v>
      </c>
      <c r="R196" s="5">
        <f>IF(SUM($E196:Q196)=1,0,R92)</f>
        <v>0</v>
      </c>
      <c r="S196" s="5">
        <f>IF(SUM($E196:R196)=1,0,S92)</f>
        <v>0</v>
      </c>
      <c r="T196" s="5">
        <f>IF(SUM($E196:S196)=1,0,T92)</f>
        <v>0</v>
      </c>
      <c r="U196" s="5">
        <f>IF(SUM($E196:T196)=1,0,U92)</f>
        <v>0</v>
      </c>
      <c r="V196" s="5">
        <f>IF(SUM($E196:U196)=1,0,V92)</f>
        <v>0</v>
      </c>
      <c r="W196" s="5">
        <f>IF(SUM($E196:V196)=1,0,W92)</f>
        <v>0</v>
      </c>
      <c r="X196" s="5">
        <f>IF(SUM($E196:W196)=1,0,X92)</f>
        <v>1</v>
      </c>
      <c r="Y196" s="5">
        <f>IF(SUM($E196:X196)=1,0,Y92)</f>
        <v>0</v>
      </c>
      <c r="Z196" s="5">
        <f>IF(SUM($E196:Y196)=1,0,Z92)</f>
        <v>0</v>
      </c>
      <c r="AA196" s="5">
        <f t="shared" si="2"/>
        <v>1</v>
      </c>
    </row>
    <row r="197" spans="3:27" hidden="1" x14ac:dyDescent="0.2">
      <c r="C197" s="18" t="str">
        <f t="shared" si="0"/>
        <v>mm.manolova@yahoo.com</v>
      </c>
      <c r="E197" s="5">
        <f t="shared" si="1"/>
        <v>0</v>
      </c>
      <c r="F197" s="5">
        <f>IF(SUM($E197:E197)=1,0,F93)</f>
        <v>0</v>
      </c>
      <c r="G197" s="5">
        <f>IF(SUM($E197:F197)=1,0,G93)</f>
        <v>0</v>
      </c>
      <c r="H197" s="5">
        <f>IF(SUM($E197:G197)=1,0,H93)</f>
        <v>0</v>
      </c>
      <c r="I197" s="5">
        <f>IF(SUM($E197:H197)=1,0,I93)</f>
        <v>0</v>
      </c>
      <c r="J197" s="5">
        <f>IF(SUM($E197:I197)=1,0,J93)</f>
        <v>0</v>
      </c>
      <c r="K197" s="5">
        <f>IF(SUM($E197:J197)=1,0,K93)</f>
        <v>0</v>
      </c>
      <c r="L197" s="5">
        <f>IF(SUM($E197:K197)=1,0,L93)</f>
        <v>0</v>
      </c>
      <c r="M197" s="5">
        <f>IF(SUM($E197:L197)=1,0,M93)</f>
        <v>0</v>
      </c>
      <c r="N197" s="5">
        <f>IF(SUM($E197:M197)=1,0,N93)</f>
        <v>0</v>
      </c>
      <c r="O197" s="5">
        <f>IF(SUM($E197:N197)=1,0,O93)</f>
        <v>0</v>
      </c>
      <c r="P197" s="5">
        <f>IF(SUM($E197:O197)=1,0,P93)</f>
        <v>0</v>
      </c>
      <c r="Q197" s="5">
        <f>IF(SUM($E197:P197)=1,0,Q93)</f>
        <v>0</v>
      </c>
      <c r="R197" s="5">
        <f>IF(SUM($E197:Q197)=1,0,R93)</f>
        <v>0</v>
      </c>
      <c r="S197" s="5">
        <f>IF(SUM($E197:R197)=1,0,S93)</f>
        <v>0</v>
      </c>
      <c r="T197" s="5">
        <f>IF(SUM($E197:S197)=1,0,T93)</f>
        <v>0</v>
      </c>
      <c r="U197" s="5">
        <f>IF(SUM($E197:T197)=1,0,U93)</f>
        <v>1</v>
      </c>
      <c r="V197" s="5">
        <f>IF(SUM($E197:U197)=1,0,V93)</f>
        <v>0</v>
      </c>
      <c r="W197" s="5">
        <f>IF(SUM($E197:V197)=1,0,W93)</f>
        <v>0</v>
      </c>
      <c r="X197" s="5">
        <f>IF(SUM($E197:W197)=1,0,X93)</f>
        <v>0</v>
      </c>
      <c r="Y197" s="5">
        <f>IF(SUM($E197:X197)=1,0,Y93)</f>
        <v>0</v>
      </c>
      <c r="Z197" s="5">
        <f>IF(SUM($E197:Y197)=1,0,Z93)</f>
        <v>0</v>
      </c>
      <c r="AA197" s="5">
        <f t="shared" si="2"/>
        <v>1</v>
      </c>
    </row>
    <row r="198" spans="3:27" hidden="1" x14ac:dyDescent="0.2">
      <c r="C198" s="18" t="str">
        <f t="shared" si="0"/>
        <v>monique.blemur@gmail.com</v>
      </c>
      <c r="E198" s="5">
        <f t="shared" si="1"/>
        <v>0</v>
      </c>
      <c r="F198" s="5">
        <f>IF(SUM($E198:E198)=1,0,F94)</f>
        <v>0</v>
      </c>
      <c r="G198" s="5">
        <f>IF(SUM($E198:F198)=1,0,G94)</f>
        <v>1</v>
      </c>
      <c r="H198" s="5">
        <f>IF(SUM($E198:G198)=1,0,H94)</f>
        <v>0</v>
      </c>
      <c r="I198" s="5">
        <f>IF(SUM($E198:H198)=1,0,I94)</f>
        <v>0</v>
      </c>
      <c r="J198" s="5">
        <f>IF(SUM($E198:I198)=1,0,J94)</f>
        <v>0</v>
      </c>
      <c r="K198" s="5">
        <f>IF(SUM($E198:J198)=1,0,K94)</f>
        <v>0</v>
      </c>
      <c r="L198" s="5">
        <f>IF(SUM($E198:K198)=1,0,L94)</f>
        <v>0</v>
      </c>
      <c r="M198" s="5">
        <f>IF(SUM($E198:L198)=1,0,M94)</f>
        <v>0</v>
      </c>
      <c r="N198" s="5">
        <f>IF(SUM($E198:M198)=1,0,N94)</f>
        <v>0</v>
      </c>
      <c r="O198" s="5">
        <f>IF(SUM($E198:N198)=1,0,O94)</f>
        <v>0</v>
      </c>
      <c r="P198" s="5">
        <f>IF(SUM($E198:O198)=1,0,P94)</f>
        <v>0</v>
      </c>
      <c r="Q198" s="5">
        <f>IF(SUM($E198:P198)=1,0,Q94)</f>
        <v>0</v>
      </c>
      <c r="R198" s="5">
        <f>IF(SUM($E198:Q198)=1,0,R94)</f>
        <v>0</v>
      </c>
      <c r="S198" s="5">
        <f>IF(SUM($E198:R198)=1,0,S94)</f>
        <v>0</v>
      </c>
      <c r="T198" s="5">
        <f>IF(SUM($E198:S198)=1,0,T94)</f>
        <v>0</v>
      </c>
      <c r="U198" s="5">
        <f>IF(SUM($E198:T198)=1,0,U94)</f>
        <v>0</v>
      </c>
      <c r="V198" s="5">
        <f>IF(SUM($E198:U198)=1,0,V94)</f>
        <v>0</v>
      </c>
      <c r="W198" s="5">
        <f>IF(SUM($E198:V198)=1,0,W94)</f>
        <v>0</v>
      </c>
      <c r="X198" s="5">
        <f>IF(SUM($E198:W198)=1,0,X94)</f>
        <v>0</v>
      </c>
      <c r="Y198" s="5">
        <f>IF(SUM($E198:X198)=1,0,Y94)</f>
        <v>0</v>
      </c>
      <c r="Z198" s="5">
        <f>IF(SUM($E198:Y198)=1,0,Z94)</f>
        <v>0</v>
      </c>
      <c r="AA198" s="5">
        <f t="shared" si="2"/>
        <v>1</v>
      </c>
    </row>
    <row r="199" spans="3:27" hidden="1" x14ac:dyDescent="0.2">
      <c r="C199" s="18" t="str">
        <f t="shared" si="0"/>
        <v>Nataliokolie@gmail.com</v>
      </c>
      <c r="E199" s="5">
        <f t="shared" si="1"/>
        <v>0</v>
      </c>
      <c r="F199" s="5">
        <f>IF(SUM($E199:E199)=1,0,F95)</f>
        <v>0</v>
      </c>
      <c r="G199" s="5">
        <f>IF(SUM($E199:F199)=1,0,G95)</f>
        <v>0</v>
      </c>
      <c r="H199" s="5">
        <f>IF(SUM($E199:G199)=1,0,H95)</f>
        <v>0</v>
      </c>
      <c r="I199" s="5">
        <f>IF(SUM($E199:H199)=1,0,I95)</f>
        <v>0</v>
      </c>
      <c r="J199" s="5">
        <f>IF(SUM($E199:I199)=1,0,J95)</f>
        <v>0</v>
      </c>
      <c r="K199" s="5">
        <f>IF(SUM($E199:J199)=1,0,K95)</f>
        <v>0</v>
      </c>
      <c r="L199" s="5">
        <f>IF(SUM($E199:K199)=1,0,L95)</f>
        <v>0</v>
      </c>
      <c r="M199" s="5">
        <f>IF(SUM($E199:L199)=1,0,M95)</f>
        <v>0</v>
      </c>
      <c r="N199" s="5">
        <f>IF(SUM($E199:M199)=1,0,N95)</f>
        <v>0</v>
      </c>
      <c r="O199" s="5">
        <f>IF(SUM($E199:N199)=1,0,O95)</f>
        <v>0</v>
      </c>
      <c r="P199" s="5">
        <f>IF(SUM($E199:O199)=1,0,P95)</f>
        <v>0</v>
      </c>
      <c r="Q199" s="5">
        <f>IF(SUM($E199:P199)=1,0,Q95)</f>
        <v>0</v>
      </c>
      <c r="R199" s="5">
        <f>IF(SUM($E199:Q199)=1,0,R95)</f>
        <v>0</v>
      </c>
      <c r="S199" s="5">
        <f>IF(SUM($E199:R199)=1,0,S95)</f>
        <v>0</v>
      </c>
      <c r="T199" s="5">
        <f>IF(SUM($E199:S199)=1,0,T95)</f>
        <v>0</v>
      </c>
      <c r="U199" s="5">
        <f>IF(SUM($E199:T199)=1,0,U95)</f>
        <v>0</v>
      </c>
      <c r="V199" s="5">
        <f>IF(SUM($E199:U199)=1,0,V95)</f>
        <v>0</v>
      </c>
      <c r="W199" s="5">
        <f>IF(SUM($E199:V199)=1,0,W95)</f>
        <v>1</v>
      </c>
      <c r="X199" s="5">
        <f>IF(SUM($E199:W199)=1,0,X95)</f>
        <v>0</v>
      </c>
      <c r="Y199" s="5">
        <f>IF(SUM($E199:X199)=1,0,Y95)</f>
        <v>0</v>
      </c>
      <c r="Z199" s="5">
        <f>IF(SUM($E199:Y199)=1,0,Z95)</f>
        <v>0</v>
      </c>
      <c r="AA199" s="5">
        <f t="shared" si="2"/>
        <v>1</v>
      </c>
    </row>
    <row r="200" spans="3:27" hidden="1" x14ac:dyDescent="0.2">
      <c r="C200" s="18" t="str">
        <f t="shared" si="0"/>
        <v>natashapavlovskaya23@gmail.com</v>
      </c>
      <c r="E200" s="5">
        <f t="shared" si="1"/>
        <v>0</v>
      </c>
      <c r="F200" s="5">
        <f>IF(SUM($E200:E200)=1,0,F96)</f>
        <v>0</v>
      </c>
      <c r="G200" s="5">
        <f>IF(SUM($E200:F200)=1,0,G96)</f>
        <v>0</v>
      </c>
      <c r="H200" s="5">
        <f>IF(SUM($E200:G200)=1,0,H96)</f>
        <v>1</v>
      </c>
      <c r="I200" s="5">
        <f>IF(SUM($E200:H200)=1,0,I96)</f>
        <v>0</v>
      </c>
      <c r="J200" s="5">
        <f>IF(SUM($E200:I200)=1,0,J96)</f>
        <v>0</v>
      </c>
      <c r="K200" s="5">
        <f>IF(SUM($E200:J200)=1,0,K96)</f>
        <v>0</v>
      </c>
      <c r="L200" s="5">
        <f>IF(SUM($E200:K200)=1,0,L96)</f>
        <v>0</v>
      </c>
      <c r="M200" s="5">
        <f>IF(SUM($E200:L200)=1,0,M96)</f>
        <v>0</v>
      </c>
      <c r="N200" s="5">
        <f>IF(SUM($E200:M200)=1,0,N96)</f>
        <v>0</v>
      </c>
      <c r="O200" s="5">
        <f>IF(SUM($E200:N200)=1,0,O96)</f>
        <v>0</v>
      </c>
      <c r="P200" s="5">
        <f>IF(SUM($E200:O200)=1,0,P96)</f>
        <v>0</v>
      </c>
      <c r="Q200" s="5">
        <f>IF(SUM($E200:P200)=1,0,Q96)</f>
        <v>0</v>
      </c>
      <c r="R200" s="5">
        <f>IF(SUM($E200:Q200)=1,0,R96)</f>
        <v>0</v>
      </c>
      <c r="S200" s="5">
        <f>IF(SUM($E200:R200)=1,0,S96)</f>
        <v>0</v>
      </c>
      <c r="T200" s="5">
        <f>IF(SUM($E200:S200)=1,0,T96)</f>
        <v>0</v>
      </c>
      <c r="U200" s="5">
        <f>IF(SUM($E200:T200)=1,0,U96)</f>
        <v>0</v>
      </c>
      <c r="V200" s="5">
        <f>IF(SUM($E200:U200)=1,0,V96)</f>
        <v>0</v>
      </c>
      <c r="W200" s="5">
        <f>IF(SUM($E200:V200)=1,0,W96)</f>
        <v>0</v>
      </c>
      <c r="X200" s="5">
        <f>IF(SUM($E200:W200)=1,0,X96)</f>
        <v>0</v>
      </c>
      <c r="Y200" s="5">
        <f>IF(SUM($E200:X200)=1,0,Y96)</f>
        <v>0</v>
      </c>
      <c r="Z200" s="5">
        <f>IF(SUM($E200:Y200)=1,0,Z96)</f>
        <v>0</v>
      </c>
      <c r="AA200" s="5">
        <f t="shared" si="2"/>
        <v>1</v>
      </c>
    </row>
    <row r="201" spans="3:27" hidden="1" x14ac:dyDescent="0.2">
      <c r="C201" s="18" t="str">
        <f t="shared" si="0"/>
        <v>ngg971@gmail.com</v>
      </c>
      <c r="E201" s="5">
        <f t="shared" si="1"/>
        <v>1</v>
      </c>
      <c r="F201" s="5">
        <f>IF(SUM($E201:E201)=1,0,F97)</f>
        <v>0</v>
      </c>
      <c r="G201" s="5">
        <f>IF(SUM($E201:F201)=1,0,G97)</f>
        <v>0</v>
      </c>
      <c r="H201" s="5">
        <f>IF(SUM($E201:G201)=1,0,H97)</f>
        <v>0</v>
      </c>
      <c r="I201" s="5">
        <f>IF(SUM($E201:H201)=1,0,I97)</f>
        <v>0</v>
      </c>
      <c r="J201" s="5">
        <f>IF(SUM($E201:I201)=1,0,J97)</f>
        <v>0</v>
      </c>
      <c r="K201" s="5">
        <f>IF(SUM($E201:J201)=1,0,K97)</f>
        <v>0</v>
      </c>
      <c r="L201" s="5">
        <f>IF(SUM($E201:K201)=1,0,L97)</f>
        <v>0</v>
      </c>
      <c r="M201" s="5">
        <f>IF(SUM($E201:L201)=1,0,M97)</f>
        <v>0</v>
      </c>
      <c r="N201" s="5">
        <f>IF(SUM($E201:M201)=1,0,N97)</f>
        <v>0</v>
      </c>
      <c r="O201" s="5">
        <f>IF(SUM($E201:N201)=1,0,O97)</f>
        <v>0</v>
      </c>
      <c r="P201" s="5">
        <f>IF(SUM($E201:O201)=1,0,P97)</f>
        <v>0</v>
      </c>
      <c r="Q201" s="5">
        <f>IF(SUM($E201:P201)=1,0,Q97)</f>
        <v>0</v>
      </c>
      <c r="R201" s="5">
        <f>IF(SUM($E201:Q201)=1,0,R97)</f>
        <v>0</v>
      </c>
      <c r="S201" s="5">
        <f>IF(SUM($E201:R201)=1,0,S97)</f>
        <v>0</v>
      </c>
      <c r="T201" s="5">
        <f>IF(SUM($E201:S201)=1,0,T97)</f>
        <v>0</v>
      </c>
      <c r="U201" s="5">
        <f>IF(SUM($E201:T201)=1,0,U97)</f>
        <v>0</v>
      </c>
      <c r="V201" s="5">
        <f>IF(SUM($E201:U201)=1,0,V97)</f>
        <v>0</v>
      </c>
      <c r="W201" s="5">
        <f>IF(SUM($E201:V201)=1,0,W97)</f>
        <v>0</v>
      </c>
      <c r="X201" s="5">
        <f>IF(SUM($E201:W201)=1,0,X97)</f>
        <v>0</v>
      </c>
      <c r="Y201" s="5">
        <f>IF(SUM($E201:X201)=1,0,Y97)</f>
        <v>0</v>
      </c>
      <c r="Z201" s="5">
        <f>IF(SUM($E201:Y201)=1,0,Z97)</f>
        <v>0</v>
      </c>
      <c r="AA201" s="5">
        <f t="shared" si="2"/>
        <v>1</v>
      </c>
    </row>
    <row r="202" spans="3:27" hidden="1" x14ac:dyDescent="0.2">
      <c r="C202" s="18" t="str">
        <f t="shared" si="0"/>
        <v>pelconsultingwork@gmail.com</v>
      </c>
      <c r="E202" s="5">
        <f t="shared" si="1"/>
        <v>0</v>
      </c>
      <c r="F202" s="5">
        <f>IF(SUM($E202:E202)=1,0,F98)</f>
        <v>0</v>
      </c>
      <c r="G202" s="5">
        <f>IF(SUM($E202:F202)=1,0,G98)</f>
        <v>0</v>
      </c>
      <c r="H202" s="5">
        <f>IF(SUM($E202:G202)=1,0,H98)</f>
        <v>0</v>
      </c>
      <c r="I202" s="5">
        <f>IF(SUM($E202:H202)=1,0,I98)</f>
        <v>0</v>
      </c>
      <c r="J202" s="5">
        <f>IF(SUM($E202:I202)=1,0,J98)</f>
        <v>0</v>
      </c>
      <c r="K202" s="5">
        <f>IF(SUM($E202:J202)=1,0,K98)</f>
        <v>0</v>
      </c>
      <c r="L202" s="5">
        <f>IF(SUM($E202:K202)=1,0,L98)</f>
        <v>0</v>
      </c>
      <c r="M202" s="5">
        <f>IF(SUM($E202:L202)=1,0,M98)</f>
        <v>0</v>
      </c>
      <c r="N202" s="5">
        <f>IF(SUM($E202:M202)=1,0,N98)</f>
        <v>0</v>
      </c>
      <c r="O202" s="5">
        <f>IF(SUM($E202:N202)=1,0,O98)</f>
        <v>0</v>
      </c>
      <c r="P202" s="5">
        <f>IF(SUM($E202:O202)=1,0,P98)</f>
        <v>0</v>
      </c>
      <c r="Q202" s="5">
        <f>IF(SUM($E202:P202)=1,0,Q98)</f>
        <v>0</v>
      </c>
      <c r="R202" s="5">
        <f>IF(SUM($E202:Q202)=1,0,R98)</f>
        <v>0</v>
      </c>
      <c r="S202" s="5">
        <f>IF(SUM($E202:R202)=1,0,S98)</f>
        <v>0</v>
      </c>
      <c r="T202" s="5">
        <f>IF(SUM($E202:S202)=1,0,T98)</f>
        <v>0</v>
      </c>
      <c r="U202" s="5">
        <f>IF(SUM($E202:T202)=1,0,U98)</f>
        <v>0</v>
      </c>
      <c r="V202" s="5">
        <f>IF(SUM($E202:U202)=1,0,V98)</f>
        <v>0</v>
      </c>
      <c r="W202" s="5">
        <f>IF(SUM($E202:V202)=1,0,W98)</f>
        <v>1</v>
      </c>
      <c r="X202" s="5">
        <f>IF(SUM($E202:W202)=1,0,X98)</f>
        <v>0</v>
      </c>
      <c r="Y202" s="5">
        <f>IF(SUM($E202:X202)=1,0,Y98)</f>
        <v>0</v>
      </c>
      <c r="Z202" s="5">
        <f>IF(SUM($E202:Y202)=1,0,Z98)</f>
        <v>0</v>
      </c>
      <c r="AA202" s="5">
        <f t="shared" si="2"/>
        <v>1</v>
      </c>
    </row>
    <row r="203" spans="3:27" hidden="1" x14ac:dyDescent="0.2">
      <c r="C203" s="18" t="str">
        <f t="shared" si="0"/>
        <v>pragyaptib@gmail.com</v>
      </c>
      <c r="E203" s="5">
        <f t="shared" si="1"/>
        <v>0</v>
      </c>
      <c r="F203" s="5">
        <f>IF(SUM($E203:E203)=1,0,F99)</f>
        <v>0</v>
      </c>
      <c r="G203" s="5">
        <f>IF(SUM($E203:F203)=1,0,G99)</f>
        <v>0</v>
      </c>
      <c r="H203" s="5">
        <f>IF(SUM($E203:G203)=1,0,H99)</f>
        <v>0</v>
      </c>
      <c r="I203" s="5">
        <f>IF(SUM($E203:H203)=1,0,I99)</f>
        <v>0</v>
      </c>
      <c r="J203" s="5">
        <f>IF(SUM($E203:I203)=1,0,J99)</f>
        <v>0</v>
      </c>
      <c r="K203" s="5">
        <f>IF(SUM($E203:J203)=1,0,K99)</f>
        <v>0</v>
      </c>
      <c r="L203" s="5">
        <f>IF(SUM($E203:K203)=1,0,L99)</f>
        <v>0</v>
      </c>
      <c r="M203" s="5">
        <f>IF(SUM($E203:L203)=1,0,M99)</f>
        <v>1</v>
      </c>
      <c r="N203" s="5">
        <f>IF(SUM($E203:M203)=1,0,N99)</f>
        <v>0</v>
      </c>
      <c r="O203" s="5">
        <f>IF(SUM($E203:N203)=1,0,O99)</f>
        <v>0</v>
      </c>
      <c r="P203" s="5">
        <f>IF(SUM($E203:O203)=1,0,P99)</f>
        <v>0</v>
      </c>
      <c r="Q203" s="5">
        <f>IF(SUM($E203:P203)=1,0,Q99)</f>
        <v>0</v>
      </c>
      <c r="R203" s="5">
        <f>IF(SUM($E203:Q203)=1,0,R99)</f>
        <v>0</v>
      </c>
      <c r="S203" s="5">
        <f>IF(SUM($E203:R203)=1,0,S99)</f>
        <v>0</v>
      </c>
      <c r="T203" s="5">
        <f>IF(SUM($E203:S203)=1,0,T99)</f>
        <v>0</v>
      </c>
      <c r="U203" s="5">
        <f>IF(SUM($E203:T203)=1,0,U99)</f>
        <v>0</v>
      </c>
      <c r="V203" s="5">
        <f>IF(SUM($E203:U203)=1,0,V99)</f>
        <v>0</v>
      </c>
      <c r="W203" s="5">
        <f>IF(SUM($E203:V203)=1,0,W99)</f>
        <v>0</v>
      </c>
      <c r="X203" s="5">
        <f>IF(SUM($E203:W203)=1,0,X99)</f>
        <v>0</v>
      </c>
      <c r="Y203" s="5">
        <f>IF(SUM($E203:X203)=1,0,Y99)</f>
        <v>0</v>
      </c>
      <c r="Z203" s="5">
        <f>IF(SUM($E203:Y203)=1,0,Z99)</f>
        <v>0</v>
      </c>
      <c r="AA203" s="5">
        <f t="shared" si="2"/>
        <v>1</v>
      </c>
    </row>
    <row r="204" spans="3:27" hidden="1" x14ac:dyDescent="0.2">
      <c r="C204" s="18" t="str">
        <f t="shared" ref="C204:C238" si="3">C100</f>
        <v>Richard_segal@yahoo.com</v>
      </c>
      <c r="E204" s="5">
        <f t="shared" ref="E204:E238" si="4">E100</f>
        <v>0</v>
      </c>
      <c r="F204" s="5">
        <f>IF(SUM($E204:E204)=1,0,F100)</f>
        <v>0</v>
      </c>
      <c r="G204" s="5">
        <f>IF(SUM($E204:F204)=1,0,G100)</f>
        <v>0</v>
      </c>
      <c r="H204" s="5">
        <f>IF(SUM($E204:G204)=1,0,H100)</f>
        <v>0</v>
      </c>
      <c r="I204" s="5">
        <f>IF(SUM($E204:H204)=1,0,I100)</f>
        <v>0</v>
      </c>
      <c r="J204" s="5">
        <f>IF(SUM($E204:I204)=1,0,J100)</f>
        <v>0</v>
      </c>
      <c r="K204" s="5">
        <f>IF(SUM($E204:J204)=1,0,K100)</f>
        <v>0</v>
      </c>
      <c r="L204" s="5">
        <f>IF(SUM($E204:K204)=1,0,L100)</f>
        <v>0</v>
      </c>
      <c r="M204" s="5">
        <f>IF(SUM($E204:L204)=1,0,M100)</f>
        <v>0</v>
      </c>
      <c r="N204" s="5">
        <f>IF(SUM($E204:M204)=1,0,N100)</f>
        <v>0</v>
      </c>
      <c r="O204" s="5">
        <f>IF(SUM($E204:N204)=1,0,O100)</f>
        <v>0</v>
      </c>
      <c r="P204" s="5">
        <f>IF(SUM($E204:O204)=1,0,P100)</f>
        <v>0</v>
      </c>
      <c r="Q204" s="5">
        <f>IF(SUM($E204:P204)=1,0,Q100)</f>
        <v>0</v>
      </c>
      <c r="R204" s="5">
        <f>IF(SUM($E204:Q204)=1,0,R100)</f>
        <v>0</v>
      </c>
      <c r="S204" s="5">
        <f>IF(SUM($E204:R204)=1,0,S100)</f>
        <v>0</v>
      </c>
      <c r="T204" s="5">
        <f>IF(SUM($E204:S204)=1,0,T100)</f>
        <v>0</v>
      </c>
      <c r="U204" s="5">
        <f>IF(SUM($E204:T204)=1,0,U100)</f>
        <v>0</v>
      </c>
      <c r="V204" s="5">
        <f>IF(SUM($E204:U204)=1,0,V100)</f>
        <v>0</v>
      </c>
      <c r="W204" s="5">
        <f>IF(SUM($E204:V204)=1,0,W100)</f>
        <v>1</v>
      </c>
      <c r="X204" s="5">
        <f>IF(SUM($E204:W204)=1,0,X100)</f>
        <v>0</v>
      </c>
      <c r="Y204" s="5">
        <f>IF(SUM($E204:X204)=1,0,Y100)</f>
        <v>0</v>
      </c>
      <c r="Z204" s="5">
        <f>IF(SUM($E204:Y204)=1,0,Z100)</f>
        <v>0</v>
      </c>
      <c r="AA204" s="5">
        <f t="shared" ref="AA204:AA226" si="5">SUM(E204:Z204)</f>
        <v>1</v>
      </c>
    </row>
    <row r="205" spans="3:27" hidden="1" x14ac:dyDescent="0.2">
      <c r="C205" s="18" t="str">
        <f t="shared" si="3"/>
        <v>roberthchapman@hotmail.com</v>
      </c>
      <c r="E205" s="5">
        <f t="shared" si="4"/>
        <v>1</v>
      </c>
      <c r="F205" s="5">
        <f>IF(SUM($E205:E205)=1,0,F101)</f>
        <v>0</v>
      </c>
      <c r="G205" s="5">
        <f>IF(SUM($E205:F205)=1,0,G101)</f>
        <v>0</v>
      </c>
      <c r="H205" s="5">
        <f>IF(SUM($E205:G205)=1,0,H101)</f>
        <v>0</v>
      </c>
      <c r="I205" s="5">
        <f>IF(SUM($E205:H205)=1,0,I101)</f>
        <v>0</v>
      </c>
      <c r="J205" s="5">
        <f>IF(SUM($E205:I205)=1,0,J101)</f>
        <v>0</v>
      </c>
      <c r="K205" s="5">
        <f>IF(SUM($E205:J205)=1,0,K101)</f>
        <v>0</v>
      </c>
      <c r="L205" s="5">
        <f>IF(SUM($E205:K205)=1,0,L101)</f>
        <v>0</v>
      </c>
      <c r="M205" s="5">
        <f>IF(SUM($E205:L205)=1,0,M101)</f>
        <v>0</v>
      </c>
      <c r="N205" s="5">
        <f>IF(SUM($E205:M205)=1,0,N101)</f>
        <v>0</v>
      </c>
      <c r="O205" s="5">
        <f>IF(SUM($E205:N205)=1,0,O101)</f>
        <v>0</v>
      </c>
      <c r="P205" s="5">
        <f>IF(SUM($E205:O205)=1,0,P101)</f>
        <v>0</v>
      </c>
      <c r="Q205" s="5">
        <f>IF(SUM($E205:P205)=1,0,Q101)</f>
        <v>0</v>
      </c>
      <c r="R205" s="5">
        <f>IF(SUM($E205:Q205)=1,0,R101)</f>
        <v>0</v>
      </c>
      <c r="S205" s="5">
        <f>IF(SUM($E205:R205)=1,0,S101)</f>
        <v>0</v>
      </c>
      <c r="T205" s="5">
        <f>IF(SUM($E205:S205)=1,0,T101)</f>
        <v>0</v>
      </c>
      <c r="U205" s="5">
        <f>IF(SUM($E205:T205)=1,0,U101)</f>
        <v>0</v>
      </c>
      <c r="V205" s="5">
        <f>IF(SUM($E205:U205)=1,0,V101)</f>
        <v>0</v>
      </c>
      <c r="W205" s="5">
        <f>IF(SUM($E205:V205)=1,0,W101)</f>
        <v>0</v>
      </c>
      <c r="X205" s="5">
        <f>IF(SUM($E205:W205)=1,0,X101)</f>
        <v>0</v>
      </c>
      <c r="Y205" s="5">
        <f>IF(SUM($E205:X205)=1,0,Y101)</f>
        <v>0</v>
      </c>
      <c r="Z205" s="5">
        <f>IF(SUM($E205:Y205)=1,0,Z101)</f>
        <v>0</v>
      </c>
      <c r="AA205" s="5">
        <f t="shared" si="5"/>
        <v>1</v>
      </c>
    </row>
    <row r="206" spans="3:27" hidden="1" x14ac:dyDescent="0.2">
      <c r="C206" s="18" t="str">
        <f t="shared" si="3"/>
        <v>rowan.bashar@gmail.com</v>
      </c>
      <c r="E206" s="5">
        <f t="shared" si="4"/>
        <v>0</v>
      </c>
      <c r="F206" s="5">
        <f>IF(SUM($E206:E206)=1,0,F102)</f>
        <v>0</v>
      </c>
      <c r="G206" s="5">
        <f>IF(SUM($E206:F206)=1,0,G102)</f>
        <v>0</v>
      </c>
      <c r="H206" s="5">
        <f>IF(SUM($E206:G206)=1,0,H102)</f>
        <v>0</v>
      </c>
      <c r="I206" s="5">
        <f>IF(SUM($E206:H206)=1,0,I102)</f>
        <v>1</v>
      </c>
      <c r="J206" s="5">
        <f>IF(SUM($E206:I206)=1,0,J102)</f>
        <v>0</v>
      </c>
      <c r="K206" s="5">
        <f>IF(SUM($E206:J206)=1,0,K102)</f>
        <v>0</v>
      </c>
      <c r="L206" s="5">
        <f>IF(SUM($E206:K206)=1,0,L102)</f>
        <v>0</v>
      </c>
      <c r="M206" s="5">
        <f>IF(SUM($E206:L206)=1,0,M102)</f>
        <v>0</v>
      </c>
      <c r="N206" s="5">
        <f>IF(SUM($E206:M206)=1,0,N102)</f>
        <v>0</v>
      </c>
      <c r="O206" s="5">
        <f>IF(SUM($E206:N206)=1,0,O102)</f>
        <v>0</v>
      </c>
      <c r="P206" s="5">
        <f>IF(SUM($E206:O206)=1,0,P102)</f>
        <v>0</v>
      </c>
      <c r="Q206" s="5">
        <f>IF(SUM($E206:P206)=1,0,Q102)</f>
        <v>0</v>
      </c>
      <c r="R206" s="5">
        <f>IF(SUM($E206:Q206)=1,0,R102)</f>
        <v>0</v>
      </c>
      <c r="S206" s="5">
        <f>IF(SUM($E206:R206)=1,0,S102)</f>
        <v>0</v>
      </c>
      <c r="T206" s="5">
        <f>IF(SUM($E206:S206)=1,0,T102)</f>
        <v>0</v>
      </c>
      <c r="U206" s="5">
        <f>IF(SUM($E206:T206)=1,0,U102)</f>
        <v>0</v>
      </c>
      <c r="V206" s="5">
        <f>IF(SUM($E206:U206)=1,0,V102)</f>
        <v>0</v>
      </c>
      <c r="W206" s="5">
        <f>IF(SUM($E206:V206)=1,0,W102)</f>
        <v>0</v>
      </c>
      <c r="X206" s="5">
        <f>IF(SUM($E206:W206)=1,0,X102)</f>
        <v>0</v>
      </c>
      <c r="Y206" s="5">
        <f>IF(SUM($E206:X206)=1,0,Y102)</f>
        <v>0</v>
      </c>
      <c r="Z206" s="5">
        <f>IF(SUM($E206:Y206)=1,0,Z102)</f>
        <v>0</v>
      </c>
      <c r="AA206" s="5">
        <f t="shared" si="5"/>
        <v>1</v>
      </c>
    </row>
    <row r="207" spans="3:27" hidden="1" x14ac:dyDescent="0.2">
      <c r="C207" s="18" t="str">
        <f t="shared" si="3"/>
        <v>rtranaita@gmail.com</v>
      </c>
      <c r="E207" s="5">
        <f t="shared" si="4"/>
        <v>0</v>
      </c>
      <c r="F207" s="5">
        <f>IF(SUM($E207:E207)=1,0,F103)</f>
        <v>1</v>
      </c>
      <c r="G207" s="5">
        <f>IF(SUM($E207:F207)=1,0,G103)</f>
        <v>0</v>
      </c>
      <c r="H207" s="5">
        <f>IF(SUM($E207:G207)=1,0,H103)</f>
        <v>0</v>
      </c>
      <c r="I207" s="5">
        <f>IF(SUM($E207:H207)=1,0,I103)</f>
        <v>0</v>
      </c>
      <c r="J207" s="5">
        <f>IF(SUM($E207:I207)=1,0,J103)</f>
        <v>0</v>
      </c>
      <c r="K207" s="5">
        <f>IF(SUM($E207:J207)=1,0,K103)</f>
        <v>0</v>
      </c>
      <c r="L207" s="5">
        <f>IF(SUM($E207:K207)=1,0,L103)</f>
        <v>0</v>
      </c>
      <c r="M207" s="5">
        <f>IF(SUM($E207:L207)=1,0,M103)</f>
        <v>0</v>
      </c>
      <c r="N207" s="5">
        <f>IF(SUM($E207:M207)=1,0,N103)</f>
        <v>0</v>
      </c>
      <c r="O207" s="5">
        <f>IF(SUM($E207:N207)=1,0,O103)</f>
        <v>0</v>
      </c>
      <c r="P207" s="5">
        <f>IF(SUM($E207:O207)=1,0,P103)</f>
        <v>0</v>
      </c>
      <c r="Q207" s="5">
        <f>IF(SUM($E207:P207)=1,0,Q103)</f>
        <v>0</v>
      </c>
      <c r="R207" s="5">
        <f>IF(SUM($E207:Q207)=1,0,R103)</f>
        <v>0</v>
      </c>
      <c r="S207" s="5">
        <f>IF(SUM($E207:R207)=1,0,S103)</f>
        <v>0</v>
      </c>
      <c r="T207" s="5">
        <f>IF(SUM($E207:S207)=1,0,T103)</f>
        <v>0</v>
      </c>
      <c r="U207" s="5">
        <f>IF(SUM($E207:T207)=1,0,U103)</f>
        <v>0</v>
      </c>
      <c r="V207" s="5">
        <f>IF(SUM($E207:U207)=1,0,V103)</f>
        <v>0</v>
      </c>
      <c r="W207" s="5">
        <f>IF(SUM($E207:V207)=1,0,W103)</f>
        <v>0</v>
      </c>
      <c r="X207" s="5">
        <f>IF(SUM($E207:W207)=1,0,X103)</f>
        <v>0</v>
      </c>
      <c r="Y207" s="5">
        <f>IF(SUM($E207:X207)=1,0,Y103)</f>
        <v>0</v>
      </c>
      <c r="Z207" s="5">
        <f>IF(SUM($E207:Y207)=1,0,Z103)</f>
        <v>0</v>
      </c>
      <c r="AA207" s="5">
        <f t="shared" si="5"/>
        <v>1</v>
      </c>
    </row>
    <row r="208" spans="3:27" hidden="1" x14ac:dyDescent="0.2">
      <c r="C208" s="18" t="str">
        <f t="shared" si="3"/>
        <v>sabinahaytbaeva@gmail.com</v>
      </c>
      <c r="E208" s="5">
        <f t="shared" si="4"/>
        <v>0</v>
      </c>
      <c r="F208" s="5">
        <f>IF(SUM($E208:E208)=1,0,F104)</f>
        <v>0</v>
      </c>
      <c r="G208" s="5">
        <f>IF(SUM($E208:F208)=1,0,G104)</f>
        <v>0</v>
      </c>
      <c r="H208" s="5">
        <f>IF(SUM($E208:G208)=1,0,H104)</f>
        <v>0</v>
      </c>
      <c r="I208" s="5">
        <f>IF(SUM($E208:H208)=1,0,I104)</f>
        <v>0</v>
      </c>
      <c r="J208" s="5">
        <f>IF(SUM($E208:I208)=1,0,J104)</f>
        <v>0</v>
      </c>
      <c r="K208" s="5">
        <f>IF(SUM($E208:J208)=1,0,K104)</f>
        <v>0</v>
      </c>
      <c r="L208" s="5">
        <f>IF(SUM($E208:K208)=1,0,L104)</f>
        <v>0</v>
      </c>
      <c r="M208" s="5">
        <f>IF(SUM($E208:L208)=1,0,M104)</f>
        <v>0</v>
      </c>
      <c r="N208" s="5">
        <f>IF(SUM($E208:M208)=1,0,N104)</f>
        <v>0</v>
      </c>
      <c r="O208" s="5">
        <f>IF(SUM($E208:N208)=1,0,O104)</f>
        <v>0</v>
      </c>
      <c r="P208" s="5">
        <f>IF(SUM($E208:O208)=1,0,P104)</f>
        <v>0</v>
      </c>
      <c r="Q208" s="5">
        <f>IF(SUM($E208:P208)=1,0,Q104)</f>
        <v>0</v>
      </c>
      <c r="R208" s="5">
        <f>IF(SUM($E208:Q208)=1,0,R104)</f>
        <v>0</v>
      </c>
      <c r="S208" s="5">
        <f>IF(SUM($E208:R208)=1,0,S104)</f>
        <v>0</v>
      </c>
      <c r="T208" s="5">
        <f>IF(SUM($E208:S208)=1,0,T104)</f>
        <v>0</v>
      </c>
      <c r="U208" s="5">
        <f>IF(SUM($E208:T208)=1,0,U104)</f>
        <v>0</v>
      </c>
      <c r="V208" s="5">
        <f>IF(SUM($E208:U208)=1,0,V104)</f>
        <v>0</v>
      </c>
      <c r="W208" s="5">
        <f>IF(SUM($E208:V208)=1,0,W104)</f>
        <v>1</v>
      </c>
      <c r="X208" s="5">
        <f>IF(SUM($E208:W208)=1,0,X104)</f>
        <v>0</v>
      </c>
      <c r="Y208" s="5">
        <f>IF(SUM($E208:X208)=1,0,Y104)</f>
        <v>0</v>
      </c>
      <c r="Z208" s="5">
        <f>IF(SUM($E208:Y208)=1,0,Z104)</f>
        <v>0</v>
      </c>
      <c r="AA208" s="5">
        <f t="shared" si="5"/>
        <v>1</v>
      </c>
    </row>
    <row r="209" spans="3:27" hidden="1" x14ac:dyDescent="0.2">
      <c r="C209" s="18" t="str">
        <f t="shared" si="3"/>
        <v>sam.samedzade@gmail.com</v>
      </c>
      <c r="E209" s="5">
        <f t="shared" si="4"/>
        <v>0</v>
      </c>
      <c r="F209" s="5">
        <f>IF(SUM($E209:E209)=1,0,F105)</f>
        <v>0</v>
      </c>
      <c r="G209" s="5">
        <f>IF(SUM($E209:F209)=1,0,G105)</f>
        <v>0</v>
      </c>
      <c r="H209" s="5">
        <f>IF(SUM($E209:G209)=1,0,H105)</f>
        <v>0</v>
      </c>
      <c r="I209" s="5">
        <f>IF(SUM($E209:H209)=1,0,I105)</f>
        <v>1</v>
      </c>
      <c r="J209" s="5">
        <f>IF(SUM($E209:I209)=1,0,J105)</f>
        <v>0</v>
      </c>
      <c r="K209" s="5">
        <f>IF(SUM($E209:J209)=1,0,K105)</f>
        <v>0</v>
      </c>
      <c r="L209" s="5">
        <f>IF(SUM($E209:K209)=1,0,L105)</f>
        <v>0</v>
      </c>
      <c r="M209" s="5">
        <f>IF(SUM($E209:L209)=1,0,M105)</f>
        <v>0</v>
      </c>
      <c r="N209" s="5">
        <f>IF(SUM($E209:M209)=1,0,N105)</f>
        <v>0</v>
      </c>
      <c r="O209" s="5">
        <f>IF(SUM($E209:N209)=1,0,O105)</f>
        <v>0</v>
      </c>
      <c r="P209" s="5">
        <f>IF(SUM($E209:O209)=1,0,P105)</f>
        <v>0</v>
      </c>
      <c r="Q209" s="5">
        <f>IF(SUM($E209:P209)=1,0,Q105)</f>
        <v>0</v>
      </c>
      <c r="R209" s="5">
        <f>IF(SUM($E209:Q209)=1,0,R105)</f>
        <v>0</v>
      </c>
      <c r="S209" s="5">
        <f>IF(SUM($E209:R209)=1,0,S105)</f>
        <v>0</v>
      </c>
      <c r="T209" s="5">
        <f>IF(SUM($E209:S209)=1,0,T105)</f>
        <v>0</v>
      </c>
      <c r="U209" s="5">
        <f>IF(SUM($E209:T209)=1,0,U105)</f>
        <v>0</v>
      </c>
      <c r="V209" s="5">
        <f>IF(SUM($E209:U209)=1,0,V105)</f>
        <v>0</v>
      </c>
      <c r="W209" s="5">
        <f>IF(SUM($E209:V209)=1,0,W105)</f>
        <v>0</v>
      </c>
      <c r="X209" s="5">
        <f>IF(SUM($E209:W209)=1,0,X105)</f>
        <v>0</v>
      </c>
      <c r="Y209" s="5">
        <f>IF(SUM($E209:X209)=1,0,Y105)</f>
        <v>0</v>
      </c>
      <c r="Z209" s="5">
        <f>IF(SUM($E209:Y209)=1,0,Z105)</f>
        <v>0</v>
      </c>
      <c r="AA209" s="5">
        <f t="shared" si="5"/>
        <v>1</v>
      </c>
    </row>
    <row r="210" spans="3:27" hidden="1" x14ac:dyDescent="0.2">
      <c r="C210" s="18" t="str">
        <f t="shared" si="3"/>
        <v>scribu@gmail.com</v>
      </c>
      <c r="E210" s="5">
        <f t="shared" si="4"/>
        <v>0</v>
      </c>
      <c r="F210" s="5">
        <f>IF(SUM($E210:E210)=1,0,F106)</f>
        <v>0</v>
      </c>
      <c r="G210" s="5">
        <f>IF(SUM($E210:F210)=1,0,G106)</f>
        <v>1</v>
      </c>
      <c r="H210" s="5">
        <f>IF(SUM($E210:G210)=1,0,H106)</f>
        <v>0</v>
      </c>
      <c r="I210" s="5">
        <f>IF(SUM($E210:H210)=1,0,I106)</f>
        <v>0</v>
      </c>
      <c r="J210" s="5">
        <f>IF(SUM($E210:I210)=1,0,J106)</f>
        <v>0</v>
      </c>
      <c r="K210" s="5">
        <f>IF(SUM($E210:J210)=1,0,K106)</f>
        <v>0</v>
      </c>
      <c r="L210" s="5">
        <f>IF(SUM($E210:K210)=1,0,L106)</f>
        <v>0</v>
      </c>
      <c r="M210" s="5">
        <f>IF(SUM($E210:L210)=1,0,M106)</f>
        <v>0</v>
      </c>
      <c r="N210" s="5">
        <f>IF(SUM($E210:M210)=1,0,N106)</f>
        <v>0</v>
      </c>
      <c r="O210" s="5">
        <f>IF(SUM($E210:N210)=1,0,O106)</f>
        <v>0</v>
      </c>
      <c r="P210" s="5">
        <f>IF(SUM($E210:O210)=1,0,P106)</f>
        <v>0</v>
      </c>
      <c r="Q210" s="5">
        <f>IF(SUM($E210:P210)=1,0,Q106)</f>
        <v>0</v>
      </c>
      <c r="R210" s="5">
        <f>IF(SUM($E210:Q210)=1,0,R106)</f>
        <v>0</v>
      </c>
      <c r="S210" s="5">
        <f>IF(SUM($E210:R210)=1,0,S106)</f>
        <v>0</v>
      </c>
      <c r="T210" s="5">
        <f>IF(SUM($E210:S210)=1,0,T106)</f>
        <v>0</v>
      </c>
      <c r="U210" s="5">
        <f>IF(SUM($E210:T210)=1,0,U106)</f>
        <v>0</v>
      </c>
      <c r="V210" s="5">
        <f>IF(SUM($E210:U210)=1,0,V106)</f>
        <v>0</v>
      </c>
      <c r="W210" s="5">
        <f>IF(SUM($E210:V210)=1,0,W106)</f>
        <v>0</v>
      </c>
      <c r="X210" s="5">
        <f>IF(SUM($E210:W210)=1,0,X106)</f>
        <v>0</v>
      </c>
      <c r="Y210" s="5">
        <f>IF(SUM($E210:X210)=1,0,Y106)</f>
        <v>0</v>
      </c>
      <c r="Z210" s="5">
        <f>IF(SUM($E210:Y210)=1,0,Z106)</f>
        <v>0</v>
      </c>
      <c r="AA210" s="5">
        <f t="shared" si="5"/>
        <v>1</v>
      </c>
    </row>
    <row r="211" spans="3:27" hidden="1" x14ac:dyDescent="0.2">
      <c r="C211" s="18" t="str">
        <f t="shared" si="3"/>
        <v>sethi.tanvi@gmail.com</v>
      </c>
      <c r="E211" s="5">
        <f t="shared" si="4"/>
        <v>0</v>
      </c>
      <c r="F211" s="5">
        <f>IF(SUM($E211:E211)=1,0,F107)</f>
        <v>0</v>
      </c>
      <c r="G211" s="5">
        <f>IF(SUM($E211:F211)=1,0,G107)</f>
        <v>1</v>
      </c>
      <c r="H211" s="5">
        <f>IF(SUM($E211:G211)=1,0,H107)</f>
        <v>0</v>
      </c>
      <c r="I211" s="5">
        <f>IF(SUM($E211:H211)=1,0,I107)</f>
        <v>0</v>
      </c>
      <c r="J211" s="5">
        <f>IF(SUM($E211:I211)=1,0,J107)</f>
        <v>0</v>
      </c>
      <c r="K211" s="5">
        <f>IF(SUM($E211:J211)=1,0,K107)</f>
        <v>0</v>
      </c>
      <c r="L211" s="5">
        <f>IF(SUM($E211:K211)=1,0,L107)</f>
        <v>0</v>
      </c>
      <c r="M211" s="5">
        <f>IF(SUM($E211:L211)=1,0,M107)</f>
        <v>0</v>
      </c>
      <c r="N211" s="5">
        <f>IF(SUM($E211:M211)=1,0,N107)</f>
        <v>0</v>
      </c>
      <c r="O211" s="5">
        <f>IF(SUM($E211:N211)=1,0,O107)</f>
        <v>0</v>
      </c>
      <c r="P211" s="5">
        <f>IF(SUM($E211:O211)=1,0,P107)</f>
        <v>0</v>
      </c>
      <c r="Q211" s="5">
        <f>IF(SUM($E211:P211)=1,0,Q107)</f>
        <v>0</v>
      </c>
      <c r="R211" s="5">
        <f>IF(SUM($E211:Q211)=1,0,R107)</f>
        <v>0</v>
      </c>
      <c r="S211" s="5">
        <f>IF(SUM($E211:R211)=1,0,S107)</f>
        <v>0</v>
      </c>
      <c r="T211" s="5">
        <f>IF(SUM($E211:S211)=1,0,T107)</f>
        <v>0</v>
      </c>
      <c r="U211" s="5">
        <f>IF(SUM($E211:T211)=1,0,U107)</f>
        <v>0</v>
      </c>
      <c r="V211" s="5">
        <f>IF(SUM($E211:U211)=1,0,V107)</f>
        <v>0</v>
      </c>
      <c r="W211" s="5">
        <f>IF(SUM($E211:V211)=1,0,W107)</f>
        <v>0</v>
      </c>
      <c r="X211" s="5">
        <f>IF(SUM($E211:W211)=1,0,X107)</f>
        <v>0</v>
      </c>
      <c r="Y211" s="5">
        <f>IF(SUM($E211:X211)=1,0,Y107)</f>
        <v>0</v>
      </c>
      <c r="Z211" s="5">
        <f>IF(SUM($E211:Y211)=1,0,Z107)</f>
        <v>0</v>
      </c>
      <c r="AA211" s="5">
        <f t="shared" si="5"/>
        <v>1</v>
      </c>
    </row>
    <row r="212" spans="3:27" hidden="1" x14ac:dyDescent="0.2">
      <c r="C212" s="18" t="str">
        <f t="shared" si="3"/>
        <v>shaysteele2017@gmail.com</v>
      </c>
      <c r="E212" s="5">
        <f t="shared" si="4"/>
        <v>0</v>
      </c>
      <c r="F212" s="5">
        <f>IF(SUM($E212:E212)=1,0,F108)</f>
        <v>0</v>
      </c>
      <c r="G212" s="5">
        <f>IF(SUM($E212:F212)=1,0,G108)</f>
        <v>0</v>
      </c>
      <c r="H212" s="5">
        <f>IF(SUM($E212:G212)=1,0,H108)</f>
        <v>0</v>
      </c>
      <c r="I212" s="5">
        <f>IF(SUM($E212:H212)=1,0,I108)</f>
        <v>0</v>
      </c>
      <c r="J212" s="5">
        <f>IF(SUM($E212:I212)=1,0,J108)</f>
        <v>0</v>
      </c>
      <c r="K212" s="5">
        <f>IF(SUM($E212:J212)=1,0,K108)</f>
        <v>1</v>
      </c>
      <c r="L212" s="5">
        <f>IF(SUM($E212:K212)=1,0,L108)</f>
        <v>0</v>
      </c>
      <c r="M212" s="5">
        <f>IF(SUM($E212:L212)=1,0,M108)</f>
        <v>0</v>
      </c>
      <c r="N212" s="5">
        <f>IF(SUM($E212:M212)=1,0,N108)</f>
        <v>0</v>
      </c>
      <c r="O212" s="5">
        <f>IF(SUM($E212:N212)=1,0,O108)</f>
        <v>0</v>
      </c>
      <c r="P212" s="5">
        <f>IF(SUM($E212:O212)=1,0,P108)</f>
        <v>0</v>
      </c>
      <c r="Q212" s="5">
        <f>IF(SUM($E212:P212)=1,0,Q108)</f>
        <v>0</v>
      </c>
      <c r="R212" s="5">
        <f>IF(SUM($E212:Q212)=1,0,R108)</f>
        <v>0</v>
      </c>
      <c r="S212" s="5">
        <f>IF(SUM($E212:R212)=1,0,S108)</f>
        <v>0</v>
      </c>
      <c r="T212" s="5">
        <f>IF(SUM($E212:S212)=1,0,T108)</f>
        <v>0</v>
      </c>
      <c r="U212" s="5">
        <f>IF(SUM($E212:T212)=1,0,U108)</f>
        <v>0</v>
      </c>
      <c r="V212" s="5">
        <f>IF(SUM($E212:U212)=1,0,V108)</f>
        <v>0</v>
      </c>
      <c r="W212" s="5">
        <f>IF(SUM($E212:V212)=1,0,W108)</f>
        <v>0</v>
      </c>
      <c r="X212" s="5">
        <f>IF(SUM($E212:W212)=1,0,X108)</f>
        <v>0</v>
      </c>
      <c r="Y212" s="5">
        <f>IF(SUM($E212:X212)=1,0,Y108)</f>
        <v>0</v>
      </c>
      <c r="Z212" s="5">
        <f>IF(SUM($E212:Y212)=1,0,Z108)</f>
        <v>0</v>
      </c>
      <c r="AA212" s="5">
        <f t="shared" si="5"/>
        <v>1</v>
      </c>
    </row>
    <row r="213" spans="3:27" hidden="1" x14ac:dyDescent="0.2">
      <c r="C213" s="18" t="str">
        <f t="shared" si="3"/>
        <v>shlimbc2@gmail.com</v>
      </c>
      <c r="E213" s="5">
        <f t="shared" si="4"/>
        <v>0</v>
      </c>
      <c r="F213" s="5">
        <f>IF(SUM($E213:E213)=1,0,F109)</f>
        <v>0</v>
      </c>
      <c r="G213" s="5">
        <f>IF(SUM($E213:F213)=1,0,G109)</f>
        <v>0</v>
      </c>
      <c r="H213" s="5">
        <f>IF(SUM($E213:G213)=1,0,H109)</f>
        <v>0</v>
      </c>
      <c r="I213" s="5">
        <f>IF(SUM($E213:H213)=1,0,I109)</f>
        <v>0</v>
      </c>
      <c r="J213" s="5">
        <f>IF(SUM($E213:I213)=1,0,J109)</f>
        <v>0</v>
      </c>
      <c r="K213" s="5">
        <f>IF(SUM($E213:J213)=1,0,K109)</f>
        <v>0</v>
      </c>
      <c r="L213" s="5">
        <f>IF(SUM($E213:K213)=1,0,L109)</f>
        <v>0</v>
      </c>
      <c r="M213" s="5">
        <f>IF(SUM($E213:L213)=1,0,M109)</f>
        <v>0</v>
      </c>
      <c r="N213" s="5">
        <f>IF(SUM($E213:M213)=1,0,N109)</f>
        <v>0</v>
      </c>
      <c r="O213" s="5">
        <f>IF(SUM($E213:N213)=1,0,O109)</f>
        <v>1</v>
      </c>
      <c r="P213" s="5">
        <f>IF(SUM($E213:O213)=1,0,P109)</f>
        <v>0</v>
      </c>
      <c r="Q213" s="5">
        <f>IF(SUM($E213:P213)=1,0,Q109)</f>
        <v>0</v>
      </c>
      <c r="R213" s="5">
        <f>IF(SUM($E213:Q213)=1,0,R109)</f>
        <v>0</v>
      </c>
      <c r="S213" s="5">
        <f>IF(SUM($E213:R213)=1,0,S109)</f>
        <v>0</v>
      </c>
      <c r="T213" s="5">
        <f>IF(SUM($E213:S213)=1,0,T109)</f>
        <v>0</v>
      </c>
      <c r="U213" s="5">
        <f>IF(SUM($E213:T213)=1,0,U109)</f>
        <v>0</v>
      </c>
      <c r="V213" s="5">
        <f>IF(SUM($E213:U213)=1,0,V109)</f>
        <v>0</v>
      </c>
      <c r="W213" s="5">
        <f>IF(SUM($E213:V213)=1,0,W109)</f>
        <v>0</v>
      </c>
      <c r="X213" s="5">
        <f>IF(SUM($E213:W213)=1,0,X109)</f>
        <v>0</v>
      </c>
      <c r="Y213" s="5">
        <f>IF(SUM($E213:X213)=1,0,Y109)</f>
        <v>0</v>
      </c>
      <c r="Z213" s="5">
        <f>IF(SUM($E213:Y213)=1,0,Z109)</f>
        <v>0</v>
      </c>
      <c r="AA213" s="5">
        <f t="shared" si="5"/>
        <v>1</v>
      </c>
    </row>
    <row r="214" spans="3:27" hidden="1" x14ac:dyDescent="0.2">
      <c r="C214" s="18" t="str">
        <f t="shared" si="3"/>
        <v>simon.brk@gmail.com</v>
      </c>
      <c r="E214" s="5">
        <f t="shared" si="4"/>
        <v>0</v>
      </c>
      <c r="F214" s="5">
        <f>IF(SUM($E214:E214)=1,0,F110)</f>
        <v>0</v>
      </c>
      <c r="G214" s="5">
        <f>IF(SUM($E214:F214)=1,0,G110)</f>
        <v>0</v>
      </c>
      <c r="H214" s="5">
        <f>IF(SUM($E214:G214)=1,0,H110)</f>
        <v>0</v>
      </c>
      <c r="I214" s="5">
        <f>IF(SUM($E214:H214)=1,0,I110)</f>
        <v>0</v>
      </c>
      <c r="J214" s="5">
        <f>IF(SUM($E214:I214)=1,0,J110)</f>
        <v>0</v>
      </c>
      <c r="K214" s="5">
        <f>IF(SUM($E214:J214)=1,0,K110)</f>
        <v>0</v>
      </c>
      <c r="L214" s="5">
        <f>IF(SUM($E214:K214)=1,0,L110)</f>
        <v>0</v>
      </c>
      <c r="M214" s="5">
        <f>IF(SUM($E214:L214)=1,0,M110)</f>
        <v>0</v>
      </c>
      <c r="N214" s="5">
        <f>IF(SUM($E214:M214)=1,0,N110)</f>
        <v>0</v>
      </c>
      <c r="O214" s="5">
        <f>IF(SUM($E214:N214)=1,0,O110)</f>
        <v>0</v>
      </c>
      <c r="P214" s="5">
        <f>IF(SUM($E214:O214)=1,0,P110)</f>
        <v>0</v>
      </c>
      <c r="Q214" s="5">
        <f>IF(SUM($E214:P214)=1,0,Q110)</f>
        <v>0</v>
      </c>
      <c r="R214" s="5">
        <f>IF(SUM($E214:Q214)=1,0,R110)</f>
        <v>0</v>
      </c>
      <c r="S214" s="5">
        <f>IF(SUM($E214:R214)=1,0,S110)</f>
        <v>0</v>
      </c>
      <c r="T214" s="5">
        <f>IF(SUM($E214:S214)=1,0,T110)</f>
        <v>0</v>
      </c>
      <c r="U214" s="5">
        <f>IF(SUM($E214:T214)=1,0,U110)</f>
        <v>0</v>
      </c>
      <c r="V214" s="5">
        <f>IF(SUM($E214:U214)=1,0,V110)</f>
        <v>0</v>
      </c>
      <c r="W214" s="5">
        <f>IF(SUM($E214:V214)=1,0,W110)</f>
        <v>0</v>
      </c>
      <c r="X214" s="5">
        <f>IF(SUM($E214:W214)=1,0,X110)</f>
        <v>1</v>
      </c>
      <c r="Y214" s="5">
        <f>IF(SUM($E214:X214)=1,0,Y110)</f>
        <v>0</v>
      </c>
      <c r="Z214" s="5">
        <f>IF(SUM($E214:Y214)=1,0,Z110)</f>
        <v>0</v>
      </c>
      <c r="AA214" s="5">
        <f t="shared" si="5"/>
        <v>1</v>
      </c>
    </row>
    <row r="215" spans="3:27" hidden="1" x14ac:dyDescent="0.2">
      <c r="C215" s="18" t="str">
        <f t="shared" si="3"/>
        <v>simon88e@yahoo.com</v>
      </c>
      <c r="E215" s="5">
        <f t="shared" si="4"/>
        <v>0</v>
      </c>
      <c r="F215" s="5">
        <f>IF(SUM($E215:E215)=1,0,F111)</f>
        <v>0</v>
      </c>
      <c r="G215" s="5">
        <f>IF(SUM($E215:F215)=1,0,G111)</f>
        <v>1</v>
      </c>
      <c r="H215" s="5">
        <f>IF(SUM($E215:G215)=1,0,H111)</f>
        <v>0</v>
      </c>
      <c r="I215" s="5">
        <f>IF(SUM($E215:H215)=1,0,I111)</f>
        <v>0</v>
      </c>
      <c r="J215" s="5">
        <f>IF(SUM($E215:I215)=1,0,J111)</f>
        <v>0</v>
      </c>
      <c r="K215" s="5">
        <f>IF(SUM($E215:J215)=1,0,K111)</f>
        <v>0</v>
      </c>
      <c r="L215" s="5">
        <f>IF(SUM($E215:K215)=1,0,L111)</f>
        <v>0</v>
      </c>
      <c r="M215" s="5">
        <f>IF(SUM($E215:L215)=1,0,M111)</f>
        <v>0</v>
      </c>
      <c r="N215" s="5">
        <f>IF(SUM($E215:M215)=1,0,N111)</f>
        <v>0</v>
      </c>
      <c r="O215" s="5">
        <f>IF(SUM($E215:N215)=1,0,O111)</f>
        <v>0</v>
      </c>
      <c r="P215" s="5">
        <f>IF(SUM($E215:O215)=1,0,P111)</f>
        <v>0</v>
      </c>
      <c r="Q215" s="5">
        <f>IF(SUM($E215:P215)=1,0,Q111)</f>
        <v>0</v>
      </c>
      <c r="R215" s="5">
        <f>IF(SUM($E215:Q215)=1,0,R111)</f>
        <v>0</v>
      </c>
      <c r="S215" s="5">
        <f>IF(SUM($E215:R215)=1,0,S111)</f>
        <v>0</v>
      </c>
      <c r="T215" s="5">
        <f>IF(SUM($E215:S215)=1,0,T111)</f>
        <v>0</v>
      </c>
      <c r="U215" s="5">
        <f>IF(SUM($E215:T215)=1,0,U111)</f>
        <v>0</v>
      </c>
      <c r="V215" s="5">
        <f>IF(SUM($E215:U215)=1,0,V111)</f>
        <v>0</v>
      </c>
      <c r="W215" s="5">
        <f>IF(SUM($E215:V215)=1,0,W111)</f>
        <v>0</v>
      </c>
      <c r="X215" s="5">
        <f>IF(SUM($E215:W215)=1,0,X111)</f>
        <v>0</v>
      </c>
      <c r="Y215" s="5">
        <f>IF(SUM($E215:X215)=1,0,Y111)</f>
        <v>0</v>
      </c>
      <c r="Z215" s="5">
        <f>IF(SUM($E215:Y215)=1,0,Z111)</f>
        <v>0</v>
      </c>
      <c r="AA215" s="5">
        <f t="shared" si="5"/>
        <v>1</v>
      </c>
    </row>
    <row r="216" spans="3:27" hidden="1" x14ac:dyDescent="0.2">
      <c r="C216" s="18" t="str">
        <f t="shared" si="3"/>
        <v>sophia.shemlugu@gmail.com</v>
      </c>
      <c r="E216" s="5">
        <f t="shared" si="4"/>
        <v>0</v>
      </c>
      <c r="F216" s="5">
        <f>IF(SUM($E216:E216)=1,0,F112)</f>
        <v>0</v>
      </c>
      <c r="G216" s="5">
        <f>IF(SUM($E216:F216)=1,0,G112)</f>
        <v>0</v>
      </c>
      <c r="H216" s="5">
        <f>IF(SUM($E216:G216)=1,0,H112)</f>
        <v>1</v>
      </c>
      <c r="I216" s="5">
        <f>IF(SUM($E216:H216)=1,0,I112)</f>
        <v>0</v>
      </c>
      <c r="J216" s="5">
        <f>IF(SUM($E216:I216)=1,0,J112)</f>
        <v>0</v>
      </c>
      <c r="K216" s="5">
        <f>IF(SUM($E216:J216)=1,0,K112)</f>
        <v>0</v>
      </c>
      <c r="L216" s="5">
        <f>IF(SUM($E216:K216)=1,0,L112)</f>
        <v>0</v>
      </c>
      <c r="M216" s="5">
        <f>IF(SUM($E216:L216)=1,0,M112)</f>
        <v>0</v>
      </c>
      <c r="N216" s="5">
        <f>IF(SUM($E216:M216)=1,0,N112)</f>
        <v>0</v>
      </c>
      <c r="O216" s="5">
        <f>IF(SUM($E216:N216)=1,0,O112)</f>
        <v>0</v>
      </c>
      <c r="P216" s="5">
        <f>IF(SUM($E216:O216)=1,0,P112)</f>
        <v>0</v>
      </c>
      <c r="Q216" s="5">
        <f>IF(SUM($E216:P216)=1,0,Q112)</f>
        <v>0</v>
      </c>
      <c r="R216" s="5">
        <f>IF(SUM($E216:Q216)=1,0,R112)</f>
        <v>0</v>
      </c>
      <c r="S216" s="5">
        <f>IF(SUM($E216:R216)=1,0,S112)</f>
        <v>0</v>
      </c>
      <c r="T216" s="5">
        <f>IF(SUM($E216:S216)=1,0,T112)</f>
        <v>0</v>
      </c>
      <c r="U216" s="5">
        <f>IF(SUM($E216:T216)=1,0,U112)</f>
        <v>0</v>
      </c>
      <c r="V216" s="5">
        <f>IF(SUM($E216:U216)=1,0,V112)</f>
        <v>0</v>
      </c>
      <c r="W216" s="5">
        <f>IF(SUM($E216:V216)=1,0,W112)</f>
        <v>0</v>
      </c>
      <c r="X216" s="5">
        <f>IF(SUM($E216:W216)=1,0,X112)</f>
        <v>0</v>
      </c>
      <c r="Y216" s="5">
        <f>IF(SUM($E216:X216)=1,0,Y112)</f>
        <v>0</v>
      </c>
      <c r="Z216" s="5">
        <f>IF(SUM($E216:Y216)=1,0,Z112)</f>
        <v>0</v>
      </c>
      <c r="AA216" s="5">
        <f t="shared" si="5"/>
        <v>1</v>
      </c>
    </row>
    <row r="217" spans="3:27" hidden="1" x14ac:dyDescent="0.2">
      <c r="C217" s="18" t="str">
        <f t="shared" si="3"/>
        <v>srivaths.s@gmail.com</v>
      </c>
      <c r="E217" s="5">
        <f t="shared" si="4"/>
        <v>1</v>
      </c>
      <c r="F217" s="5">
        <f>IF(SUM($E217:E217)=1,0,F113)</f>
        <v>0</v>
      </c>
      <c r="G217" s="5">
        <f>IF(SUM($E217:F217)=1,0,G113)</f>
        <v>0</v>
      </c>
      <c r="H217" s="5">
        <f>IF(SUM($E217:G217)=1,0,H113)</f>
        <v>0</v>
      </c>
      <c r="I217" s="5">
        <f>IF(SUM($E217:H217)=1,0,I113)</f>
        <v>0</v>
      </c>
      <c r="J217" s="5">
        <f>IF(SUM($E217:I217)=1,0,J113)</f>
        <v>0</v>
      </c>
      <c r="K217" s="5">
        <f>IF(SUM($E217:J217)=1,0,K113)</f>
        <v>0</v>
      </c>
      <c r="L217" s="5">
        <f>IF(SUM($E217:K217)=1,0,L113)</f>
        <v>0</v>
      </c>
      <c r="M217" s="5">
        <f>IF(SUM($E217:L217)=1,0,M113)</f>
        <v>0</v>
      </c>
      <c r="N217" s="5">
        <f>IF(SUM($E217:M217)=1,0,N113)</f>
        <v>0</v>
      </c>
      <c r="O217" s="5">
        <f>IF(SUM($E217:N217)=1,0,O113)</f>
        <v>0</v>
      </c>
      <c r="P217" s="5">
        <f>IF(SUM($E217:O217)=1,0,P113)</f>
        <v>0</v>
      </c>
      <c r="Q217" s="5">
        <f>IF(SUM($E217:P217)=1,0,Q113)</f>
        <v>0</v>
      </c>
      <c r="R217" s="5">
        <f>IF(SUM($E217:Q217)=1,0,R113)</f>
        <v>0</v>
      </c>
      <c r="S217" s="5">
        <f>IF(SUM($E217:R217)=1,0,S113)</f>
        <v>0</v>
      </c>
      <c r="T217" s="5">
        <f>IF(SUM($E217:S217)=1,0,T113)</f>
        <v>0</v>
      </c>
      <c r="U217" s="5">
        <f>IF(SUM($E217:T217)=1,0,U113)</f>
        <v>0</v>
      </c>
      <c r="V217" s="5">
        <f>IF(SUM($E217:U217)=1,0,V113)</f>
        <v>0</v>
      </c>
      <c r="W217" s="5">
        <f>IF(SUM($E217:V217)=1,0,W113)</f>
        <v>0</v>
      </c>
      <c r="X217" s="5">
        <f>IF(SUM($E217:W217)=1,0,X113)</f>
        <v>0</v>
      </c>
      <c r="Y217" s="5">
        <f>IF(SUM($E217:X217)=1,0,Y113)</f>
        <v>0</v>
      </c>
      <c r="Z217" s="5">
        <f>IF(SUM($E217:Y217)=1,0,Z113)</f>
        <v>0</v>
      </c>
      <c r="AA217" s="5">
        <f t="shared" si="5"/>
        <v>1</v>
      </c>
    </row>
    <row r="218" spans="3:27" hidden="1" x14ac:dyDescent="0.2">
      <c r="C218" s="18" t="str">
        <f t="shared" si="3"/>
        <v>susandjackson01@gmail.com</v>
      </c>
      <c r="E218" s="5">
        <f t="shared" si="4"/>
        <v>1</v>
      </c>
      <c r="F218" s="5">
        <f>IF(SUM($E218:E218)=1,0,F114)</f>
        <v>0</v>
      </c>
      <c r="G218" s="5">
        <f>IF(SUM($E218:F218)=1,0,G114)</f>
        <v>0</v>
      </c>
      <c r="H218" s="5">
        <f>IF(SUM($E218:G218)=1,0,H114)</f>
        <v>0</v>
      </c>
      <c r="I218" s="5">
        <f>IF(SUM($E218:H218)=1,0,I114)</f>
        <v>0</v>
      </c>
      <c r="J218" s="5">
        <f>IF(SUM($E218:I218)=1,0,J114)</f>
        <v>0</v>
      </c>
      <c r="K218" s="5">
        <f>IF(SUM($E218:J218)=1,0,K114)</f>
        <v>0</v>
      </c>
      <c r="L218" s="5">
        <f>IF(SUM($E218:K218)=1,0,L114)</f>
        <v>0</v>
      </c>
      <c r="M218" s="5">
        <f>IF(SUM($E218:L218)=1,0,M114)</f>
        <v>0</v>
      </c>
      <c r="N218" s="5">
        <f>IF(SUM($E218:M218)=1,0,N114)</f>
        <v>0</v>
      </c>
      <c r="O218" s="5">
        <f>IF(SUM($E218:N218)=1,0,O114)</f>
        <v>0</v>
      </c>
      <c r="P218" s="5">
        <f>IF(SUM($E218:O218)=1,0,P114)</f>
        <v>0</v>
      </c>
      <c r="Q218" s="5">
        <f>IF(SUM($E218:P218)=1,0,Q114)</f>
        <v>0</v>
      </c>
      <c r="R218" s="5">
        <f>IF(SUM($E218:Q218)=1,0,R114)</f>
        <v>0</v>
      </c>
      <c r="S218" s="5">
        <f>IF(SUM($E218:R218)=1,0,S114)</f>
        <v>0</v>
      </c>
      <c r="T218" s="5">
        <f>IF(SUM($E218:S218)=1,0,T114)</f>
        <v>0</v>
      </c>
      <c r="U218" s="5">
        <f>IF(SUM($E218:T218)=1,0,U114)</f>
        <v>0</v>
      </c>
      <c r="V218" s="5">
        <f>IF(SUM($E218:U218)=1,0,V114)</f>
        <v>0</v>
      </c>
      <c r="W218" s="5">
        <f>IF(SUM($E218:V218)=1,0,W114)</f>
        <v>0</v>
      </c>
      <c r="X218" s="5">
        <f>IF(SUM($E218:W218)=1,0,X114)</f>
        <v>0</v>
      </c>
      <c r="Y218" s="5">
        <f>IF(SUM($E218:X218)=1,0,Y114)</f>
        <v>0</v>
      </c>
      <c r="Z218" s="5">
        <f>IF(SUM($E218:Y218)=1,0,Z114)</f>
        <v>0</v>
      </c>
      <c r="AA218" s="5">
        <f t="shared" si="5"/>
        <v>1</v>
      </c>
    </row>
    <row r="219" spans="3:27" hidden="1" x14ac:dyDescent="0.2">
      <c r="C219" s="18" t="str">
        <f t="shared" si="3"/>
        <v>sweetkowi@gmail.com</v>
      </c>
      <c r="E219" s="5">
        <f t="shared" si="4"/>
        <v>0</v>
      </c>
      <c r="F219" s="5">
        <f>IF(SUM($E219:E219)=1,0,F115)</f>
        <v>0</v>
      </c>
      <c r="G219" s="5">
        <f>IF(SUM($E219:F219)=1,0,G115)</f>
        <v>0</v>
      </c>
      <c r="H219" s="5">
        <f>IF(SUM($E219:G219)=1,0,H115)</f>
        <v>0</v>
      </c>
      <c r="I219" s="5">
        <f>IF(SUM($E219:H219)=1,0,I115)</f>
        <v>1</v>
      </c>
      <c r="J219" s="5">
        <f>IF(SUM($E219:I219)=1,0,J115)</f>
        <v>0</v>
      </c>
      <c r="K219" s="5">
        <f>IF(SUM($E219:J219)=1,0,K115)</f>
        <v>0</v>
      </c>
      <c r="L219" s="5">
        <f>IF(SUM($E219:K219)=1,0,L115)</f>
        <v>0</v>
      </c>
      <c r="M219" s="5">
        <f>IF(SUM($E219:L219)=1,0,M115)</f>
        <v>0</v>
      </c>
      <c r="N219" s="5">
        <f>IF(SUM($E219:M219)=1,0,N115)</f>
        <v>0</v>
      </c>
      <c r="O219" s="5">
        <f>IF(SUM($E219:N219)=1,0,O115)</f>
        <v>0</v>
      </c>
      <c r="P219" s="5">
        <f>IF(SUM($E219:O219)=1,0,P115)</f>
        <v>0</v>
      </c>
      <c r="Q219" s="5">
        <f>IF(SUM($E219:P219)=1,0,Q115)</f>
        <v>0</v>
      </c>
      <c r="R219" s="5">
        <f>IF(SUM($E219:Q219)=1,0,R115)</f>
        <v>0</v>
      </c>
      <c r="S219" s="5">
        <f>IF(SUM($E219:R219)=1,0,S115)</f>
        <v>0</v>
      </c>
      <c r="T219" s="5">
        <f>IF(SUM($E219:S219)=1,0,T115)</f>
        <v>0</v>
      </c>
      <c r="U219" s="5">
        <f>IF(SUM($E219:T219)=1,0,U115)</f>
        <v>0</v>
      </c>
      <c r="V219" s="5">
        <f>IF(SUM($E219:U219)=1,0,V115)</f>
        <v>0</v>
      </c>
      <c r="W219" s="5">
        <f>IF(SUM($E219:V219)=1,0,W115)</f>
        <v>0</v>
      </c>
      <c r="X219" s="5">
        <f>IF(SUM($E219:W219)=1,0,X115)</f>
        <v>0</v>
      </c>
      <c r="Y219" s="5">
        <f>IF(SUM($E219:X219)=1,0,Y115)</f>
        <v>0</v>
      </c>
      <c r="Z219" s="5">
        <f>IF(SUM($E219:Y219)=1,0,Z115)</f>
        <v>0</v>
      </c>
      <c r="AA219" s="5">
        <f t="shared" si="5"/>
        <v>1</v>
      </c>
    </row>
    <row r="220" spans="3:27" hidden="1" x14ac:dyDescent="0.2">
      <c r="C220" s="18" t="str">
        <f t="shared" si="3"/>
        <v>taam.isadora@gmail.com</v>
      </c>
      <c r="E220" s="5">
        <f t="shared" si="4"/>
        <v>0</v>
      </c>
      <c r="F220" s="5">
        <f>IF(SUM($E220:E220)=1,0,F116)</f>
        <v>0</v>
      </c>
      <c r="G220" s="5">
        <f>IF(SUM($E220:F220)=1,0,G116)</f>
        <v>0</v>
      </c>
      <c r="H220" s="5">
        <f>IF(SUM($E220:G220)=1,0,H116)</f>
        <v>0</v>
      </c>
      <c r="I220" s="5">
        <f>IF(SUM($E220:H220)=1,0,I116)</f>
        <v>1</v>
      </c>
      <c r="J220" s="5">
        <f>IF(SUM($E220:I220)=1,0,J116)</f>
        <v>0</v>
      </c>
      <c r="K220" s="5">
        <f>IF(SUM($E220:J220)=1,0,K116)</f>
        <v>0</v>
      </c>
      <c r="L220" s="5">
        <f>IF(SUM($E220:K220)=1,0,L116)</f>
        <v>0</v>
      </c>
      <c r="M220" s="5">
        <f>IF(SUM($E220:L220)=1,0,M116)</f>
        <v>0</v>
      </c>
      <c r="N220" s="5">
        <f>IF(SUM($E220:M220)=1,0,N116)</f>
        <v>0</v>
      </c>
      <c r="O220" s="5">
        <f>IF(SUM($E220:N220)=1,0,O116)</f>
        <v>0</v>
      </c>
      <c r="P220" s="5">
        <f>IF(SUM($E220:O220)=1,0,P116)</f>
        <v>0</v>
      </c>
      <c r="Q220" s="5">
        <f>IF(SUM($E220:P220)=1,0,Q116)</f>
        <v>0</v>
      </c>
      <c r="R220" s="5">
        <f>IF(SUM($E220:Q220)=1,0,R116)</f>
        <v>0</v>
      </c>
      <c r="S220" s="5">
        <f>IF(SUM($E220:R220)=1,0,S116)</f>
        <v>0</v>
      </c>
      <c r="T220" s="5">
        <f>IF(SUM($E220:S220)=1,0,T116)</f>
        <v>0</v>
      </c>
      <c r="U220" s="5">
        <f>IF(SUM($E220:T220)=1,0,U116)</f>
        <v>0</v>
      </c>
      <c r="V220" s="5">
        <f>IF(SUM($E220:U220)=1,0,V116)</f>
        <v>0</v>
      </c>
      <c r="W220" s="5">
        <f>IF(SUM($E220:V220)=1,0,W116)</f>
        <v>0</v>
      </c>
      <c r="X220" s="5">
        <f>IF(SUM($E220:W220)=1,0,X116)</f>
        <v>0</v>
      </c>
      <c r="Y220" s="5">
        <f>IF(SUM($E220:X220)=1,0,Y116)</f>
        <v>0</v>
      </c>
      <c r="Z220" s="5">
        <f>IF(SUM($E220:Y220)=1,0,Z116)</f>
        <v>0</v>
      </c>
      <c r="AA220" s="5">
        <f t="shared" si="5"/>
        <v>1</v>
      </c>
    </row>
    <row r="221" spans="3:27" hidden="1" x14ac:dyDescent="0.2">
      <c r="C221" s="18" t="str">
        <f t="shared" si="3"/>
        <v>tamara.dews@lseg.com</v>
      </c>
      <c r="E221" s="5">
        <f t="shared" si="4"/>
        <v>0</v>
      </c>
      <c r="F221" s="5">
        <f>IF(SUM($E221:E221)=1,0,F117)</f>
        <v>0</v>
      </c>
      <c r="G221" s="5">
        <f>IF(SUM($E221:F221)=1,0,G117)</f>
        <v>0</v>
      </c>
      <c r="H221" s="5">
        <f>IF(SUM($E221:G221)=1,0,H117)</f>
        <v>0</v>
      </c>
      <c r="I221" s="5">
        <f>IF(SUM($E221:H221)=1,0,I117)</f>
        <v>0</v>
      </c>
      <c r="J221" s="5">
        <f>IF(SUM($E221:I221)=1,0,J117)</f>
        <v>0</v>
      </c>
      <c r="K221" s="5">
        <f>IF(SUM($E221:J221)=1,0,K117)</f>
        <v>0</v>
      </c>
      <c r="L221" s="5">
        <f>IF(SUM($E221:K221)=1,0,L117)</f>
        <v>0</v>
      </c>
      <c r="M221" s="5">
        <f>IF(SUM($E221:L221)=1,0,M117)</f>
        <v>0</v>
      </c>
      <c r="N221" s="5">
        <f>IF(SUM($E221:M221)=1,0,N117)</f>
        <v>0</v>
      </c>
      <c r="O221" s="5">
        <f>IF(SUM($E221:N221)=1,0,O117)</f>
        <v>0</v>
      </c>
      <c r="P221" s="5">
        <f>IF(SUM($E221:O221)=1,0,P117)</f>
        <v>0</v>
      </c>
      <c r="Q221" s="5">
        <f>IF(SUM($E221:P221)=1,0,Q117)</f>
        <v>0</v>
      </c>
      <c r="R221" s="5">
        <f>IF(SUM($E221:Q221)=1,0,R117)</f>
        <v>0</v>
      </c>
      <c r="S221" s="5">
        <f>IF(SUM($E221:R221)=1,0,S117)</f>
        <v>0</v>
      </c>
      <c r="T221" s="5">
        <f>IF(SUM($E221:S221)=1,0,T117)</f>
        <v>0</v>
      </c>
      <c r="U221" s="5">
        <f>IF(SUM($E221:T221)=1,0,U117)</f>
        <v>1</v>
      </c>
      <c r="V221" s="5">
        <f>IF(SUM($E221:U221)=1,0,V117)</f>
        <v>0</v>
      </c>
      <c r="W221" s="5">
        <f>IF(SUM($E221:V221)=1,0,W117)</f>
        <v>0</v>
      </c>
      <c r="X221" s="5">
        <f>IF(SUM($E221:W221)=1,0,X117)</f>
        <v>0</v>
      </c>
      <c r="Y221" s="5">
        <f>IF(SUM($E221:X221)=1,0,Y117)</f>
        <v>0</v>
      </c>
      <c r="Z221" s="5">
        <f>IF(SUM($E221:Y221)=1,0,Z117)</f>
        <v>0</v>
      </c>
      <c r="AA221" s="5">
        <f t="shared" si="5"/>
        <v>1</v>
      </c>
    </row>
    <row r="222" spans="3:27" hidden="1" x14ac:dyDescent="0.2">
      <c r="C222" s="18" t="str">
        <f t="shared" si="3"/>
        <v>tatatamzzz@gmail.com</v>
      </c>
      <c r="E222" s="5">
        <f t="shared" si="4"/>
        <v>0</v>
      </c>
      <c r="F222" s="5">
        <f>IF(SUM($E222:E222)=1,0,F118)</f>
        <v>0</v>
      </c>
      <c r="G222" s="5">
        <f>IF(SUM($E222:F222)=1,0,G118)</f>
        <v>0</v>
      </c>
      <c r="H222" s="5">
        <f>IF(SUM($E222:G222)=1,0,H118)</f>
        <v>0</v>
      </c>
      <c r="I222" s="5">
        <f>IF(SUM($E222:H222)=1,0,I118)</f>
        <v>0</v>
      </c>
      <c r="J222" s="5">
        <f>IF(SUM($E222:I222)=1,0,J118)</f>
        <v>0</v>
      </c>
      <c r="K222" s="5">
        <f>IF(SUM($E222:J222)=1,0,K118)</f>
        <v>0</v>
      </c>
      <c r="L222" s="5">
        <f>IF(SUM($E222:K222)=1,0,L118)</f>
        <v>0</v>
      </c>
      <c r="M222" s="5">
        <f>IF(SUM($E222:L222)=1,0,M118)</f>
        <v>0</v>
      </c>
      <c r="N222" s="5">
        <f>IF(SUM($E222:M222)=1,0,N118)</f>
        <v>0</v>
      </c>
      <c r="O222" s="5">
        <f>IF(SUM($E222:N222)=1,0,O118)</f>
        <v>0</v>
      </c>
      <c r="P222" s="5">
        <f>IF(SUM($E222:O222)=1,0,P118)</f>
        <v>0</v>
      </c>
      <c r="Q222" s="5">
        <f>IF(SUM($E222:P222)=1,0,Q118)</f>
        <v>1</v>
      </c>
      <c r="R222" s="5">
        <f>IF(SUM($E222:Q222)=1,0,R118)</f>
        <v>0</v>
      </c>
      <c r="S222" s="5">
        <f>IF(SUM($E222:R222)=1,0,S118)</f>
        <v>0</v>
      </c>
      <c r="T222" s="5">
        <f>IF(SUM($E222:S222)=1,0,T118)</f>
        <v>0</v>
      </c>
      <c r="U222" s="5">
        <f>IF(SUM($E222:T222)=1,0,U118)</f>
        <v>0</v>
      </c>
      <c r="V222" s="5">
        <f>IF(SUM($E222:U222)=1,0,V118)</f>
        <v>0</v>
      </c>
      <c r="W222" s="5">
        <f>IF(SUM($E222:V222)=1,0,W118)</f>
        <v>0</v>
      </c>
      <c r="X222" s="5">
        <f>IF(SUM($E222:W222)=1,0,X118)</f>
        <v>0</v>
      </c>
      <c r="Y222" s="5">
        <f>IF(SUM($E222:X222)=1,0,Y118)</f>
        <v>0</v>
      </c>
      <c r="Z222" s="5">
        <f>IF(SUM($E222:Y222)=1,0,Z118)</f>
        <v>0</v>
      </c>
      <c r="AA222" s="5">
        <f t="shared" si="5"/>
        <v>1</v>
      </c>
    </row>
    <row r="223" spans="3:27" hidden="1" x14ac:dyDescent="0.2">
      <c r="C223" s="18" t="str">
        <f t="shared" si="3"/>
        <v>tendulkar.rohini@gmail.com</v>
      </c>
      <c r="E223" s="5">
        <f t="shared" si="4"/>
        <v>0</v>
      </c>
      <c r="F223" s="5">
        <f>IF(SUM($E223:E223)=1,0,F119)</f>
        <v>0</v>
      </c>
      <c r="G223" s="5">
        <f>IF(SUM($E223:F223)=1,0,G119)</f>
        <v>1</v>
      </c>
      <c r="H223" s="5">
        <f>IF(SUM($E223:G223)=1,0,H119)</f>
        <v>0</v>
      </c>
      <c r="I223" s="5">
        <f>IF(SUM($E223:H223)=1,0,I119)</f>
        <v>0</v>
      </c>
      <c r="J223" s="5">
        <f>IF(SUM($E223:I223)=1,0,J119)</f>
        <v>0</v>
      </c>
      <c r="K223" s="5">
        <f>IF(SUM($E223:J223)=1,0,K119)</f>
        <v>0</v>
      </c>
      <c r="L223" s="5">
        <f>IF(SUM($E223:K223)=1,0,L119)</f>
        <v>0</v>
      </c>
      <c r="M223" s="5">
        <f>IF(SUM($E223:L223)=1,0,M119)</f>
        <v>0</v>
      </c>
      <c r="N223" s="5">
        <f>IF(SUM($E223:M223)=1,0,N119)</f>
        <v>0</v>
      </c>
      <c r="O223" s="5">
        <f>IF(SUM($E223:N223)=1,0,O119)</f>
        <v>0</v>
      </c>
      <c r="P223" s="5">
        <f>IF(SUM($E223:O223)=1,0,P119)</f>
        <v>0</v>
      </c>
      <c r="Q223" s="5">
        <f>IF(SUM($E223:P223)=1,0,Q119)</f>
        <v>0</v>
      </c>
      <c r="R223" s="5">
        <f>IF(SUM($E223:Q223)=1,0,R119)</f>
        <v>0</v>
      </c>
      <c r="S223" s="5">
        <f>IF(SUM($E223:R223)=1,0,S119)</f>
        <v>0</v>
      </c>
      <c r="T223" s="5">
        <f>IF(SUM($E223:S223)=1,0,T119)</f>
        <v>0</v>
      </c>
      <c r="U223" s="5">
        <f>IF(SUM($E223:T223)=1,0,U119)</f>
        <v>0</v>
      </c>
      <c r="V223" s="5">
        <f>IF(SUM($E223:U223)=1,0,V119)</f>
        <v>0</v>
      </c>
      <c r="W223" s="5">
        <f>IF(SUM($E223:V223)=1,0,W119)</f>
        <v>0</v>
      </c>
      <c r="X223" s="5">
        <f>IF(SUM($E223:W223)=1,0,X119)</f>
        <v>0</v>
      </c>
      <c r="Y223" s="5">
        <f>IF(SUM($E223:X223)=1,0,Y119)</f>
        <v>0</v>
      </c>
      <c r="Z223" s="5">
        <f>IF(SUM($E223:Y223)=1,0,Z119)</f>
        <v>0</v>
      </c>
      <c r="AA223" s="5">
        <f t="shared" si="5"/>
        <v>1</v>
      </c>
    </row>
    <row r="224" spans="3:27" hidden="1" x14ac:dyDescent="0.2">
      <c r="C224" s="18" t="str">
        <f t="shared" si="3"/>
        <v>teodor.rd27@gmail.com</v>
      </c>
      <c r="E224" s="5">
        <f t="shared" si="4"/>
        <v>0</v>
      </c>
      <c r="F224" s="5">
        <f>IF(SUM($E224:E224)=1,0,F120)</f>
        <v>0</v>
      </c>
      <c r="G224" s="5">
        <f>IF(SUM($E224:F224)=1,0,G120)</f>
        <v>0</v>
      </c>
      <c r="H224" s="5">
        <f>IF(SUM($E224:G224)=1,0,H120)</f>
        <v>0</v>
      </c>
      <c r="I224" s="5">
        <f>IF(SUM($E224:H224)=1,0,I120)</f>
        <v>1</v>
      </c>
      <c r="J224" s="5">
        <f>IF(SUM($E224:I224)=1,0,J120)</f>
        <v>0</v>
      </c>
      <c r="K224" s="5">
        <f>IF(SUM($E224:J224)=1,0,K120)</f>
        <v>0</v>
      </c>
      <c r="L224" s="5">
        <f>IF(SUM($E224:K224)=1,0,L120)</f>
        <v>0</v>
      </c>
      <c r="M224" s="5">
        <f>IF(SUM($E224:L224)=1,0,M120)</f>
        <v>0</v>
      </c>
      <c r="N224" s="5">
        <f>IF(SUM($E224:M224)=1,0,N120)</f>
        <v>0</v>
      </c>
      <c r="O224" s="5">
        <f>IF(SUM($E224:N224)=1,0,O120)</f>
        <v>0</v>
      </c>
      <c r="P224" s="5">
        <f>IF(SUM($E224:O224)=1,0,P120)</f>
        <v>0</v>
      </c>
      <c r="Q224" s="5">
        <f>IF(SUM($E224:P224)=1,0,Q120)</f>
        <v>0</v>
      </c>
      <c r="R224" s="5">
        <f>IF(SUM($E224:Q224)=1,0,R120)</f>
        <v>0</v>
      </c>
      <c r="S224" s="5">
        <f>IF(SUM($E224:R224)=1,0,S120)</f>
        <v>0</v>
      </c>
      <c r="T224" s="5">
        <f>IF(SUM($E224:S224)=1,0,T120)</f>
        <v>0</v>
      </c>
      <c r="U224" s="5">
        <f>IF(SUM($E224:T224)=1,0,U120)</f>
        <v>0</v>
      </c>
      <c r="V224" s="5">
        <f>IF(SUM($E224:U224)=1,0,V120)</f>
        <v>0</v>
      </c>
      <c r="W224" s="5">
        <f>IF(SUM($E224:V224)=1,0,W120)</f>
        <v>0</v>
      </c>
      <c r="X224" s="5">
        <f>IF(SUM($E224:W224)=1,0,X120)</f>
        <v>0</v>
      </c>
      <c r="Y224" s="5">
        <f>IF(SUM($E224:X224)=1,0,Y120)</f>
        <v>0</v>
      </c>
      <c r="Z224" s="5">
        <f>IF(SUM($E224:Y224)=1,0,Z120)</f>
        <v>0</v>
      </c>
      <c r="AA224" s="5">
        <f t="shared" si="5"/>
        <v>1</v>
      </c>
    </row>
    <row r="225" spans="3:27" hidden="1" x14ac:dyDescent="0.2">
      <c r="C225" s="18" t="str">
        <f t="shared" si="3"/>
        <v>thefengshuistory@gmail.com</v>
      </c>
      <c r="E225" s="5">
        <f t="shared" si="4"/>
        <v>1</v>
      </c>
      <c r="F225" s="5">
        <f>IF(SUM($E225:E225)=1,0,F121)</f>
        <v>0</v>
      </c>
      <c r="G225" s="5">
        <f>IF(SUM($E225:F225)=1,0,G121)</f>
        <v>0</v>
      </c>
      <c r="H225" s="5">
        <f>IF(SUM($E225:G225)=1,0,H121)</f>
        <v>0</v>
      </c>
      <c r="I225" s="5">
        <f>IF(SUM($E225:H225)=1,0,I121)</f>
        <v>0</v>
      </c>
      <c r="J225" s="5">
        <f>IF(SUM($E225:I225)=1,0,J121)</f>
        <v>0</v>
      </c>
      <c r="K225" s="5">
        <f>IF(SUM($E225:J225)=1,0,K121)</f>
        <v>0</v>
      </c>
      <c r="L225" s="5">
        <f>IF(SUM($E225:K225)=1,0,L121)</f>
        <v>0</v>
      </c>
      <c r="M225" s="5">
        <f>IF(SUM($E225:L225)=1,0,M121)</f>
        <v>0</v>
      </c>
      <c r="N225" s="5">
        <f>IF(SUM($E225:M225)=1,0,N121)</f>
        <v>0</v>
      </c>
      <c r="O225" s="5">
        <f>IF(SUM($E225:N225)=1,0,O121)</f>
        <v>0</v>
      </c>
      <c r="P225" s="5">
        <f>IF(SUM($E225:O225)=1,0,P121)</f>
        <v>0</v>
      </c>
      <c r="Q225" s="5">
        <f>IF(SUM($E225:P225)=1,0,Q121)</f>
        <v>0</v>
      </c>
      <c r="R225" s="5">
        <f>IF(SUM($E225:Q225)=1,0,R121)</f>
        <v>0</v>
      </c>
      <c r="S225" s="5">
        <f>IF(SUM($E225:R225)=1,0,S121)</f>
        <v>0</v>
      </c>
      <c r="T225" s="5">
        <f>IF(SUM($E225:S225)=1,0,T121)</f>
        <v>0</v>
      </c>
      <c r="U225" s="5">
        <f>IF(SUM($E225:T225)=1,0,U121)</f>
        <v>0</v>
      </c>
      <c r="V225" s="5">
        <f>IF(SUM($E225:U225)=1,0,V121)</f>
        <v>0</v>
      </c>
      <c r="W225" s="5">
        <f>IF(SUM($E225:V225)=1,0,W121)</f>
        <v>0</v>
      </c>
      <c r="X225" s="5">
        <f>IF(SUM($E225:W225)=1,0,X121)</f>
        <v>0</v>
      </c>
      <c r="Y225" s="5">
        <f>IF(SUM($E225:X225)=1,0,Y121)</f>
        <v>0</v>
      </c>
      <c r="Z225" s="5">
        <f>IF(SUM($E225:Y225)=1,0,Z121)</f>
        <v>0</v>
      </c>
      <c r="AA225" s="5">
        <f t="shared" si="5"/>
        <v>1</v>
      </c>
    </row>
    <row r="226" spans="3:27" hidden="1" x14ac:dyDescent="0.2">
      <c r="C226" s="18" t="str">
        <f t="shared" si="3"/>
        <v>tomhsaville@hotmail.co.uk</v>
      </c>
      <c r="E226" s="5">
        <f t="shared" si="4"/>
        <v>0</v>
      </c>
      <c r="F226" s="5">
        <f>IF(SUM($E226:E226)=1,0,F122)</f>
        <v>0</v>
      </c>
      <c r="G226" s="5">
        <f>IF(SUM($E226:F226)=1,0,G122)</f>
        <v>0</v>
      </c>
      <c r="H226" s="5">
        <f>IF(SUM($E226:G226)=1,0,H122)</f>
        <v>0</v>
      </c>
      <c r="I226" s="5">
        <f>IF(SUM($E226:H226)=1,0,I122)</f>
        <v>1</v>
      </c>
      <c r="J226" s="5">
        <f>IF(SUM($E226:I226)=1,0,J122)</f>
        <v>0</v>
      </c>
      <c r="K226" s="5">
        <f>IF(SUM($E226:J226)=1,0,K122)</f>
        <v>0</v>
      </c>
      <c r="L226" s="5">
        <f>IF(SUM($E226:K226)=1,0,L122)</f>
        <v>0</v>
      </c>
      <c r="M226" s="5">
        <f>IF(SUM($E226:L226)=1,0,M122)</f>
        <v>0</v>
      </c>
      <c r="N226" s="5">
        <f>IF(SUM($E226:M226)=1,0,N122)</f>
        <v>0</v>
      </c>
      <c r="O226" s="5">
        <f>IF(SUM($E226:N226)=1,0,O122)</f>
        <v>0</v>
      </c>
      <c r="P226" s="5">
        <f>IF(SUM($E226:O226)=1,0,P122)</f>
        <v>0</v>
      </c>
      <c r="Q226" s="5">
        <f>IF(SUM($E226:P226)=1,0,Q122)</f>
        <v>0</v>
      </c>
      <c r="R226" s="5">
        <f>IF(SUM($E226:Q226)=1,0,R122)</f>
        <v>0</v>
      </c>
      <c r="S226" s="5">
        <f>IF(SUM($E226:R226)=1,0,S122)</f>
        <v>0</v>
      </c>
      <c r="T226" s="5">
        <f>IF(SUM($E226:S226)=1,0,T122)</f>
        <v>0</v>
      </c>
      <c r="U226" s="5">
        <f>IF(SUM($E226:T226)=1,0,U122)</f>
        <v>0</v>
      </c>
      <c r="V226" s="5">
        <f>IF(SUM($E226:U226)=1,0,V122)</f>
        <v>0</v>
      </c>
      <c r="W226" s="5">
        <f>IF(SUM($E226:V226)=1,0,W122)</f>
        <v>0</v>
      </c>
      <c r="X226" s="5">
        <f>IF(SUM($E226:W226)=1,0,X122)</f>
        <v>0</v>
      </c>
      <c r="Y226" s="5">
        <f>IF(SUM($E226:X226)=1,0,Y122)</f>
        <v>0</v>
      </c>
      <c r="Z226" s="5">
        <f>IF(SUM($E226:Y226)=1,0,Z122)</f>
        <v>0</v>
      </c>
      <c r="AA226" s="5">
        <f t="shared" si="5"/>
        <v>1</v>
      </c>
    </row>
    <row r="227" spans="3:27" hidden="1" x14ac:dyDescent="0.2">
      <c r="C227" s="18" t="str">
        <f t="shared" si="3"/>
        <v>walokunrin@yahoo.com</v>
      </c>
      <c r="E227" s="5">
        <f t="shared" si="4"/>
        <v>1</v>
      </c>
      <c r="F227" s="5">
        <f>IF(SUM($E227:E227)=1,0,F123)</f>
        <v>0</v>
      </c>
      <c r="G227" s="5">
        <f>IF(SUM($E227:F227)=1,0,G123)</f>
        <v>0</v>
      </c>
      <c r="H227" s="5">
        <f>IF(SUM($E227:G227)=1,0,H123)</f>
        <v>0</v>
      </c>
      <c r="I227" s="5">
        <f>IF(SUM($E227:H227)=1,0,I123)</f>
        <v>0</v>
      </c>
      <c r="J227" s="5">
        <f>IF(SUM($E227:I227)=1,0,J123)</f>
        <v>0</v>
      </c>
      <c r="K227" s="5">
        <f>IF(SUM($E227:J227)=1,0,K123)</f>
        <v>0</v>
      </c>
      <c r="L227" s="5">
        <f>IF(SUM($E227:K227)=1,0,L123)</f>
        <v>0</v>
      </c>
      <c r="M227" s="5">
        <f>IF(SUM($E227:L227)=1,0,M123)</f>
        <v>0</v>
      </c>
      <c r="N227" s="5">
        <f>IF(SUM($E227:M227)=1,0,N123)</f>
        <v>0</v>
      </c>
      <c r="O227" s="5">
        <f>IF(SUM($E227:N227)=1,0,O123)</f>
        <v>0</v>
      </c>
      <c r="P227" s="5">
        <f>IF(SUM($E227:O227)=1,0,P123)</f>
        <v>0</v>
      </c>
      <c r="Q227" s="5">
        <f>IF(SUM($E227:P227)=1,0,Q123)</f>
        <v>0</v>
      </c>
      <c r="R227" s="5">
        <f>IF(SUM($E227:Q227)=1,0,R123)</f>
        <v>0</v>
      </c>
      <c r="S227" s="5">
        <f>IF(SUM($E227:R227)=1,0,S123)</f>
        <v>0</v>
      </c>
      <c r="T227" s="5">
        <f>IF(SUM($E227:S227)=1,0,T123)</f>
        <v>0</v>
      </c>
      <c r="U227" s="5">
        <f>IF(SUM($E227:T227)=1,0,U123)</f>
        <v>0</v>
      </c>
      <c r="V227" s="5">
        <f>IF(SUM($E227:U227)=1,0,V123)</f>
        <v>0</v>
      </c>
      <c r="W227" s="5">
        <f>IF(SUM($E227:V227)=1,0,W123)</f>
        <v>0</v>
      </c>
      <c r="X227" s="5">
        <f>IF(SUM($E227:W227)=1,0,X123)</f>
        <v>0</v>
      </c>
      <c r="Y227" s="5">
        <f>IF(SUM($E227:X227)=1,0,Y123)</f>
        <v>0</v>
      </c>
      <c r="Z227" s="5">
        <f>IF(SUM($E227:Y227)=1,0,Z123)</f>
        <v>0</v>
      </c>
      <c r="AA227" s="5">
        <f t="shared" ref="AA227:AA238" si="6">SUM(E227:Z227)</f>
        <v>1</v>
      </c>
    </row>
    <row r="228" spans="3:27" hidden="1" x14ac:dyDescent="0.2">
      <c r="C228" s="18" t="str">
        <f t="shared" si="3"/>
        <v>wil_akanno@hotmail.com</v>
      </c>
      <c r="E228" s="5">
        <f t="shared" si="4"/>
        <v>0</v>
      </c>
      <c r="F228" s="5">
        <f>IF(SUM($E228:E228)=1,0,F124)</f>
        <v>0</v>
      </c>
      <c r="G228" s="5">
        <f>IF(SUM($E228:F228)=1,0,G124)</f>
        <v>0</v>
      </c>
      <c r="H228" s="5">
        <f>IF(SUM($E228:G228)=1,0,H124)</f>
        <v>0</v>
      </c>
      <c r="I228" s="5">
        <f>IF(SUM($E228:H228)=1,0,I124)</f>
        <v>0</v>
      </c>
      <c r="J228" s="5">
        <f>IF(SUM($E228:I228)=1,0,J124)</f>
        <v>0</v>
      </c>
      <c r="K228" s="5">
        <f>IF(SUM($E228:J228)=1,0,K124)</f>
        <v>0</v>
      </c>
      <c r="L228" s="5">
        <f>IF(SUM($E228:K228)=1,0,L124)</f>
        <v>0</v>
      </c>
      <c r="M228" s="5">
        <f>IF(SUM($E228:L228)=1,0,M124)</f>
        <v>0</v>
      </c>
      <c r="N228" s="5">
        <f>IF(SUM($E228:M228)=1,0,N124)</f>
        <v>0</v>
      </c>
      <c r="O228" s="5">
        <f>IF(SUM($E228:N228)=1,0,O124)</f>
        <v>0</v>
      </c>
      <c r="P228" s="5">
        <f>IF(SUM($E228:O228)=1,0,P124)</f>
        <v>0</v>
      </c>
      <c r="Q228" s="5">
        <f>IF(SUM($E228:P228)=1,0,Q124)</f>
        <v>0</v>
      </c>
      <c r="R228" s="5">
        <f>IF(SUM($E228:Q228)=1,0,R124)</f>
        <v>0</v>
      </c>
      <c r="S228" s="5">
        <f>IF(SUM($E228:R228)=1,0,S124)</f>
        <v>0</v>
      </c>
      <c r="T228" s="5">
        <f>IF(SUM($E228:S228)=1,0,T124)</f>
        <v>0</v>
      </c>
      <c r="U228" s="5">
        <f>IF(SUM($E228:T228)=1,0,U124)</f>
        <v>0</v>
      </c>
      <c r="V228" s="5">
        <f>IF(SUM($E228:U228)=1,0,V124)</f>
        <v>0</v>
      </c>
      <c r="W228" s="5">
        <f>IF(SUM($E228:V228)=1,0,W124)</f>
        <v>0</v>
      </c>
      <c r="X228" s="5">
        <f>IF(SUM($E228:W228)=1,0,X124)</f>
        <v>1</v>
      </c>
      <c r="Y228" s="5">
        <f>IF(SUM($E228:X228)=1,0,Y124)</f>
        <v>0</v>
      </c>
      <c r="Z228" s="5">
        <f>IF(SUM($E228:Y228)=1,0,Z124)</f>
        <v>0</v>
      </c>
      <c r="AA228" s="5">
        <f t="shared" si="6"/>
        <v>1</v>
      </c>
    </row>
    <row r="229" spans="3:27" hidden="1" x14ac:dyDescent="0.2">
      <c r="C229" s="18" t="str">
        <f t="shared" si="3"/>
        <v>win.man@icloud.com</v>
      </c>
      <c r="E229" s="5">
        <f t="shared" si="4"/>
        <v>0</v>
      </c>
      <c r="F229" s="5">
        <f>IF(SUM($E229:E229)=1,0,F125)</f>
        <v>0</v>
      </c>
      <c r="G229" s="5">
        <f>IF(SUM($E229:F229)=1,0,G125)</f>
        <v>0</v>
      </c>
      <c r="H229" s="5">
        <f>IF(SUM($E229:G229)=1,0,H125)</f>
        <v>0</v>
      </c>
      <c r="I229" s="5">
        <f>IF(SUM($E229:H229)=1,0,I125)</f>
        <v>0</v>
      </c>
      <c r="J229" s="5">
        <f>IF(SUM($E229:I229)=1,0,J125)</f>
        <v>1</v>
      </c>
      <c r="K229" s="5">
        <f>IF(SUM($E229:J229)=1,0,K125)</f>
        <v>0</v>
      </c>
      <c r="L229" s="5">
        <f>IF(SUM($E229:K229)=1,0,L125)</f>
        <v>0</v>
      </c>
      <c r="M229" s="5">
        <f>IF(SUM($E229:L229)=1,0,M125)</f>
        <v>0</v>
      </c>
      <c r="N229" s="5">
        <f>IF(SUM($E229:M229)=1,0,N125)</f>
        <v>0</v>
      </c>
      <c r="O229" s="5">
        <f>IF(SUM($E229:N229)=1,0,O125)</f>
        <v>0</v>
      </c>
      <c r="P229" s="5">
        <f>IF(SUM($E229:O229)=1,0,P125)</f>
        <v>0</v>
      </c>
      <c r="Q229" s="5">
        <f>IF(SUM($E229:P229)=1,0,Q125)</f>
        <v>0</v>
      </c>
      <c r="R229" s="5">
        <f>IF(SUM($E229:Q229)=1,0,R125)</f>
        <v>0</v>
      </c>
      <c r="S229" s="5">
        <f>IF(SUM($E229:R229)=1,0,S125)</f>
        <v>0</v>
      </c>
      <c r="T229" s="5">
        <f>IF(SUM($E229:S229)=1,0,T125)</f>
        <v>0</v>
      </c>
      <c r="U229" s="5">
        <f>IF(SUM($E229:T229)=1,0,U125)</f>
        <v>0</v>
      </c>
      <c r="V229" s="5">
        <f>IF(SUM($E229:U229)=1,0,V125)</f>
        <v>0</v>
      </c>
      <c r="W229" s="5">
        <f>IF(SUM($E229:V229)=1,0,W125)</f>
        <v>0</v>
      </c>
      <c r="X229" s="5">
        <f>IF(SUM($E229:W229)=1,0,X125)</f>
        <v>0</v>
      </c>
      <c r="Y229" s="5">
        <f>IF(SUM($E229:X229)=1,0,Y125)</f>
        <v>0</v>
      </c>
      <c r="Z229" s="5">
        <f>IF(SUM($E229:Y229)=1,0,Z125)</f>
        <v>0</v>
      </c>
      <c r="AA229" s="5">
        <f t="shared" si="6"/>
        <v>1</v>
      </c>
    </row>
    <row r="230" spans="3:27" hidden="1" x14ac:dyDescent="0.2">
      <c r="C230" s="18" t="str">
        <f t="shared" si="3"/>
        <v>xetta03@hotmail.com</v>
      </c>
      <c r="E230" s="5">
        <f t="shared" si="4"/>
        <v>0</v>
      </c>
      <c r="F230" s="5">
        <f>IF(SUM($E230:E230)=1,0,F126)</f>
        <v>0</v>
      </c>
      <c r="G230" s="5">
        <f>IF(SUM($E230:F230)=1,0,G126)</f>
        <v>0</v>
      </c>
      <c r="H230" s="5">
        <f>IF(SUM($E230:G230)=1,0,H126)</f>
        <v>0</v>
      </c>
      <c r="I230" s="5">
        <f>IF(SUM($E230:H230)=1,0,I126)</f>
        <v>0</v>
      </c>
      <c r="J230" s="5">
        <f>IF(SUM($E230:I230)=1,0,J126)</f>
        <v>0</v>
      </c>
      <c r="K230" s="5">
        <f>IF(SUM($E230:J230)=1,0,K126)</f>
        <v>0</v>
      </c>
      <c r="L230" s="5">
        <f>IF(SUM($E230:K230)=1,0,L126)</f>
        <v>0</v>
      </c>
      <c r="M230" s="5">
        <f>IF(SUM($E230:L230)=1,0,M126)</f>
        <v>0</v>
      </c>
      <c r="N230" s="5">
        <f>IF(SUM($E230:M230)=1,0,N126)</f>
        <v>0</v>
      </c>
      <c r="O230" s="5">
        <f>IF(SUM($E230:N230)=1,0,O126)</f>
        <v>0</v>
      </c>
      <c r="P230" s="5">
        <f>IF(SUM($E230:O230)=1,0,P126)</f>
        <v>0</v>
      </c>
      <c r="Q230" s="5">
        <f>IF(SUM($E230:P230)=1,0,Q126)</f>
        <v>0</v>
      </c>
      <c r="R230" s="5">
        <f>IF(SUM($E230:Q230)=1,0,R126)</f>
        <v>0</v>
      </c>
      <c r="S230" s="5">
        <f>IF(SUM($E230:R230)=1,0,S126)</f>
        <v>1</v>
      </c>
      <c r="T230" s="5">
        <f>IF(SUM($E230:S230)=1,0,T126)</f>
        <v>0</v>
      </c>
      <c r="U230" s="5">
        <f>IF(SUM($E230:T230)=1,0,U126)</f>
        <v>0</v>
      </c>
      <c r="V230" s="5">
        <f>IF(SUM($E230:U230)=1,0,V126)</f>
        <v>0</v>
      </c>
      <c r="W230" s="5">
        <f>IF(SUM($E230:V230)=1,0,W126)</f>
        <v>0</v>
      </c>
      <c r="X230" s="5">
        <f>IF(SUM($E230:W230)=1,0,X126)</f>
        <v>0</v>
      </c>
      <c r="Y230" s="5">
        <f>IF(SUM($E230:X230)=1,0,Y126)</f>
        <v>0</v>
      </c>
      <c r="Z230" s="5">
        <f>IF(SUM($E230:Y230)=1,0,Z126)</f>
        <v>0</v>
      </c>
      <c r="AA230" s="5">
        <f t="shared" si="6"/>
        <v>1</v>
      </c>
    </row>
    <row r="231" spans="3:27" hidden="1" x14ac:dyDescent="0.2">
      <c r="C231" s="18" t="str">
        <f t="shared" si="3"/>
        <v>yangtianqi2023@163.com</v>
      </c>
      <c r="E231" s="5">
        <f t="shared" si="4"/>
        <v>0</v>
      </c>
      <c r="F231" s="5">
        <f>IF(SUM($E231:E231)=1,0,F127)</f>
        <v>0</v>
      </c>
      <c r="G231" s="5">
        <f>IF(SUM($E231:F231)=1,0,G127)</f>
        <v>0</v>
      </c>
      <c r="H231" s="5">
        <f>IF(SUM($E231:G231)=1,0,H127)</f>
        <v>0</v>
      </c>
      <c r="I231" s="5">
        <f>IF(SUM($E231:H231)=1,0,I127)</f>
        <v>0</v>
      </c>
      <c r="J231" s="5">
        <f>IF(SUM($E231:I231)=1,0,J127)</f>
        <v>0</v>
      </c>
      <c r="K231" s="5">
        <f>IF(SUM($E231:J231)=1,0,K127)</f>
        <v>0</v>
      </c>
      <c r="L231" s="5">
        <f>IF(SUM($E231:K231)=1,0,L127)</f>
        <v>0</v>
      </c>
      <c r="M231" s="5">
        <f>IF(SUM($E231:L231)=1,0,M127)</f>
        <v>0</v>
      </c>
      <c r="N231" s="5">
        <f>IF(SUM($E231:M231)=1,0,N127)</f>
        <v>0</v>
      </c>
      <c r="O231" s="5">
        <f>IF(SUM($E231:N231)=1,0,O127)</f>
        <v>1</v>
      </c>
      <c r="P231" s="5">
        <f>IF(SUM($E231:O231)=1,0,P127)</f>
        <v>0</v>
      </c>
      <c r="Q231" s="5">
        <f>IF(SUM($E231:P231)=1,0,Q127)</f>
        <v>0</v>
      </c>
      <c r="R231" s="5">
        <f>IF(SUM($E231:Q231)=1,0,R127)</f>
        <v>0</v>
      </c>
      <c r="S231" s="5">
        <f>IF(SUM($E231:R231)=1,0,S127)</f>
        <v>0</v>
      </c>
      <c r="T231" s="5">
        <f>IF(SUM($E231:S231)=1,0,T127)</f>
        <v>0</v>
      </c>
      <c r="U231" s="5">
        <f>IF(SUM($E231:T231)=1,0,U127)</f>
        <v>0</v>
      </c>
      <c r="V231" s="5">
        <f>IF(SUM($E231:U231)=1,0,V127)</f>
        <v>0</v>
      </c>
      <c r="W231" s="5">
        <f>IF(SUM($E231:V231)=1,0,W127)</f>
        <v>0</v>
      </c>
      <c r="X231" s="5">
        <f>IF(SUM($E231:W231)=1,0,X127)</f>
        <v>0</v>
      </c>
      <c r="Y231" s="5">
        <f>IF(SUM($E231:X231)=1,0,Y127)</f>
        <v>0</v>
      </c>
      <c r="Z231" s="5">
        <f>IF(SUM($E231:Y231)=1,0,Z127)</f>
        <v>0</v>
      </c>
      <c r="AA231" s="5">
        <f t="shared" si="6"/>
        <v>1</v>
      </c>
    </row>
    <row r="232" spans="3:27" hidden="1" x14ac:dyDescent="0.2">
      <c r="C232" s="18" t="str">
        <f t="shared" si="3"/>
        <v>yskinoue0127@gmail.com</v>
      </c>
      <c r="E232" s="5">
        <f t="shared" si="4"/>
        <v>0</v>
      </c>
      <c r="F232" s="5">
        <f>IF(SUM($E232:E232)=1,0,F128)</f>
        <v>0</v>
      </c>
      <c r="G232" s="5">
        <f>IF(SUM($E232:F232)=1,0,G128)</f>
        <v>0</v>
      </c>
      <c r="H232" s="5">
        <f>IF(SUM($E232:G232)=1,0,H128)</f>
        <v>0</v>
      </c>
      <c r="I232" s="5">
        <f>IF(SUM($E232:H232)=1,0,I128)</f>
        <v>0</v>
      </c>
      <c r="J232" s="5">
        <f>IF(SUM($E232:I232)=1,0,J128)</f>
        <v>0</v>
      </c>
      <c r="K232" s="5">
        <f>IF(SUM($E232:J232)=1,0,K128)</f>
        <v>0</v>
      </c>
      <c r="L232" s="5">
        <f>IF(SUM($E232:K232)=1,0,L128)</f>
        <v>0</v>
      </c>
      <c r="M232" s="5">
        <f>IF(SUM($E232:L232)=1,0,M128)</f>
        <v>0</v>
      </c>
      <c r="N232" s="5">
        <f>IF(SUM($E232:M232)=1,0,N128)</f>
        <v>0</v>
      </c>
      <c r="O232" s="5">
        <f>IF(SUM($E232:N232)=1,0,O128)</f>
        <v>0</v>
      </c>
      <c r="P232" s="5">
        <f>IF(SUM($E232:O232)=1,0,P128)</f>
        <v>0</v>
      </c>
      <c r="Q232" s="5">
        <f>IF(SUM($E232:P232)=1,0,Q128)</f>
        <v>0</v>
      </c>
      <c r="R232" s="5">
        <f>IF(SUM($E232:Q232)=1,0,R128)</f>
        <v>1</v>
      </c>
      <c r="S232" s="5">
        <f>IF(SUM($E232:R232)=1,0,S128)</f>
        <v>0</v>
      </c>
      <c r="T232" s="5">
        <f>IF(SUM($E232:S232)=1,0,T128)</f>
        <v>0</v>
      </c>
      <c r="U232" s="5">
        <f>IF(SUM($E232:T232)=1,0,U128)</f>
        <v>0</v>
      </c>
      <c r="V232" s="5">
        <f>IF(SUM($E232:U232)=1,0,V128)</f>
        <v>0</v>
      </c>
      <c r="W232" s="5">
        <f>IF(SUM($E232:V232)=1,0,W128)</f>
        <v>0</v>
      </c>
      <c r="X232" s="5">
        <f>IF(SUM($E232:W232)=1,0,X128)</f>
        <v>0</v>
      </c>
      <c r="Y232" s="5">
        <f>IF(SUM($E232:X232)=1,0,Y128)</f>
        <v>0</v>
      </c>
      <c r="Z232" s="5">
        <f>IF(SUM($E232:Y232)=1,0,Z128)</f>
        <v>0</v>
      </c>
      <c r="AA232" s="5">
        <f t="shared" si="6"/>
        <v>1</v>
      </c>
    </row>
    <row r="233" spans="3:27" hidden="1" x14ac:dyDescent="0.2">
      <c r="C233" s="18" t="str">
        <f t="shared" si="3"/>
        <v>yyasemin.mermer@gmail.com</v>
      </c>
      <c r="E233" s="5">
        <f t="shared" si="4"/>
        <v>0</v>
      </c>
      <c r="F233" s="5">
        <f>IF(SUM($E233:E233)=1,0,F129)</f>
        <v>0</v>
      </c>
      <c r="G233" s="5">
        <f>IF(SUM($E233:F233)=1,0,G129)</f>
        <v>0</v>
      </c>
      <c r="H233" s="5">
        <f>IF(SUM($E233:G233)=1,0,H129)</f>
        <v>0</v>
      </c>
      <c r="I233" s="5">
        <f>IF(SUM($E233:H233)=1,0,I129)</f>
        <v>0</v>
      </c>
      <c r="J233" s="5">
        <f>IF(SUM($E233:I233)=1,0,J129)</f>
        <v>0</v>
      </c>
      <c r="K233" s="5">
        <f>IF(SUM($E233:J233)=1,0,K129)</f>
        <v>1</v>
      </c>
      <c r="L233" s="5">
        <f>IF(SUM($E233:K233)=1,0,L129)</f>
        <v>0</v>
      </c>
      <c r="M233" s="5">
        <f>IF(SUM($E233:L233)=1,0,M129)</f>
        <v>0</v>
      </c>
      <c r="N233" s="5">
        <f>IF(SUM($E233:M233)=1,0,N129)</f>
        <v>0</v>
      </c>
      <c r="O233" s="5">
        <f>IF(SUM($E233:N233)=1,0,O129)</f>
        <v>0</v>
      </c>
      <c r="P233" s="5">
        <f>IF(SUM($E233:O233)=1,0,P129)</f>
        <v>0</v>
      </c>
      <c r="Q233" s="5">
        <f>IF(SUM($E233:P233)=1,0,Q129)</f>
        <v>0</v>
      </c>
      <c r="R233" s="5">
        <f>IF(SUM($E233:Q233)=1,0,R129)</f>
        <v>0</v>
      </c>
      <c r="S233" s="5">
        <f>IF(SUM($E233:R233)=1,0,S129)</f>
        <v>0</v>
      </c>
      <c r="T233" s="5">
        <f>IF(SUM($E233:S233)=1,0,T129)</f>
        <v>0</v>
      </c>
      <c r="U233" s="5">
        <f>IF(SUM($E233:T233)=1,0,U129)</f>
        <v>0</v>
      </c>
      <c r="V233" s="5">
        <f>IF(SUM($E233:U233)=1,0,V129)</f>
        <v>0</v>
      </c>
      <c r="W233" s="5">
        <f>IF(SUM($E233:V233)=1,0,W129)</f>
        <v>0</v>
      </c>
      <c r="X233" s="5">
        <f>IF(SUM($E233:W233)=1,0,X129)</f>
        <v>0</v>
      </c>
      <c r="Y233" s="5">
        <f>IF(SUM($E233:X233)=1,0,Y129)</f>
        <v>0</v>
      </c>
      <c r="Z233" s="5">
        <f>IF(SUM($E233:Y233)=1,0,Z129)</f>
        <v>0</v>
      </c>
      <c r="AA233" s="5">
        <f t="shared" si="6"/>
        <v>1</v>
      </c>
    </row>
    <row r="234" spans="3:27" hidden="1" x14ac:dyDescent="0.2">
      <c r="C234" s="18" t="str">
        <f t="shared" si="3"/>
        <v>zinab.rama@gmail.com</v>
      </c>
      <c r="E234" s="5">
        <f t="shared" si="4"/>
        <v>0</v>
      </c>
      <c r="F234" s="5">
        <f>IF(SUM($E234:E234)=1,0,F130)</f>
        <v>0</v>
      </c>
      <c r="G234" s="5">
        <f>IF(SUM($E234:F234)=1,0,G130)</f>
        <v>0</v>
      </c>
      <c r="H234" s="5">
        <f>IF(SUM($E234:G234)=1,0,H130)</f>
        <v>0</v>
      </c>
      <c r="I234" s="5">
        <f>IF(SUM($E234:H234)=1,0,I130)</f>
        <v>0</v>
      </c>
      <c r="J234" s="5">
        <f>IF(SUM($E234:I234)=1,0,J130)</f>
        <v>1</v>
      </c>
      <c r="K234" s="5">
        <f>IF(SUM($E234:J234)=1,0,K130)</f>
        <v>0</v>
      </c>
      <c r="L234" s="5">
        <f>IF(SUM($E234:K234)=1,0,L130)</f>
        <v>0</v>
      </c>
      <c r="M234" s="5">
        <f>IF(SUM($E234:L234)=1,0,M130)</f>
        <v>0</v>
      </c>
      <c r="N234" s="5">
        <f>IF(SUM($E234:M234)=1,0,N130)</f>
        <v>0</v>
      </c>
      <c r="O234" s="5">
        <f>IF(SUM($E234:N234)=1,0,O130)</f>
        <v>0</v>
      </c>
      <c r="P234" s="5">
        <f>IF(SUM($E234:O234)=1,0,P130)</f>
        <v>0</v>
      </c>
      <c r="Q234" s="5">
        <f>IF(SUM($E234:P234)=1,0,Q130)</f>
        <v>0</v>
      </c>
      <c r="R234" s="5">
        <f>IF(SUM($E234:Q234)=1,0,R130)</f>
        <v>0</v>
      </c>
      <c r="S234" s="5">
        <f>IF(SUM($E234:R234)=1,0,S130)</f>
        <v>0</v>
      </c>
      <c r="T234" s="5">
        <f>IF(SUM($E234:S234)=1,0,T130)</f>
        <v>0</v>
      </c>
      <c r="U234" s="5">
        <f>IF(SUM($E234:T234)=1,0,U130)</f>
        <v>0</v>
      </c>
      <c r="V234" s="5">
        <f>IF(SUM($E234:U234)=1,0,V130)</f>
        <v>0</v>
      </c>
      <c r="W234" s="5">
        <f>IF(SUM($E234:V234)=1,0,W130)</f>
        <v>0</v>
      </c>
      <c r="X234" s="5">
        <f>IF(SUM($E234:W234)=1,0,X130)</f>
        <v>0</v>
      </c>
      <c r="Y234" s="5">
        <f>IF(SUM($E234:X234)=1,0,Y130)</f>
        <v>0</v>
      </c>
      <c r="Z234" s="5">
        <f>IF(SUM($E234:Y234)=1,0,Z130)</f>
        <v>0</v>
      </c>
      <c r="AA234" s="5">
        <f t="shared" si="6"/>
        <v>1</v>
      </c>
    </row>
    <row r="235" spans="3:27" hidden="1" x14ac:dyDescent="0.2">
      <c r="C235" s="18" t="str">
        <f t="shared" si="3"/>
        <v>(blank)</v>
      </c>
      <c r="E235" s="5">
        <f t="shared" si="4"/>
        <v>0</v>
      </c>
      <c r="F235" s="5">
        <f>IF(SUM($E235:E235)=1,0,F131)</f>
        <v>0</v>
      </c>
      <c r="G235" s="5">
        <f>IF(SUM($E235:F235)=1,0,G131)</f>
        <v>0</v>
      </c>
      <c r="H235" s="5">
        <f>IF(SUM($E235:G235)=1,0,H131)</f>
        <v>0</v>
      </c>
      <c r="I235" s="5">
        <f>IF(SUM($E235:H235)=1,0,I131)</f>
        <v>0</v>
      </c>
      <c r="J235" s="5">
        <f>IF(SUM($E235:I235)=1,0,J131)</f>
        <v>0</v>
      </c>
      <c r="K235" s="5">
        <f>IF(SUM($E235:J235)=1,0,K131)</f>
        <v>0</v>
      </c>
      <c r="L235" s="5">
        <f>IF(SUM($E235:K235)=1,0,L131)</f>
        <v>0</v>
      </c>
      <c r="M235" s="5">
        <f>IF(SUM($E235:L235)=1,0,M131)</f>
        <v>0</v>
      </c>
      <c r="N235" s="5">
        <f>IF(SUM($E235:M235)=1,0,N131)</f>
        <v>0</v>
      </c>
      <c r="O235" s="5">
        <f>IF(SUM($E235:N235)=1,0,O131)</f>
        <v>0</v>
      </c>
      <c r="P235" s="5">
        <f>IF(SUM($E235:O235)=1,0,P131)</f>
        <v>0</v>
      </c>
      <c r="Q235" s="5">
        <f>IF(SUM($E235:P235)=1,0,Q131)</f>
        <v>0</v>
      </c>
      <c r="R235" s="5">
        <f>IF(SUM($E235:Q235)=1,0,R131)</f>
        <v>0</v>
      </c>
      <c r="S235" s="5">
        <f>IF(SUM($E235:R235)=1,0,S131)</f>
        <v>0</v>
      </c>
      <c r="T235" s="5">
        <f>IF(SUM($E235:S235)=1,0,T131)</f>
        <v>0</v>
      </c>
      <c r="U235" s="5">
        <f>IF(SUM($E235:T235)=1,0,U131)</f>
        <v>0</v>
      </c>
      <c r="V235" s="5">
        <f>IF(SUM($E235:U235)=1,0,V131)</f>
        <v>0</v>
      </c>
      <c r="W235" s="5">
        <f>IF(SUM($E235:V235)=1,0,W131)</f>
        <v>0</v>
      </c>
      <c r="X235" s="5">
        <f>IF(SUM($E235:W235)=1,0,X131)</f>
        <v>0</v>
      </c>
      <c r="Y235" s="5">
        <f>IF(SUM($E235:X235)=1,0,Y131)</f>
        <v>0</v>
      </c>
      <c r="Z235" s="5">
        <f>IF(SUM($E235:Y235)=1,0,Z131)</f>
        <v>0</v>
      </c>
      <c r="AA235" s="5">
        <f t="shared" si="6"/>
        <v>0</v>
      </c>
    </row>
    <row r="236" spans="3:27" hidden="1" x14ac:dyDescent="0.2">
      <c r="C236" s="18" t="str">
        <f t="shared" si="3"/>
        <v>6.saracchi@gmail.com-friend</v>
      </c>
      <c r="E236" s="5">
        <f t="shared" si="4"/>
        <v>0</v>
      </c>
      <c r="F236" s="5">
        <f>IF(SUM($E236:E236)=1,0,F132)</f>
        <v>0</v>
      </c>
      <c r="G236" s="5">
        <f>IF(SUM($E236:F236)=1,0,G132)</f>
        <v>0</v>
      </c>
      <c r="H236" s="5">
        <f>IF(SUM($E236:G236)=1,0,H132)</f>
        <v>0</v>
      </c>
      <c r="I236" s="5">
        <f>IF(SUM($E236:H236)=1,0,I132)</f>
        <v>0</v>
      </c>
      <c r="J236" s="5">
        <f>IF(SUM($E236:I236)=1,0,J132)</f>
        <v>0</v>
      </c>
      <c r="K236" s="5">
        <f>IF(SUM($E236:J236)=1,0,K132)</f>
        <v>0</v>
      </c>
      <c r="L236" s="5">
        <f>IF(SUM($E236:K236)=1,0,L132)</f>
        <v>0</v>
      </c>
      <c r="M236" s="5">
        <f>IF(SUM($E236:L236)=1,0,M132)</f>
        <v>0</v>
      </c>
      <c r="N236" s="5">
        <f>IF(SUM($E236:M236)=1,0,N132)</f>
        <v>0</v>
      </c>
      <c r="O236" s="5">
        <f>IF(SUM($E236:N236)=1,0,O132)</f>
        <v>0</v>
      </c>
      <c r="P236" s="5">
        <f>IF(SUM($E236:O236)=1,0,P132)</f>
        <v>0</v>
      </c>
      <c r="Q236" s="5">
        <f>IF(SUM($E236:P236)=1,0,Q132)</f>
        <v>0</v>
      </c>
      <c r="R236" s="5">
        <f>IF(SUM($E236:Q236)=1,0,R132)</f>
        <v>0</v>
      </c>
      <c r="S236" s="5">
        <f>IF(SUM($E236:R236)=1,0,S132)</f>
        <v>0</v>
      </c>
      <c r="T236" s="5">
        <f>IF(SUM($E236:S236)=1,0,T132)</f>
        <v>0</v>
      </c>
      <c r="U236" s="5">
        <f>IF(SUM($E236:T236)=1,0,U132)</f>
        <v>1</v>
      </c>
      <c r="V236" s="5">
        <f>IF(SUM($E236:U236)=1,0,V132)</f>
        <v>0</v>
      </c>
      <c r="W236" s="5">
        <f>IF(SUM($E236:V236)=1,0,W132)</f>
        <v>0</v>
      </c>
      <c r="X236" s="5">
        <f>IF(SUM($E236:W236)=1,0,X132)</f>
        <v>0</v>
      </c>
      <c r="Y236" s="5">
        <f>IF(SUM($E236:X236)=1,0,Y132)</f>
        <v>0</v>
      </c>
      <c r="Z236" s="5">
        <f>IF(SUM($E236:Y236)=1,0,Z132)</f>
        <v>0</v>
      </c>
      <c r="AA236" s="5">
        <f t="shared" si="6"/>
        <v>1</v>
      </c>
    </row>
    <row r="237" spans="3:27" hidden="1" x14ac:dyDescent="0.2">
      <c r="C237" s="18" t="str">
        <f t="shared" si="3"/>
        <v>roberthchapman@hotmail.com-friend</v>
      </c>
      <c r="E237" s="5">
        <f t="shared" si="4"/>
        <v>0</v>
      </c>
      <c r="F237" s="5">
        <f>IF(SUM($E237:E237)=1,0,F133)</f>
        <v>0</v>
      </c>
      <c r="G237" s="5">
        <f>IF(SUM($E237:F237)=1,0,G133)</f>
        <v>1</v>
      </c>
      <c r="H237" s="5">
        <f>IF(SUM($E237:G237)=1,0,H133)</f>
        <v>0</v>
      </c>
      <c r="I237" s="5">
        <f>IF(SUM($E237:H237)=1,0,I133)</f>
        <v>0</v>
      </c>
      <c r="J237" s="5">
        <f>IF(SUM($E237:I237)=1,0,J133)</f>
        <v>0</v>
      </c>
      <c r="K237" s="5">
        <f>IF(SUM($E237:J237)=1,0,K133)</f>
        <v>0</v>
      </c>
      <c r="L237" s="5">
        <f>IF(SUM($E237:K237)=1,0,L133)</f>
        <v>0</v>
      </c>
      <c r="M237" s="5">
        <f>IF(SUM($E237:L237)=1,0,M133)</f>
        <v>0</v>
      </c>
      <c r="N237" s="5">
        <f>IF(SUM($E237:M237)=1,0,N133)</f>
        <v>0</v>
      </c>
      <c r="O237" s="5">
        <f>IF(SUM($E237:N237)=1,0,O133)</f>
        <v>0</v>
      </c>
      <c r="P237" s="5">
        <f>IF(SUM($E237:O237)=1,0,P133)</f>
        <v>0</v>
      </c>
      <c r="Q237" s="5">
        <f>IF(SUM($E237:P237)=1,0,Q133)</f>
        <v>0</v>
      </c>
      <c r="R237" s="5">
        <f>IF(SUM($E237:Q237)=1,0,R133)</f>
        <v>0</v>
      </c>
      <c r="S237" s="5">
        <f>IF(SUM($E237:R237)=1,0,S133)</f>
        <v>0</v>
      </c>
      <c r="T237" s="5">
        <f>IF(SUM($E237:S237)=1,0,T133)</f>
        <v>0</v>
      </c>
      <c r="U237" s="5">
        <f>IF(SUM($E237:T237)=1,0,U133)</f>
        <v>0</v>
      </c>
      <c r="V237" s="5">
        <f>IF(SUM($E237:U237)=1,0,V133)</f>
        <v>0</v>
      </c>
      <c r="W237" s="5">
        <f>IF(SUM($E237:V237)=1,0,W133)</f>
        <v>0</v>
      </c>
      <c r="X237" s="5">
        <f>IF(SUM($E237:W237)=1,0,X133)</f>
        <v>0</v>
      </c>
      <c r="Y237" s="5">
        <f>IF(SUM($E237:X237)=1,0,Y133)</f>
        <v>0</v>
      </c>
      <c r="Z237" s="5">
        <f>IF(SUM($E237:Y237)=1,0,Z133)</f>
        <v>0</v>
      </c>
      <c r="AA237" s="5">
        <f t="shared" si="6"/>
        <v>1</v>
      </c>
    </row>
    <row r="238" spans="3:27" hidden="1" x14ac:dyDescent="0.2">
      <c r="C238" s="18" t="str">
        <f t="shared" si="3"/>
        <v>roberthchapman@hotmail.com-friend2</v>
      </c>
      <c r="E238" s="5">
        <f t="shared" si="4"/>
        <v>0</v>
      </c>
      <c r="F238" s="5">
        <f>IF(SUM($E238:E238)=1,0,F134)</f>
        <v>0</v>
      </c>
      <c r="G238" s="5">
        <f>IF(SUM($E238:F238)=1,0,G134)</f>
        <v>1</v>
      </c>
      <c r="H238" s="5">
        <f>IF(SUM($E238:G238)=1,0,H134)</f>
        <v>0</v>
      </c>
      <c r="I238" s="5">
        <f>IF(SUM($E238:H238)=1,0,I134)</f>
        <v>0</v>
      </c>
      <c r="J238" s="5">
        <f>IF(SUM($E238:I238)=1,0,J134)</f>
        <v>0</v>
      </c>
      <c r="K238" s="5">
        <f>IF(SUM($E238:J238)=1,0,K134)</f>
        <v>0</v>
      </c>
      <c r="L238" s="5">
        <f>IF(SUM($E238:K238)=1,0,L134)</f>
        <v>0</v>
      </c>
      <c r="M238" s="5">
        <f>IF(SUM($E238:L238)=1,0,M134)</f>
        <v>0</v>
      </c>
      <c r="N238" s="5">
        <f>IF(SUM($E238:M238)=1,0,N134)</f>
        <v>0</v>
      </c>
      <c r="O238" s="5">
        <f>IF(SUM($E238:N238)=1,0,O134)</f>
        <v>0</v>
      </c>
      <c r="P238" s="5">
        <f>IF(SUM($E238:O238)=1,0,P134)</f>
        <v>0</v>
      </c>
      <c r="Q238" s="5">
        <f>IF(SUM($E238:P238)=1,0,Q134)</f>
        <v>0</v>
      </c>
      <c r="R238" s="5">
        <f>IF(SUM($E238:Q238)=1,0,R134)</f>
        <v>0</v>
      </c>
      <c r="S238" s="5">
        <f>IF(SUM($E238:R238)=1,0,S134)</f>
        <v>0</v>
      </c>
      <c r="T238" s="5">
        <f>IF(SUM($E238:S238)=1,0,T134)</f>
        <v>0</v>
      </c>
      <c r="U238" s="5">
        <f>IF(SUM($E238:T238)=1,0,U134)</f>
        <v>0</v>
      </c>
      <c r="V238" s="5">
        <f>IF(SUM($E238:U238)=1,0,V134)</f>
        <v>0</v>
      </c>
      <c r="W238" s="5">
        <f>IF(SUM($E238:V238)=1,0,W134)</f>
        <v>0</v>
      </c>
      <c r="X238" s="5">
        <f>IF(SUM($E238:W238)=1,0,X134)</f>
        <v>0</v>
      </c>
      <c r="Y238" s="5">
        <f>IF(SUM($E238:X238)=1,0,Y134)</f>
        <v>0</v>
      </c>
      <c r="Z238" s="5">
        <f>IF(SUM($E238:Y238)=1,0,Z134)</f>
        <v>0</v>
      </c>
      <c r="AA238" s="5">
        <f t="shared" si="6"/>
        <v>1</v>
      </c>
    </row>
    <row r="239" spans="3:27" hidden="1" x14ac:dyDescent="0.2"/>
    <row r="240" spans="3:27" hidden="1" x14ac:dyDescent="0.2"/>
    <row r="243" spans="1:28" x14ac:dyDescent="0.2">
      <c r="B243" s="159" t="s">
        <v>964</v>
      </c>
    </row>
    <row r="245" spans="1:28" x14ac:dyDescent="0.2">
      <c r="A245" s="161" t="s">
        <v>951</v>
      </c>
      <c r="B245" s="5">
        <f>ROW(C249)</f>
        <v>249</v>
      </c>
      <c r="C245" s="5">
        <f>ROW(C35)</f>
        <v>35</v>
      </c>
      <c r="D245" s="5">
        <f>ROW(C139)</f>
        <v>139</v>
      </c>
      <c r="G245" s="5">
        <f>SUMIF(E35:E133,"0",F35:F133)</f>
        <v>0</v>
      </c>
      <c r="H245" s="5">
        <f t="shared" ref="H245:Z245" si="7">SUMIF($F$35:$F$133,"&gt;0",H$35:H$133)</f>
        <v>1</v>
      </c>
      <c r="I245" s="5">
        <f t="shared" si="7"/>
        <v>0</v>
      </c>
      <c r="J245" s="5">
        <f t="shared" si="7"/>
        <v>1</v>
      </c>
      <c r="K245" s="5">
        <f t="shared" si="7"/>
        <v>0</v>
      </c>
      <c r="L245" s="5">
        <f t="shared" si="7"/>
        <v>1</v>
      </c>
      <c r="M245" s="5">
        <f t="shared" si="7"/>
        <v>0</v>
      </c>
      <c r="N245" s="5">
        <f t="shared" si="7"/>
        <v>0</v>
      </c>
      <c r="O245" s="5">
        <f t="shared" si="7"/>
        <v>0</v>
      </c>
      <c r="P245" s="5">
        <f t="shared" si="7"/>
        <v>1</v>
      </c>
      <c r="Q245" s="5">
        <f t="shared" si="7"/>
        <v>0</v>
      </c>
      <c r="R245" s="5">
        <f t="shared" si="7"/>
        <v>0</v>
      </c>
      <c r="S245" s="5">
        <f t="shared" si="7"/>
        <v>0</v>
      </c>
      <c r="T245" s="5">
        <f t="shared" si="7"/>
        <v>0</v>
      </c>
      <c r="U245" s="5">
        <f t="shared" si="7"/>
        <v>1</v>
      </c>
      <c r="V245" s="5">
        <f t="shared" si="7"/>
        <v>0</v>
      </c>
      <c r="W245" s="5">
        <f t="shared" si="7"/>
        <v>1</v>
      </c>
      <c r="X245" s="5">
        <f t="shared" si="7"/>
        <v>1</v>
      </c>
      <c r="Y245" s="5">
        <f t="shared" si="7"/>
        <v>0</v>
      </c>
      <c r="Z245" s="5">
        <f t="shared" si="7"/>
        <v>1</v>
      </c>
    </row>
    <row r="246" spans="1:28" x14ac:dyDescent="0.2">
      <c r="A246" s="161" t="s">
        <v>952</v>
      </c>
      <c r="C246" s="5">
        <f>ROW(C135)</f>
        <v>135</v>
      </c>
      <c r="D246" s="5">
        <f>ROW(C238)</f>
        <v>238</v>
      </c>
      <c r="F246" s="5">
        <f>SUMIF($E$35:$E$133,"&gt;0",F$35:F$133)</f>
        <v>0</v>
      </c>
      <c r="G246" s="5">
        <f t="shared" ref="G246:Z246" si="8">SUMIF($E$35:$E$133,"&gt;0",G$35:G$133)</f>
        <v>2</v>
      </c>
      <c r="H246" s="5">
        <f t="shared" si="8"/>
        <v>2</v>
      </c>
      <c r="I246" s="5">
        <f t="shared" si="8"/>
        <v>3</v>
      </c>
      <c r="J246" s="5">
        <f t="shared" si="8"/>
        <v>0</v>
      </c>
      <c r="K246" s="5">
        <f t="shared" si="8"/>
        <v>5</v>
      </c>
      <c r="L246" s="5">
        <f t="shared" si="8"/>
        <v>2</v>
      </c>
      <c r="M246" s="5">
        <f t="shared" si="8"/>
        <v>0</v>
      </c>
      <c r="N246" s="5">
        <f t="shared" si="8"/>
        <v>0</v>
      </c>
      <c r="O246" s="5">
        <f t="shared" si="8"/>
        <v>1</v>
      </c>
      <c r="P246" s="5">
        <f t="shared" si="8"/>
        <v>0</v>
      </c>
      <c r="Q246" s="5">
        <f t="shared" si="8"/>
        <v>2</v>
      </c>
      <c r="R246" s="5">
        <f t="shared" si="8"/>
        <v>0</v>
      </c>
      <c r="S246" s="5">
        <f t="shared" si="8"/>
        <v>1</v>
      </c>
      <c r="T246" s="5">
        <f t="shared" si="8"/>
        <v>2</v>
      </c>
      <c r="U246" s="5">
        <f t="shared" si="8"/>
        <v>2</v>
      </c>
      <c r="V246" s="5">
        <f t="shared" si="8"/>
        <v>1</v>
      </c>
      <c r="W246" s="5">
        <f t="shared" si="8"/>
        <v>1</v>
      </c>
      <c r="X246" s="5">
        <f t="shared" si="8"/>
        <v>2</v>
      </c>
      <c r="Y246" s="5">
        <f t="shared" si="8"/>
        <v>1</v>
      </c>
      <c r="Z246" s="5">
        <f t="shared" si="8"/>
        <v>0</v>
      </c>
    </row>
    <row r="247" spans="1:28" x14ac:dyDescent="0.2">
      <c r="F247" s="5">
        <v>1</v>
      </c>
      <c r="G247" s="5">
        <v>2</v>
      </c>
      <c r="H247" s="5">
        <v>3</v>
      </c>
      <c r="I247" s="5">
        <v>4</v>
      </c>
      <c r="J247" s="5">
        <v>5</v>
      </c>
      <c r="K247" s="5">
        <v>6</v>
      </c>
      <c r="L247" s="5">
        <v>7</v>
      </c>
      <c r="M247" s="5">
        <v>8</v>
      </c>
      <c r="N247" s="5">
        <v>9</v>
      </c>
      <c r="O247" s="5">
        <v>10</v>
      </c>
      <c r="P247" s="5">
        <v>11</v>
      </c>
      <c r="Q247" s="5">
        <v>12</v>
      </c>
      <c r="R247" s="5">
        <v>13</v>
      </c>
      <c r="S247" s="5">
        <v>14</v>
      </c>
      <c r="T247" s="5">
        <v>15</v>
      </c>
      <c r="U247" s="5">
        <v>16</v>
      </c>
      <c r="V247" s="5">
        <v>17</v>
      </c>
      <c r="W247" s="5">
        <v>18</v>
      </c>
      <c r="X247" s="5">
        <v>19</v>
      </c>
      <c r="Y247" s="5">
        <v>20</v>
      </c>
      <c r="Z247" s="5">
        <v>21</v>
      </c>
    </row>
    <row r="248" spans="1:28" x14ac:dyDescent="0.2">
      <c r="A248" s="159"/>
      <c r="B248" s="159" t="s">
        <v>950</v>
      </c>
      <c r="C248" s="161" t="s">
        <v>962</v>
      </c>
      <c r="D248" s="159" t="s">
        <v>961</v>
      </c>
      <c r="E248" s="159" t="str">
        <f t="shared" ref="E248:Z248" si="9">E34</f>
        <v>23-Mar</v>
      </c>
      <c r="F248" s="159" t="str">
        <f t="shared" si="9"/>
        <v>25-Mar</v>
      </c>
      <c r="G248" s="159" t="str">
        <f t="shared" si="9"/>
        <v>30-Mar</v>
      </c>
      <c r="H248" s="159" t="str">
        <f t="shared" si="9"/>
        <v>4-Apr</v>
      </c>
      <c r="I248" s="159" t="str">
        <f t="shared" si="9"/>
        <v>6-Apr</v>
      </c>
      <c r="J248" s="159" t="str">
        <f t="shared" si="9"/>
        <v>11-Apr</v>
      </c>
      <c r="K248" s="159" t="str">
        <f t="shared" si="9"/>
        <v>13-Apr</v>
      </c>
      <c r="L248" s="159" t="str">
        <f t="shared" si="9"/>
        <v>20-Apr</v>
      </c>
      <c r="M248" s="159" t="str">
        <f t="shared" si="9"/>
        <v>21-Apr</v>
      </c>
      <c r="N248" s="159" t="str">
        <f t="shared" si="9"/>
        <v>26-Apr</v>
      </c>
      <c r="O248" s="159" t="str">
        <f t="shared" si="9"/>
        <v>28-Apr</v>
      </c>
      <c r="P248" s="159" t="str">
        <f t="shared" si="9"/>
        <v>2-May</v>
      </c>
      <c r="Q248" s="159" t="str">
        <f t="shared" si="9"/>
        <v>4-May</v>
      </c>
      <c r="R248" s="159" t="str">
        <f t="shared" si="9"/>
        <v>11-May</v>
      </c>
      <c r="S248" s="159" t="str">
        <f t="shared" si="9"/>
        <v>18-May</v>
      </c>
      <c r="T248" s="159" t="str">
        <f t="shared" si="9"/>
        <v>22-May</v>
      </c>
      <c r="U248" s="159" t="str">
        <f t="shared" si="9"/>
        <v>25-May</v>
      </c>
      <c r="V248" s="159" t="str">
        <f t="shared" si="9"/>
        <v>26-May</v>
      </c>
      <c r="W248" s="159" t="str">
        <f t="shared" si="9"/>
        <v>30-May</v>
      </c>
      <c r="X248" s="159" t="str">
        <f t="shared" si="9"/>
        <v>2-Jun</v>
      </c>
      <c r="Y248" s="159" t="str">
        <f t="shared" si="9"/>
        <v>8-Jun</v>
      </c>
      <c r="Z248" s="159" t="str">
        <f t="shared" si="9"/>
        <v>14-Jun</v>
      </c>
      <c r="AA248" s="159" t="s">
        <v>960</v>
      </c>
      <c r="AB248" s="159" t="s">
        <v>963</v>
      </c>
    </row>
    <row r="249" spans="1:28" x14ac:dyDescent="0.2">
      <c r="A249" s="166"/>
      <c r="B249" s="5">
        <f>COLUMN(E249)</f>
        <v>5</v>
      </c>
      <c r="C249" s="18" t="s">
        <v>928</v>
      </c>
      <c r="D249" s="5">
        <f t="shared" ref="D249:D268" ca="1" si="10">SUM(INDIRECT(ADDRESS($C$245,$B249)&amp;":"&amp;ADDRESS($C$246,$B249)))</f>
        <v>11</v>
      </c>
      <c r="E249" s="168">
        <f t="shared" ref="E249:N258" ca="1" si="11">SUMIF(INDIRECT(ADDRESS($D$245,$B249)&amp;":"&amp;ADDRESS($D$246,$B249)),"=1",E$35:E$135)</f>
        <v>11</v>
      </c>
      <c r="F249" s="168">
        <f t="shared" ca="1" si="11"/>
        <v>0</v>
      </c>
      <c r="G249" s="168">
        <f t="shared" ca="1" si="11"/>
        <v>2</v>
      </c>
      <c r="H249" s="168">
        <f t="shared" ca="1" si="11"/>
        <v>2</v>
      </c>
      <c r="I249" s="168">
        <f t="shared" ca="1" si="11"/>
        <v>3</v>
      </c>
      <c r="J249" s="168">
        <f t="shared" ca="1" si="11"/>
        <v>0</v>
      </c>
      <c r="K249" s="168">
        <f t="shared" ca="1" si="11"/>
        <v>5</v>
      </c>
      <c r="L249" s="168">
        <f t="shared" ca="1" si="11"/>
        <v>2</v>
      </c>
      <c r="M249" s="168">
        <f t="shared" ca="1" si="11"/>
        <v>0</v>
      </c>
      <c r="N249" s="168">
        <f t="shared" ca="1" si="11"/>
        <v>0</v>
      </c>
      <c r="O249" s="168">
        <f t="shared" ref="O249:Z258" ca="1" si="12">SUMIF(INDIRECT(ADDRESS($D$245,$B249)&amp;":"&amp;ADDRESS($D$246,$B249)),"=1",O$35:O$135)</f>
        <v>1</v>
      </c>
      <c r="P249" s="168">
        <f t="shared" ca="1" si="12"/>
        <v>0</v>
      </c>
      <c r="Q249" s="168">
        <f t="shared" ca="1" si="12"/>
        <v>2</v>
      </c>
      <c r="R249" s="168">
        <f t="shared" ca="1" si="12"/>
        <v>0</v>
      </c>
      <c r="S249" s="168">
        <f t="shared" ca="1" si="12"/>
        <v>1</v>
      </c>
      <c r="T249" s="168">
        <f t="shared" ca="1" si="12"/>
        <v>2</v>
      </c>
      <c r="U249" s="168">
        <f t="shared" ca="1" si="12"/>
        <v>2</v>
      </c>
      <c r="V249" s="168">
        <f t="shared" ca="1" si="12"/>
        <v>1</v>
      </c>
      <c r="W249" s="168">
        <f t="shared" ca="1" si="12"/>
        <v>1</v>
      </c>
      <c r="X249" s="168">
        <f t="shared" ca="1" si="12"/>
        <v>2</v>
      </c>
      <c r="Y249" s="168">
        <f t="shared" ca="1" si="12"/>
        <v>1</v>
      </c>
      <c r="Z249" s="168">
        <f t="shared" ca="1" si="12"/>
        <v>0</v>
      </c>
      <c r="AA249" s="166">
        <f ca="1">SUM(E249:Z249)</f>
        <v>38</v>
      </c>
      <c r="AB249" s="19" cm="1">
        <f t="array" aca="1" ref="AB249" ca="1">AA249/INDIRECT(ADDRESS(ROW(AA249),$B249))</f>
        <v>3.4545454545454546</v>
      </c>
    </row>
    <row r="250" spans="1:28" x14ac:dyDescent="0.2">
      <c r="A250" s="166"/>
      <c r="B250" s="5">
        <f>B249+1</f>
        <v>6</v>
      </c>
      <c r="C250" s="18" t="s">
        <v>929</v>
      </c>
      <c r="D250" s="5">
        <f t="shared" ca="1" si="10"/>
        <v>3</v>
      </c>
      <c r="E250" s="168">
        <f t="shared" ca="1" si="11"/>
        <v>0</v>
      </c>
      <c r="F250" s="168">
        <f t="shared" ca="1" si="11"/>
        <v>3</v>
      </c>
      <c r="G250" s="168">
        <f t="shared" ca="1" si="11"/>
        <v>1</v>
      </c>
      <c r="H250" s="168">
        <f t="shared" ca="1" si="11"/>
        <v>1</v>
      </c>
      <c r="I250" s="168">
        <f t="shared" ca="1" si="11"/>
        <v>0</v>
      </c>
      <c r="J250" s="168">
        <f t="shared" ca="1" si="11"/>
        <v>1</v>
      </c>
      <c r="K250" s="168">
        <f t="shared" ca="1" si="11"/>
        <v>0</v>
      </c>
      <c r="L250" s="168">
        <f t="shared" ca="1" si="11"/>
        <v>1</v>
      </c>
      <c r="M250" s="168">
        <f t="shared" ca="1" si="11"/>
        <v>0</v>
      </c>
      <c r="N250" s="168">
        <f t="shared" ca="1" si="11"/>
        <v>0</v>
      </c>
      <c r="O250" s="168">
        <f t="shared" ca="1" si="12"/>
        <v>0</v>
      </c>
      <c r="P250" s="168">
        <f t="shared" ca="1" si="12"/>
        <v>1</v>
      </c>
      <c r="Q250" s="168">
        <f t="shared" ca="1" si="12"/>
        <v>0</v>
      </c>
      <c r="R250" s="168">
        <f t="shared" ca="1" si="12"/>
        <v>0</v>
      </c>
      <c r="S250" s="168">
        <f t="shared" ca="1" si="12"/>
        <v>0</v>
      </c>
      <c r="T250" s="168">
        <f t="shared" ca="1" si="12"/>
        <v>0</v>
      </c>
      <c r="U250" s="168">
        <f t="shared" ca="1" si="12"/>
        <v>1</v>
      </c>
      <c r="V250" s="168">
        <f t="shared" ca="1" si="12"/>
        <v>0</v>
      </c>
      <c r="W250" s="168">
        <f t="shared" ca="1" si="12"/>
        <v>1</v>
      </c>
      <c r="X250" s="168">
        <f t="shared" ca="1" si="12"/>
        <v>1</v>
      </c>
      <c r="Y250" s="168">
        <f t="shared" ca="1" si="12"/>
        <v>0</v>
      </c>
      <c r="Z250" s="168">
        <f t="shared" ca="1" si="12"/>
        <v>1</v>
      </c>
      <c r="AA250" s="166">
        <f t="shared" ref="AA250:AA270" ca="1" si="13">SUM(E250:Z250)</f>
        <v>12</v>
      </c>
      <c r="AB250" s="19" cm="1">
        <f t="array" aca="1" ref="AB250" ca="1">AA250/INDIRECT(ADDRESS(ROW(AA250),$B250))</f>
        <v>4</v>
      </c>
    </row>
    <row r="251" spans="1:28" x14ac:dyDescent="0.2">
      <c r="A251" s="166"/>
      <c r="B251" s="169">
        <f t="shared" ref="B251:B270" si="14">B250+1</f>
        <v>7</v>
      </c>
      <c r="C251" s="170" t="s">
        <v>930</v>
      </c>
      <c r="D251" s="169">
        <f t="shared" ca="1" si="10"/>
        <v>15</v>
      </c>
      <c r="E251" s="171">
        <f t="shared" ca="1" si="11"/>
        <v>0</v>
      </c>
      <c r="F251" s="171">
        <f t="shared" ca="1" si="11"/>
        <v>0</v>
      </c>
      <c r="G251" s="171">
        <f t="shared" ca="1" si="11"/>
        <v>12</v>
      </c>
      <c r="H251" s="171">
        <f t="shared" ca="1" si="11"/>
        <v>0</v>
      </c>
      <c r="I251" s="171">
        <f t="shared" ca="1" si="11"/>
        <v>4</v>
      </c>
      <c r="J251" s="171">
        <f t="shared" ca="1" si="11"/>
        <v>1</v>
      </c>
      <c r="K251" s="171">
        <f t="shared" ca="1" si="11"/>
        <v>0</v>
      </c>
      <c r="L251" s="171">
        <f t="shared" ca="1" si="11"/>
        <v>0</v>
      </c>
      <c r="M251" s="171">
        <f t="shared" ca="1" si="11"/>
        <v>1</v>
      </c>
      <c r="N251" s="171">
        <f t="shared" ca="1" si="11"/>
        <v>0</v>
      </c>
      <c r="O251" s="171">
        <f t="shared" ca="1" si="12"/>
        <v>1</v>
      </c>
      <c r="P251" s="171">
        <f t="shared" ca="1" si="12"/>
        <v>0</v>
      </c>
      <c r="Q251" s="171">
        <f t="shared" ca="1" si="12"/>
        <v>0</v>
      </c>
      <c r="R251" s="171">
        <f t="shared" ca="1" si="12"/>
        <v>2</v>
      </c>
      <c r="S251" s="171">
        <f t="shared" ca="1" si="12"/>
        <v>0</v>
      </c>
      <c r="T251" s="171">
        <f t="shared" ca="1" si="12"/>
        <v>0</v>
      </c>
      <c r="U251" s="171">
        <f t="shared" ca="1" si="12"/>
        <v>2</v>
      </c>
      <c r="V251" s="171">
        <f t="shared" ca="1" si="12"/>
        <v>0</v>
      </c>
      <c r="W251" s="171">
        <f t="shared" ca="1" si="12"/>
        <v>1</v>
      </c>
      <c r="X251" s="171">
        <f t="shared" ca="1" si="12"/>
        <v>3</v>
      </c>
      <c r="Y251" s="171">
        <f t="shared" ca="1" si="12"/>
        <v>0</v>
      </c>
      <c r="Z251" s="171">
        <f t="shared" ca="1" si="12"/>
        <v>1</v>
      </c>
      <c r="AA251" s="172">
        <f t="shared" ca="1" si="13"/>
        <v>28</v>
      </c>
      <c r="AB251" s="173" cm="1">
        <f t="array" aca="1" ref="AB251" ca="1">AA251/INDIRECT(ADDRESS(ROW(AA251),$B251))</f>
        <v>2.3333333333333335</v>
      </c>
    </row>
    <row r="252" spans="1:28" x14ac:dyDescent="0.2">
      <c r="A252" s="166"/>
      <c r="B252" s="174">
        <f t="shared" si="14"/>
        <v>8</v>
      </c>
      <c r="C252" s="175" t="s">
        <v>931</v>
      </c>
      <c r="D252" s="174">
        <f t="shared" ca="1" si="10"/>
        <v>8</v>
      </c>
      <c r="E252" s="176">
        <f t="shared" ca="1" si="11"/>
        <v>0</v>
      </c>
      <c r="F252" s="176">
        <f t="shared" ca="1" si="11"/>
        <v>0</v>
      </c>
      <c r="G252" s="176">
        <f t="shared" ca="1" si="11"/>
        <v>0</v>
      </c>
      <c r="H252" s="176">
        <f t="shared" ca="1" si="11"/>
        <v>5</v>
      </c>
      <c r="I252" s="176">
        <f t="shared" ca="1" si="11"/>
        <v>3</v>
      </c>
      <c r="J252" s="176">
        <f t="shared" ca="1" si="11"/>
        <v>1</v>
      </c>
      <c r="K252" s="176">
        <f t="shared" ca="1" si="11"/>
        <v>0</v>
      </c>
      <c r="L252" s="176">
        <f t="shared" ca="1" si="11"/>
        <v>1</v>
      </c>
      <c r="M252" s="176">
        <f t="shared" ca="1" si="11"/>
        <v>0</v>
      </c>
      <c r="N252" s="176">
        <f t="shared" ca="1" si="11"/>
        <v>0</v>
      </c>
      <c r="O252" s="176">
        <f t="shared" ca="1" si="12"/>
        <v>1</v>
      </c>
      <c r="P252" s="176">
        <f t="shared" ca="1" si="12"/>
        <v>1</v>
      </c>
      <c r="Q252" s="176">
        <f t="shared" ca="1" si="12"/>
        <v>2</v>
      </c>
      <c r="R252" s="176">
        <f t="shared" ca="1" si="12"/>
        <v>1</v>
      </c>
      <c r="S252" s="176">
        <f t="shared" ca="1" si="12"/>
        <v>1</v>
      </c>
      <c r="T252" s="176">
        <f t="shared" ca="1" si="12"/>
        <v>1</v>
      </c>
      <c r="U252" s="176">
        <f t="shared" ca="1" si="12"/>
        <v>0</v>
      </c>
      <c r="V252" s="176">
        <f t="shared" ca="1" si="12"/>
        <v>0</v>
      </c>
      <c r="W252" s="176">
        <f t="shared" ca="1" si="12"/>
        <v>3</v>
      </c>
      <c r="X252" s="176">
        <f t="shared" ca="1" si="12"/>
        <v>0</v>
      </c>
      <c r="Y252" s="176">
        <f t="shared" ca="1" si="12"/>
        <v>0</v>
      </c>
      <c r="Z252" s="176">
        <f t="shared" ca="1" si="12"/>
        <v>0</v>
      </c>
      <c r="AA252" s="177">
        <f t="shared" ca="1" si="13"/>
        <v>20</v>
      </c>
      <c r="AB252" s="178" cm="1">
        <f t="array" aca="1" ref="AB252" ca="1">AA252/INDIRECT(ADDRESS(ROW(AA252),$B252))</f>
        <v>4</v>
      </c>
    </row>
    <row r="253" spans="1:28" x14ac:dyDescent="0.2">
      <c r="A253" s="166"/>
      <c r="B253" s="5">
        <f t="shared" si="14"/>
        <v>9</v>
      </c>
      <c r="C253" s="18" t="s">
        <v>932</v>
      </c>
      <c r="D253" s="5">
        <f t="shared" ca="1" si="10"/>
        <v>23</v>
      </c>
      <c r="E253" s="168">
        <f t="shared" ca="1" si="11"/>
        <v>0</v>
      </c>
      <c r="F253" s="168">
        <f t="shared" ca="1" si="11"/>
        <v>0</v>
      </c>
      <c r="G253" s="168">
        <f t="shared" ca="1" si="11"/>
        <v>0</v>
      </c>
      <c r="H253" s="168">
        <f t="shared" ca="1" si="11"/>
        <v>0</v>
      </c>
      <c r="I253" s="168">
        <f t="shared" ca="1" si="11"/>
        <v>13</v>
      </c>
      <c r="J253" s="168">
        <f t="shared" ca="1" si="11"/>
        <v>0</v>
      </c>
      <c r="K253" s="168">
        <f t="shared" ca="1" si="11"/>
        <v>0</v>
      </c>
      <c r="L253" s="168">
        <f t="shared" ca="1" si="11"/>
        <v>2</v>
      </c>
      <c r="M253" s="168">
        <f t="shared" ca="1" si="11"/>
        <v>1</v>
      </c>
      <c r="N253" s="168">
        <f t="shared" ca="1" si="11"/>
        <v>0</v>
      </c>
      <c r="O253" s="168">
        <f t="shared" ca="1" si="12"/>
        <v>0</v>
      </c>
      <c r="P253" s="168">
        <f t="shared" ca="1" si="12"/>
        <v>0</v>
      </c>
      <c r="Q253" s="168">
        <f t="shared" ca="1" si="12"/>
        <v>0</v>
      </c>
      <c r="R253" s="168">
        <f t="shared" ca="1" si="12"/>
        <v>0</v>
      </c>
      <c r="S253" s="168">
        <f t="shared" ca="1" si="12"/>
        <v>0</v>
      </c>
      <c r="T253" s="168">
        <f t="shared" ca="1" si="12"/>
        <v>0</v>
      </c>
      <c r="U253" s="168">
        <f t="shared" ca="1" si="12"/>
        <v>4</v>
      </c>
      <c r="V253" s="168">
        <f t="shared" ca="1" si="12"/>
        <v>0</v>
      </c>
      <c r="W253" s="168">
        <f t="shared" ca="1" si="12"/>
        <v>0</v>
      </c>
      <c r="X253" s="168">
        <f t="shared" ca="1" si="12"/>
        <v>1</v>
      </c>
      <c r="Y253" s="168">
        <f t="shared" ca="1" si="12"/>
        <v>0</v>
      </c>
      <c r="Z253" s="168">
        <f t="shared" ca="1" si="12"/>
        <v>0</v>
      </c>
      <c r="AA253" s="166">
        <f t="shared" ca="1" si="13"/>
        <v>21</v>
      </c>
      <c r="AB253" s="19" cm="1">
        <f t="array" aca="1" ref="AB253" ca="1">AA253/INDIRECT(ADDRESS(ROW(AA253),$B253))</f>
        <v>1.6153846153846154</v>
      </c>
    </row>
    <row r="254" spans="1:28" x14ac:dyDescent="0.2">
      <c r="A254" s="166"/>
      <c r="B254" s="5">
        <f t="shared" si="14"/>
        <v>10</v>
      </c>
      <c r="C254" s="18" t="s">
        <v>933</v>
      </c>
      <c r="D254" s="5">
        <f t="shared" ca="1" si="10"/>
        <v>7</v>
      </c>
      <c r="E254" s="168">
        <f t="shared" ca="1" si="11"/>
        <v>0</v>
      </c>
      <c r="F254" s="168">
        <f t="shared" ca="1" si="11"/>
        <v>0</v>
      </c>
      <c r="G254" s="168">
        <f t="shared" ca="1" si="11"/>
        <v>0</v>
      </c>
      <c r="H254" s="168">
        <f t="shared" ca="1" si="11"/>
        <v>0</v>
      </c>
      <c r="I254" s="168">
        <f t="shared" ca="1" si="11"/>
        <v>0</v>
      </c>
      <c r="J254" s="168">
        <f t="shared" ca="1" si="11"/>
        <v>4</v>
      </c>
      <c r="K254" s="168">
        <f t="shared" ca="1" si="11"/>
        <v>0</v>
      </c>
      <c r="L254" s="168">
        <f t="shared" ca="1" si="11"/>
        <v>1</v>
      </c>
      <c r="M254" s="168">
        <f t="shared" ca="1" si="11"/>
        <v>0</v>
      </c>
      <c r="N254" s="168">
        <f t="shared" ca="1" si="11"/>
        <v>0</v>
      </c>
      <c r="O254" s="168">
        <f t="shared" ca="1" si="12"/>
        <v>0</v>
      </c>
      <c r="P254" s="168">
        <f t="shared" ca="1" si="12"/>
        <v>0</v>
      </c>
      <c r="Q254" s="168">
        <f t="shared" ca="1" si="12"/>
        <v>0</v>
      </c>
      <c r="R254" s="168">
        <f t="shared" ca="1" si="12"/>
        <v>1</v>
      </c>
      <c r="S254" s="168">
        <f t="shared" ca="1" si="12"/>
        <v>0</v>
      </c>
      <c r="T254" s="168">
        <f t="shared" ca="1" si="12"/>
        <v>0</v>
      </c>
      <c r="U254" s="168">
        <f t="shared" ca="1" si="12"/>
        <v>0</v>
      </c>
      <c r="V254" s="168">
        <f t="shared" ca="1" si="12"/>
        <v>0</v>
      </c>
      <c r="W254" s="168">
        <f t="shared" ca="1" si="12"/>
        <v>0</v>
      </c>
      <c r="X254" s="168">
        <f t="shared" ca="1" si="12"/>
        <v>0</v>
      </c>
      <c r="Y254" s="168">
        <f t="shared" ca="1" si="12"/>
        <v>0</v>
      </c>
      <c r="Z254" s="168">
        <f t="shared" ca="1" si="12"/>
        <v>0</v>
      </c>
      <c r="AA254" s="166">
        <f t="shared" ca="1" si="13"/>
        <v>6</v>
      </c>
      <c r="AB254" s="19" cm="1">
        <f t="array" aca="1" ref="AB254" ca="1">AA254/INDIRECT(ADDRESS(ROW(AA254),$B254))</f>
        <v>1.5</v>
      </c>
    </row>
    <row r="255" spans="1:28" x14ac:dyDescent="0.2">
      <c r="A255" s="166"/>
      <c r="B255" s="5">
        <f t="shared" si="14"/>
        <v>11</v>
      </c>
      <c r="C255" s="18" t="s">
        <v>934</v>
      </c>
      <c r="D255" s="5">
        <f t="shared" ca="1" si="10"/>
        <v>9</v>
      </c>
      <c r="E255" s="168">
        <f t="shared" ca="1" si="11"/>
        <v>0</v>
      </c>
      <c r="F255" s="168">
        <f t="shared" ca="1" si="11"/>
        <v>0</v>
      </c>
      <c r="G255" s="168">
        <f t="shared" ca="1" si="11"/>
        <v>0</v>
      </c>
      <c r="H255" s="168">
        <f t="shared" ca="1" si="11"/>
        <v>0</v>
      </c>
      <c r="I255" s="168">
        <f t="shared" ca="1" si="11"/>
        <v>0</v>
      </c>
      <c r="J255" s="168">
        <f t="shared" ca="1" si="11"/>
        <v>0</v>
      </c>
      <c r="K255" s="168">
        <f t="shared" ca="1" si="11"/>
        <v>4</v>
      </c>
      <c r="L255" s="168">
        <f t="shared" ca="1" si="11"/>
        <v>1</v>
      </c>
      <c r="M255" s="168">
        <f t="shared" ca="1" si="11"/>
        <v>0</v>
      </c>
      <c r="N255" s="168">
        <f t="shared" ca="1" si="11"/>
        <v>0</v>
      </c>
      <c r="O255" s="168">
        <f t="shared" ca="1" si="12"/>
        <v>0</v>
      </c>
      <c r="P255" s="168">
        <f t="shared" ca="1" si="12"/>
        <v>0</v>
      </c>
      <c r="Q255" s="168">
        <f t="shared" ca="1" si="12"/>
        <v>0</v>
      </c>
      <c r="R255" s="168">
        <f t="shared" ca="1" si="12"/>
        <v>0</v>
      </c>
      <c r="S255" s="168">
        <f t="shared" ca="1" si="12"/>
        <v>0</v>
      </c>
      <c r="T255" s="168">
        <f t="shared" ca="1" si="12"/>
        <v>1</v>
      </c>
      <c r="U255" s="168">
        <f t="shared" ca="1" si="12"/>
        <v>0</v>
      </c>
      <c r="V255" s="168">
        <f t="shared" ca="1" si="12"/>
        <v>0</v>
      </c>
      <c r="W255" s="168">
        <f t="shared" ca="1" si="12"/>
        <v>1</v>
      </c>
      <c r="X255" s="168">
        <f t="shared" ca="1" si="12"/>
        <v>1</v>
      </c>
      <c r="Y255" s="168">
        <f t="shared" ca="1" si="12"/>
        <v>0</v>
      </c>
      <c r="Z255" s="168">
        <f t="shared" ca="1" si="12"/>
        <v>1</v>
      </c>
      <c r="AA255" s="166">
        <f t="shared" ca="1" si="13"/>
        <v>9</v>
      </c>
      <c r="AB255" s="19" cm="1">
        <f t="array" aca="1" ref="AB255" ca="1">AA255/INDIRECT(ADDRESS(ROW(AA255),$B255))</f>
        <v>2.25</v>
      </c>
    </row>
    <row r="256" spans="1:28" x14ac:dyDescent="0.2">
      <c r="A256" s="166"/>
      <c r="B256" s="5">
        <f t="shared" si="14"/>
        <v>12</v>
      </c>
      <c r="C256" s="18" t="s">
        <v>935</v>
      </c>
      <c r="D256" s="5">
        <f t="shared" ca="1" si="10"/>
        <v>12</v>
      </c>
      <c r="E256" s="168">
        <f t="shared" ca="1" si="11"/>
        <v>0</v>
      </c>
      <c r="F256" s="168">
        <f t="shared" ca="1" si="11"/>
        <v>0</v>
      </c>
      <c r="G256" s="168">
        <f t="shared" ca="1" si="11"/>
        <v>0</v>
      </c>
      <c r="H256" s="168">
        <f t="shared" ca="1" si="11"/>
        <v>0</v>
      </c>
      <c r="I256" s="168">
        <f t="shared" ca="1" si="11"/>
        <v>0</v>
      </c>
      <c r="J256" s="168">
        <f t="shared" ca="1" si="11"/>
        <v>0</v>
      </c>
      <c r="K256" s="168">
        <f t="shared" ca="1" si="11"/>
        <v>0</v>
      </c>
      <c r="L256" s="168">
        <f t="shared" ca="1" si="11"/>
        <v>3</v>
      </c>
      <c r="M256" s="168">
        <f t="shared" ca="1" si="11"/>
        <v>0</v>
      </c>
      <c r="N256" s="168">
        <f t="shared" ca="1" si="11"/>
        <v>0</v>
      </c>
      <c r="O256" s="168">
        <f t="shared" ca="1" si="12"/>
        <v>1</v>
      </c>
      <c r="P256" s="168">
        <f t="shared" ca="1" si="12"/>
        <v>0</v>
      </c>
      <c r="Q256" s="168">
        <f t="shared" ca="1" si="12"/>
        <v>0</v>
      </c>
      <c r="R256" s="168">
        <f t="shared" ca="1" si="12"/>
        <v>0</v>
      </c>
      <c r="S256" s="168">
        <f t="shared" ca="1" si="12"/>
        <v>1</v>
      </c>
      <c r="T256" s="168">
        <f t="shared" ca="1" si="12"/>
        <v>1</v>
      </c>
      <c r="U256" s="168">
        <f t="shared" ca="1" si="12"/>
        <v>0</v>
      </c>
      <c r="V256" s="168">
        <f t="shared" ca="1" si="12"/>
        <v>0</v>
      </c>
      <c r="W256" s="168">
        <f t="shared" ca="1" si="12"/>
        <v>1</v>
      </c>
      <c r="X256" s="168">
        <f t="shared" ca="1" si="12"/>
        <v>0</v>
      </c>
      <c r="Y256" s="168">
        <f t="shared" ca="1" si="12"/>
        <v>0</v>
      </c>
      <c r="Z256" s="168">
        <f t="shared" ca="1" si="12"/>
        <v>0</v>
      </c>
      <c r="AA256" s="166">
        <f t="shared" ca="1" si="13"/>
        <v>7</v>
      </c>
      <c r="AB256" s="19" cm="1">
        <f t="array" aca="1" ref="AB256" ca="1">AA256/INDIRECT(ADDRESS(ROW(AA256),$B256))</f>
        <v>2.3333333333333335</v>
      </c>
    </row>
    <row r="257" spans="1:28" x14ac:dyDescent="0.2">
      <c r="A257" s="166"/>
      <c r="B257" s="5">
        <f t="shared" si="14"/>
        <v>13</v>
      </c>
      <c r="C257" s="18" t="s">
        <v>936</v>
      </c>
      <c r="D257" s="5">
        <f t="shared" ca="1" si="10"/>
        <v>5</v>
      </c>
      <c r="E257" s="168">
        <f t="shared" ca="1" si="11"/>
        <v>0</v>
      </c>
      <c r="F257" s="168">
        <f t="shared" ca="1" si="11"/>
        <v>0</v>
      </c>
      <c r="G257" s="168">
        <f t="shared" ca="1" si="11"/>
        <v>0</v>
      </c>
      <c r="H257" s="168">
        <f t="shared" ca="1" si="11"/>
        <v>0</v>
      </c>
      <c r="I257" s="168">
        <f t="shared" ca="1" si="11"/>
        <v>0</v>
      </c>
      <c r="J257" s="168">
        <f t="shared" ca="1" si="11"/>
        <v>0</v>
      </c>
      <c r="K257" s="168">
        <f t="shared" ca="1" si="11"/>
        <v>0</v>
      </c>
      <c r="L257" s="168">
        <f t="shared" ca="1" si="11"/>
        <v>0</v>
      </c>
      <c r="M257" s="168">
        <f t="shared" ca="1" si="11"/>
        <v>3</v>
      </c>
      <c r="N257" s="168">
        <f t="shared" ca="1" si="11"/>
        <v>0</v>
      </c>
      <c r="O257" s="168">
        <f t="shared" ca="1" si="12"/>
        <v>0</v>
      </c>
      <c r="P257" s="168">
        <f t="shared" ca="1" si="12"/>
        <v>0</v>
      </c>
      <c r="Q257" s="168">
        <f t="shared" ca="1" si="12"/>
        <v>0</v>
      </c>
      <c r="R257" s="168">
        <f t="shared" ca="1" si="12"/>
        <v>1</v>
      </c>
      <c r="S257" s="168">
        <f t="shared" ca="1" si="12"/>
        <v>0</v>
      </c>
      <c r="T257" s="168">
        <f t="shared" ca="1" si="12"/>
        <v>0</v>
      </c>
      <c r="U257" s="168">
        <f t="shared" ca="1" si="12"/>
        <v>0</v>
      </c>
      <c r="V257" s="168">
        <f t="shared" ca="1" si="12"/>
        <v>0</v>
      </c>
      <c r="W257" s="168">
        <f t="shared" ca="1" si="12"/>
        <v>0</v>
      </c>
      <c r="X257" s="168">
        <f t="shared" ca="1" si="12"/>
        <v>0</v>
      </c>
      <c r="Y257" s="168">
        <f t="shared" ca="1" si="12"/>
        <v>0</v>
      </c>
      <c r="Z257" s="168">
        <f t="shared" ca="1" si="12"/>
        <v>0</v>
      </c>
      <c r="AA257" s="166">
        <f t="shared" ca="1" si="13"/>
        <v>4</v>
      </c>
      <c r="AB257" s="19" cm="1">
        <f t="array" aca="1" ref="AB257" ca="1">AA257/INDIRECT(ADDRESS(ROW(AA257),$B257))</f>
        <v>1.3333333333333333</v>
      </c>
    </row>
    <row r="258" spans="1:28" x14ac:dyDescent="0.2">
      <c r="A258" s="166"/>
      <c r="B258" s="5">
        <f t="shared" si="14"/>
        <v>14</v>
      </c>
      <c r="C258" s="18" t="s">
        <v>937</v>
      </c>
      <c r="D258" s="5">
        <f t="shared" ca="1" si="10"/>
        <v>1</v>
      </c>
      <c r="E258" s="168">
        <f t="shared" ca="1" si="11"/>
        <v>0</v>
      </c>
      <c r="F258" s="168">
        <f t="shared" ca="1" si="11"/>
        <v>0</v>
      </c>
      <c r="G258" s="168">
        <f t="shared" ca="1" si="11"/>
        <v>0</v>
      </c>
      <c r="H258" s="168">
        <f t="shared" ca="1" si="11"/>
        <v>0</v>
      </c>
      <c r="I258" s="168">
        <f t="shared" ca="1" si="11"/>
        <v>0</v>
      </c>
      <c r="J258" s="168">
        <f t="shared" ca="1" si="11"/>
        <v>0</v>
      </c>
      <c r="K258" s="168">
        <f t="shared" ca="1" si="11"/>
        <v>0</v>
      </c>
      <c r="L258" s="168">
        <f t="shared" ca="1" si="11"/>
        <v>0</v>
      </c>
      <c r="M258" s="168">
        <f t="shared" ca="1" si="11"/>
        <v>0</v>
      </c>
      <c r="N258" s="168">
        <f t="shared" ca="1" si="11"/>
        <v>1</v>
      </c>
      <c r="O258" s="168">
        <f t="shared" ca="1" si="12"/>
        <v>0</v>
      </c>
      <c r="P258" s="168">
        <f t="shared" ca="1" si="12"/>
        <v>0</v>
      </c>
      <c r="Q258" s="168">
        <f t="shared" ca="1" si="12"/>
        <v>0</v>
      </c>
      <c r="R258" s="168">
        <f t="shared" ca="1" si="12"/>
        <v>0</v>
      </c>
      <c r="S258" s="168">
        <f t="shared" ca="1" si="12"/>
        <v>0</v>
      </c>
      <c r="T258" s="168">
        <f t="shared" ca="1" si="12"/>
        <v>0</v>
      </c>
      <c r="U258" s="168">
        <f t="shared" ca="1" si="12"/>
        <v>0</v>
      </c>
      <c r="V258" s="168">
        <f t="shared" ca="1" si="12"/>
        <v>0</v>
      </c>
      <c r="W258" s="168">
        <f t="shared" ca="1" si="12"/>
        <v>0</v>
      </c>
      <c r="X258" s="168">
        <f t="shared" ca="1" si="12"/>
        <v>0</v>
      </c>
      <c r="Y258" s="168">
        <f t="shared" ca="1" si="12"/>
        <v>0</v>
      </c>
      <c r="Z258" s="168">
        <f t="shared" ca="1" si="12"/>
        <v>0</v>
      </c>
      <c r="AA258" s="166">
        <f t="shared" ca="1" si="13"/>
        <v>1</v>
      </c>
      <c r="AB258" s="19" cm="1">
        <f t="array" aca="1" ref="AB258" ca="1">AA258/INDIRECT(ADDRESS(ROW(AA258),$B258))</f>
        <v>1</v>
      </c>
    </row>
    <row r="259" spans="1:28" x14ac:dyDescent="0.2">
      <c r="A259" s="166"/>
      <c r="B259" s="169">
        <f t="shared" si="14"/>
        <v>15</v>
      </c>
      <c r="C259" s="170" t="s">
        <v>938</v>
      </c>
      <c r="D259" s="169">
        <f t="shared" ca="1" si="10"/>
        <v>6</v>
      </c>
      <c r="E259" s="171">
        <f t="shared" ref="E259:N270" ca="1" si="15">SUMIF(INDIRECT(ADDRESS($D$245,$B259)&amp;":"&amp;ADDRESS($D$246,$B259)),"=1",E$35:E$135)</f>
        <v>0</v>
      </c>
      <c r="F259" s="171">
        <f t="shared" ca="1" si="15"/>
        <v>0</v>
      </c>
      <c r="G259" s="171">
        <f t="shared" ca="1" si="15"/>
        <v>0</v>
      </c>
      <c r="H259" s="171">
        <f t="shared" ca="1" si="15"/>
        <v>0</v>
      </c>
      <c r="I259" s="171">
        <f t="shared" ca="1" si="15"/>
        <v>0</v>
      </c>
      <c r="J259" s="171">
        <f t="shared" ca="1" si="15"/>
        <v>0</v>
      </c>
      <c r="K259" s="171">
        <f t="shared" ca="1" si="15"/>
        <v>0</v>
      </c>
      <c r="L259" s="171">
        <f t="shared" ca="1" si="15"/>
        <v>0</v>
      </c>
      <c r="M259" s="171">
        <f t="shared" ca="1" si="15"/>
        <v>0</v>
      </c>
      <c r="N259" s="171">
        <f t="shared" ca="1" si="15"/>
        <v>0</v>
      </c>
      <c r="O259" s="171">
        <f t="shared" ref="O259:Z270" ca="1" si="16">SUMIF(INDIRECT(ADDRESS($D$245,$B259)&amp;":"&amp;ADDRESS($D$246,$B259)),"=1",O$35:O$135)</f>
        <v>2</v>
      </c>
      <c r="P259" s="171">
        <f t="shared" ca="1" si="16"/>
        <v>0</v>
      </c>
      <c r="Q259" s="171">
        <f t="shared" ca="1" si="16"/>
        <v>0</v>
      </c>
      <c r="R259" s="171">
        <f t="shared" ca="1" si="16"/>
        <v>0</v>
      </c>
      <c r="S259" s="171">
        <f t="shared" ca="1" si="16"/>
        <v>1</v>
      </c>
      <c r="T259" s="171">
        <f t="shared" ca="1" si="16"/>
        <v>0</v>
      </c>
      <c r="U259" s="171">
        <f t="shared" ca="1" si="16"/>
        <v>0</v>
      </c>
      <c r="V259" s="171">
        <f t="shared" ca="1" si="16"/>
        <v>0</v>
      </c>
      <c r="W259" s="171">
        <f t="shared" ca="1" si="16"/>
        <v>0</v>
      </c>
      <c r="X259" s="171">
        <f t="shared" ca="1" si="16"/>
        <v>0</v>
      </c>
      <c r="Y259" s="171">
        <f t="shared" ca="1" si="16"/>
        <v>0</v>
      </c>
      <c r="Z259" s="171">
        <f t="shared" ca="1" si="16"/>
        <v>0</v>
      </c>
      <c r="AA259" s="172">
        <f t="shared" ca="1" si="13"/>
        <v>3</v>
      </c>
      <c r="AB259" s="173" cm="1">
        <f t="array" aca="1" ref="AB259" ca="1">AA259/INDIRECT(ADDRESS(ROW(AA259),$B259))</f>
        <v>1.5</v>
      </c>
    </row>
    <row r="260" spans="1:28" x14ac:dyDescent="0.2">
      <c r="A260" s="166"/>
      <c r="B260" s="174">
        <f t="shared" si="14"/>
        <v>16</v>
      </c>
      <c r="C260" s="175" t="s">
        <v>939</v>
      </c>
      <c r="D260" s="174">
        <f t="shared" ca="1" si="10"/>
        <v>3</v>
      </c>
      <c r="E260" s="176">
        <f t="shared" ca="1" si="15"/>
        <v>0</v>
      </c>
      <c r="F260" s="176">
        <f t="shared" ca="1" si="15"/>
        <v>0</v>
      </c>
      <c r="G260" s="176">
        <f t="shared" ca="1" si="15"/>
        <v>0</v>
      </c>
      <c r="H260" s="176">
        <f t="shared" ca="1" si="15"/>
        <v>0</v>
      </c>
      <c r="I260" s="176">
        <f t="shared" ca="1" si="15"/>
        <v>0</v>
      </c>
      <c r="J260" s="176">
        <f t="shared" ca="1" si="15"/>
        <v>0</v>
      </c>
      <c r="K260" s="176">
        <f t="shared" ca="1" si="15"/>
        <v>0</v>
      </c>
      <c r="L260" s="176">
        <f t="shared" ca="1" si="15"/>
        <v>0</v>
      </c>
      <c r="M260" s="176">
        <f t="shared" ca="1" si="15"/>
        <v>0</v>
      </c>
      <c r="N260" s="176">
        <f t="shared" ca="1" si="15"/>
        <v>0</v>
      </c>
      <c r="O260" s="176">
        <f t="shared" ca="1" si="16"/>
        <v>0</v>
      </c>
      <c r="P260" s="176">
        <f t="shared" ca="1" si="16"/>
        <v>1</v>
      </c>
      <c r="Q260" s="176">
        <f t="shared" ca="1" si="16"/>
        <v>0</v>
      </c>
      <c r="R260" s="176">
        <f t="shared" ca="1" si="16"/>
        <v>0</v>
      </c>
      <c r="S260" s="176">
        <f t="shared" ca="1" si="16"/>
        <v>1</v>
      </c>
      <c r="T260" s="176">
        <f t="shared" ca="1" si="16"/>
        <v>0</v>
      </c>
      <c r="U260" s="176">
        <f t="shared" ca="1" si="16"/>
        <v>0</v>
      </c>
      <c r="V260" s="176">
        <f t="shared" ca="1" si="16"/>
        <v>0</v>
      </c>
      <c r="W260" s="176">
        <f t="shared" ca="1" si="16"/>
        <v>0</v>
      </c>
      <c r="X260" s="176">
        <f t="shared" ca="1" si="16"/>
        <v>0</v>
      </c>
      <c r="Y260" s="176">
        <f t="shared" ca="1" si="16"/>
        <v>0</v>
      </c>
      <c r="Z260" s="176">
        <f t="shared" ca="1" si="16"/>
        <v>0</v>
      </c>
      <c r="AA260" s="177">
        <f t="shared" ca="1" si="13"/>
        <v>2</v>
      </c>
      <c r="AB260" s="178" cm="1">
        <f t="array" aca="1" ref="AB260" ca="1">AA260/INDIRECT(ADDRESS(ROW(AA260),$B260))</f>
        <v>2</v>
      </c>
    </row>
    <row r="261" spans="1:28" x14ac:dyDescent="0.2">
      <c r="A261" s="166"/>
      <c r="B261" s="5">
        <f t="shared" si="14"/>
        <v>17</v>
      </c>
      <c r="C261" s="18" t="s">
        <v>940</v>
      </c>
      <c r="D261" s="5">
        <f t="shared" ca="1" si="10"/>
        <v>6</v>
      </c>
      <c r="E261" s="168">
        <f t="shared" ca="1" si="15"/>
        <v>0</v>
      </c>
      <c r="F261" s="168">
        <f t="shared" ca="1" si="15"/>
        <v>0</v>
      </c>
      <c r="G261" s="168">
        <f t="shared" ca="1" si="15"/>
        <v>0</v>
      </c>
      <c r="H261" s="168">
        <f t="shared" ca="1" si="15"/>
        <v>0</v>
      </c>
      <c r="I261" s="168">
        <f t="shared" ca="1" si="15"/>
        <v>0</v>
      </c>
      <c r="J261" s="168">
        <f t="shared" ca="1" si="15"/>
        <v>0</v>
      </c>
      <c r="K261" s="168">
        <f t="shared" ca="1" si="15"/>
        <v>0</v>
      </c>
      <c r="L261" s="168">
        <f t="shared" ca="1" si="15"/>
        <v>0</v>
      </c>
      <c r="M261" s="168">
        <f t="shared" ca="1" si="15"/>
        <v>0</v>
      </c>
      <c r="N261" s="168">
        <f t="shared" ca="1" si="15"/>
        <v>0</v>
      </c>
      <c r="O261" s="168">
        <f t="shared" ca="1" si="16"/>
        <v>0</v>
      </c>
      <c r="P261" s="168">
        <f t="shared" ca="1" si="16"/>
        <v>0</v>
      </c>
      <c r="Q261" s="168">
        <f t="shared" ca="1" si="16"/>
        <v>2</v>
      </c>
      <c r="R261" s="168">
        <f t="shared" ca="1" si="16"/>
        <v>0</v>
      </c>
      <c r="S261" s="168">
        <f t="shared" ca="1" si="16"/>
        <v>0</v>
      </c>
      <c r="T261" s="168">
        <f t="shared" ca="1" si="16"/>
        <v>0</v>
      </c>
      <c r="U261" s="168">
        <f t="shared" ca="1" si="16"/>
        <v>0</v>
      </c>
      <c r="V261" s="168">
        <f t="shared" ca="1" si="16"/>
        <v>0</v>
      </c>
      <c r="W261" s="168">
        <f t="shared" ca="1" si="16"/>
        <v>0</v>
      </c>
      <c r="X261" s="168">
        <f t="shared" ca="1" si="16"/>
        <v>0</v>
      </c>
      <c r="Y261" s="168">
        <f t="shared" ca="1" si="16"/>
        <v>0</v>
      </c>
      <c r="Z261" s="168">
        <f t="shared" ca="1" si="16"/>
        <v>0</v>
      </c>
      <c r="AA261" s="166">
        <f t="shared" ca="1" si="13"/>
        <v>2</v>
      </c>
      <c r="AB261" s="19" cm="1">
        <f t="array" aca="1" ref="AB261" ca="1">AA261/INDIRECT(ADDRESS(ROW(AA261),$B261))</f>
        <v>1</v>
      </c>
    </row>
    <row r="262" spans="1:28" x14ac:dyDescent="0.2">
      <c r="A262" s="166"/>
      <c r="B262" s="5">
        <f t="shared" si="14"/>
        <v>18</v>
      </c>
      <c r="C262" s="18" t="s">
        <v>941</v>
      </c>
      <c r="D262" s="5">
        <f t="shared" ca="1" si="10"/>
        <v>8</v>
      </c>
      <c r="E262" s="168">
        <f t="shared" ca="1" si="15"/>
        <v>0</v>
      </c>
      <c r="F262" s="168">
        <f t="shared" ca="1" si="15"/>
        <v>0</v>
      </c>
      <c r="G262" s="168">
        <f t="shared" ca="1" si="15"/>
        <v>0</v>
      </c>
      <c r="H262" s="168">
        <f t="shared" ca="1" si="15"/>
        <v>0</v>
      </c>
      <c r="I262" s="168">
        <f t="shared" ca="1" si="15"/>
        <v>0</v>
      </c>
      <c r="J262" s="168">
        <f t="shared" ca="1" si="15"/>
        <v>0</v>
      </c>
      <c r="K262" s="168">
        <f t="shared" ca="1" si="15"/>
        <v>0</v>
      </c>
      <c r="L262" s="168">
        <f t="shared" ca="1" si="15"/>
        <v>0</v>
      </c>
      <c r="M262" s="168">
        <f t="shared" ca="1" si="15"/>
        <v>0</v>
      </c>
      <c r="N262" s="168">
        <f t="shared" ca="1" si="15"/>
        <v>0</v>
      </c>
      <c r="O262" s="168">
        <f t="shared" ca="1" si="16"/>
        <v>0</v>
      </c>
      <c r="P262" s="168">
        <f t="shared" ca="1" si="16"/>
        <v>0</v>
      </c>
      <c r="Q262" s="168">
        <f t="shared" ca="1" si="16"/>
        <v>0</v>
      </c>
      <c r="R262" s="168">
        <f t="shared" ca="1" si="16"/>
        <v>3</v>
      </c>
      <c r="S262" s="168">
        <f t="shared" ca="1" si="16"/>
        <v>0</v>
      </c>
      <c r="T262" s="168">
        <f t="shared" ca="1" si="16"/>
        <v>0</v>
      </c>
      <c r="U262" s="168">
        <f t="shared" ca="1" si="16"/>
        <v>2</v>
      </c>
      <c r="V262" s="168">
        <f t="shared" ca="1" si="16"/>
        <v>0</v>
      </c>
      <c r="W262" s="168">
        <f t="shared" ca="1" si="16"/>
        <v>0</v>
      </c>
      <c r="X262" s="168">
        <f t="shared" ca="1" si="16"/>
        <v>0</v>
      </c>
      <c r="Y262" s="168">
        <f t="shared" ca="1" si="16"/>
        <v>0</v>
      </c>
      <c r="Z262" s="168">
        <f t="shared" ca="1" si="16"/>
        <v>1</v>
      </c>
      <c r="AA262" s="166">
        <f t="shared" ca="1" si="13"/>
        <v>6</v>
      </c>
      <c r="AB262" s="19" cm="1">
        <f t="array" aca="1" ref="AB262" ca="1">AA262/INDIRECT(ADDRESS(ROW(AA262),$B262))</f>
        <v>2</v>
      </c>
    </row>
    <row r="263" spans="1:28" x14ac:dyDescent="0.2">
      <c r="A263" s="166"/>
      <c r="B263" s="5">
        <f t="shared" si="14"/>
        <v>19</v>
      </c>
      <c r="C263" s="18" t="s">
        <v>942</v>
      </c>
      <c r="D263" s="5">
        <f t="shared" ca="1" si="10"/>
        <v>9</v>
      </c>
      <c r="E263" s="168">
        <f t="shared" ca="1" si="15"/>
        <v>0</v>
      </c>
      <c r="F263" s="168">
        <f t="shared" ca="1" si="15"/>
        <v>0</v>
      </c>
      <c r="G263" s="168">
        <f t="shared" ca="1" si="15"/>
        <v>0</v>
      </c>
      <c r="H263" s="168">
        <f t="shared" ca="1" si="15"/>
        <v>0</v>
      </c>
      <c r="I263" s="168">
        <f t="shared" ca="1" si="15"/>
        <v>0</v>
      </c>
      <c r="J263" s="168">
        <f t="shared" ca="1" si="15"/>
        <v>0</v>
      </c>
      <c r="K263" s="168">
        <f t="shared" ca="1" si="15"/>
        <v>0</v>
      </c>
      <c r="L263" s="168">
        <f t="shared" ca="1" si="15"/>
        <v>0</v>
      </c>
      <c r="M263" s="168">
        <f t="shared" ca="1" si="15"/>
        <v>0</v>
      </c>
      <c r="N263" s="168">
        <f t="shared" ca="1" si="15"/>
        <v>0</v>
      </c>
      <c r="O263" s="168">
        <f t="shared" ca="1" si="16"/>
        <v>0</v>
      </c>
      <c r="P263" s="168">
        <f t="shared" ca="1" si="16"/>
        <v>0</v>
      </c>
      <c r="Q263" s="168">
        <f t="shared" ca="1" si="16"/>
        <v>0</v>
      </c>
      <c r="R263" s="168">
        <f t="shared" ca="1" si="16"/>
        <v>0</v>
      </c>
      <c r="S263" s="168">
        <f t="shared" ca="1" si="16"/>
        <v>4</v>
      </c>
      <c r="T263" s="168">
        <f t="shared" ca="1" si="16"/>
        <v>0</v>
      </c>
      <c r="U263" s="168">
        <f t="shared" ca="1" si="16"/>
        <v>0</v>
      </c>
      <c r="V263" s="168">
        <f t="shared" ca="1" si="16"/>
        <v>0</v>
      </c>
      <c r="W263" s="168">
        <f t="shared" ca="1" si="16"/>
        <v>0</v>
      </c>
      <c r="X263" s="168">
        <f t="shared" ca="1" si="16"/>
        <v>0</v>
      </c>
      <c r="Y263" s="168">
        <f t="shared" ca="1" si="16"/>
        <v>0</v>
      </c>
      <c r="Z263" s="168">
        <f t="shared" ca="1" si="16"/>
        <v>0</v>
      </c>
      <c r="AA263" s="166">
        <f t="shared" ca="1" si="13"/>
        <v>4</v>
      </c>
      <c r="AB263" s="19" cm="1">
        <f t="array" aca="1" ref="AB263" ca="1">AA263/INDIRECT(ADDRESS(ROW(AA263),$B263))</f>
        <v>1</v>
      </c>
    </row>
    <row r="264" spans="1:28" x14ac:dyDescent="0.2">
      <c r="A264" s="166"/>
      <c r="B264" s="5">
        <f t="shared" si="14"/>
        <v>20</v>
      </c>
      <c r="C264" s="18" t="s">
        <v>943</v>
      </c>
      <c r="D264" s="5">
        <f t="shared" ca="1" si="10"/>
        <v>5</v>
      </c>
      <c r="E264" s="168">
        <f t="shared" ca="1" si="15"/>
        <v>0</v>
      </c>
      <c r="F264" s="168">
        <f t="shared" ca="1" si="15"/>
        <v>0</v>
      </c>
      <c r="G264" s="168">
        <f t="shared" ca="1" si="15"/>
        <v>0</v>
      </c>
      <c r="H264" s="168">
        <f t="shared" ca="1" si="15"/>
        <v>0</v>
      </c>
      <c r="I264" s="168">
        <f t="shared" ca="1" si="15"/>
        <v>0</v>
      </c>
      <c r="J264" s="168">
        <f t="shared" ca="1" si="15"/>
        <v>0</v>
      </c>
      <c r="K264" s="168">
        <f t="shared" ca="1" si="15"/>
        <v>0</v>
      </c>
      <c r="L264" s="168">
        <f t="shared" ca="1" si="15"/>
        <v>0</v>
      </c>
      <c r="M264" s="168">
        <f t="shared" ca="1" si="15"/>
        <v>0</v>
      </c>
      <c r="N264" s="168">
        <f t="shared" ca="1" si="15"/>
        <v>0</v>
      </c>
      <c r="O264" s="168">
        <f t="shared" ca="1" si="16"/>
        <v>0</v>
      </c>
      <c r="P264" s="168">
        <f t="shared" ca="1" si="16"/>
        <v>0</v>
      </c>
      <c r="Q264" s="168">
        <f t="shared" ca="1" si="16"/>
        <v>0</v>
      </c>
      <c r="R264" s="168">
        <f t="shared" ca="1" si="16"/>
        <v>0</v>
      </c>
      <c r="S264" s="168">
        <f t="shared" ca="1" si="16"/>
        <v>0</v>
      </c>
      <c r="T264" s="168">
        <f t="shared" ca="1" si="16"/>
        <v>0</v>
      </c>
      <c r="U264" s="168">
        <f t="shared" ca="1" si="16"/>
        <v>0</v>
      </c>
      <c r="V264" s="168">
        <f t="shared" ca="1" si="16"/>
        <v>0</v>
      </c>
      <c r="W264" s="168">
        <f t="shared" ca="1" si="16"/>
        <v>0</v>
      </c>
      <c r="X264" s="168">
        <f t="shared" ca="1" si="16"/>
        <v>0</v>
      </c>
      <c r="Y264" s="168">
        <f t="shared" ca="1" si="16"/>
        <v>0</v>
      </c>
      <c r="Z264" s="168">
        <f t="shared" ca="1" si="16"/>
        <v>0</v>
      </c>
      <c r="AA264" s="166">
        <f t="shared" ca="1" si="13"/>
        <v>0</v>
      </c>
      <c r="AB264" s="19" t="e" cm="1">
        <f t="array" aca="1" ref="AB264" ca="1">AA264/INDIRECT(ADDRESS(ROW(AA264),$B264))</f>
        <v>#DIV/0!</v>
      </c>
    </row>
    <row r="265" spans="1:28" x14ac:dyDescent="0.2">
      <c r="A265" s="166"/>
      <c r="B265" s="5">
        <f t="shared" si="14"/>
        <v>21</v>
      </c>
      <c r="C265" s="18" t="s">
        <v>944</v>
      </c>
      <c r="D265" s="5">
        <f t="shared" ca="1" si="10"/>
        <v>17</v>
      </c>
      <c r="E265" s="168">
        <f t="shared" ca="1" si="15"/>
        <v>0</v>
      </c>
      <c r="F265" s="168">
        <f t="shared" ca="1" si="15"/>
        <v>0</v>
      </c>
      <c r="G265" s="168">
        <f t="shared" ca="1" si="15"/>
        <v>0</v>
      </c>
      <c r="H265" s="168">
        <f t="shared" ca="1" si="15"/>
        <v>0</v>
      </c>
      <c r="I265" s="168">
        <f t="shared" ca="1" si="15"/>
        <v>0</v>
      </c>
      <c r="J265" s="168">
        <f t="shared" ca="1" si="15"/>
        <v>0</v>
      </c>
      <c r="K265" s="168">
        <f t="shared" ca="1" si="15"/>
        <v>0</v>
      </c>
      <c r="L265" s="168">
        <f t="shared" ca="1" si="15"/>
        <v>0</v>
      </c>
      <c r="M265" s="168">
        <f t="shared" ca="1" si="15"/>
        <v>0</v>
      </c>
      <c r="N265" s="168">
        <f t="shared" ca="1" si="15"/>
        <v>0</v>
      </c>
      <c r="O265" s="168">
        <f t="shared" ca="1" si="16"/>
        <v>0</v>
      </c>
      <c r="P265" s="168">
        <f t="shared" ca="1" si="16"/>
        <v>0</v>
      </c>
      <c r="Q265" s="168">
        <f t="shared" ca="1" si="16"/>
        <v>0</v>
      </c>
      <c r="R265" s="168">
        <f t="shared" ca="1" si="16"/>
        <v>0</v>
      </c>
      <c r="S265" s="168">
        <f t="shared" ca="1" si="16"/>
        <v>0</v>
      </c>
      <c r="T265" s="168">
        <f t="shared" ca="1" si="16"/>
        <v>0</v>
      </c>
      <c r="U265" s="168">
        <f t="shared" ca="1" si="16"/>
        <v>6</v>
      </c>
      <c r="V265" s="168">
        <f t="shared" ca="1" si="16"/>
        <v>0</v>
      </c>
      <c r="W265" s="168">
        <f t="shared" ca="1" si="16"/>
        <v>1</v>
      </c>
      <c r="X265" s="168">
        <f t="shared" ca="1" si="16"/>
        <v>1</v>
      </c>
      <c r="Y265" s="168">
        <f t="shared" ca="1" si="16"/>
        <v>1</v>
      </c>
      <c r="Z265" s="168">
        <f t="shared" ca="1" si="16"/>
        <v>0</v>
      </c>
      <c r="AA265" s="166">
        <f t="shared" ca="1" si="13"/>
        <v>9</v>
      </c>
      <c r="AB265" s="19" cm="1">
        <f t="array" aca="1" ref="AB265" ca="1">AA265/INDIRECT(ADDRESS(ROW(AA265),$B265))</f>
        <v>1.5</v>
      </c>
    </row>
    <row r="266" spans="1:28" x14ac:dyDescent="0.2">
      <c r="A266" s="166"/>
      <c r="B266" s="5">
        <f t="shared" si="14"/>
        <v>22</v>
      </c>
      <c r="C266" s="18" t="s">
        <v>945</v>
      </c>
      <c r="D266" s="5">
        <f t="shared" ca="1" si="10"/>
        <v>2</v>
      </c>
      <c r="E266" s="168">
        <f t="shared" ca="1" si="15"/>
        <v>0</v>
      </c>
      <c r="F266" s="168">
        <f t="shared" ca="1" si="15"/>
        <v>0</v>
      </c>
      <c r="G266" s="168">
        <f t="shared" ca="1" si="15"/>
        <v>0</v>
      </c>
      <c r="H266" s="168">
        <f t="shared" ca="1" si="15"/>
        <v>0</v>
      </c>
      <c r="I266" s="168">
        <f t="shared" ca="1" si="15"/>
        <v>0</v>
      </c>
      <c r="J266" s="168">
        <f t="shared" ca="1" si="15"/>
        <v>0</v>
      </c>
      <c r="K266" s="168">
        <f t="shared" ca="1" si="15"/>
        <v>0</v>
      </c>
      <c r="L266" s="168">
        <f t="shared" ca="1" si="15"/>
        <v>0</v>
      </c>
      <c r="M266" s="168">
        <f t="shared" ca="1" si="15"/>
        <v>0</v>
      </c>
      <c r="N266" s="168">
        <f t="shared" ca="1" si="15"/>
        <v>0</v>
      </c>
      <c r="O266" s="168">
        <f t="shared" ca="1" si="16"/>
        <v>0</v>
      </c>
      <c r="P266" s="168">
        <f t="shared" ca="1" si="16"/>
        <v>0</v>
      </c>
      <c r="Q266" s="168">
        <f t="shared" ca="1" si="16"/>
        <v>0</v>
      </c>
      <c r="R266" s="168">
        <f t="shared" ca="1" si="16"/>
        <v>0</v>
      </c>
      <c r="S266" s="168">
        <f t="shared" ca="1" si="16"/>
        <v>0</v>
      </c>
      <c r="T266" s="168">
        <f t="shared" ca="1" si="16"/>
        <v>0</v>
      </c>
      <c r="U266" s="168">
        <f t="shared" ca="1" si="16"/>
        <v>0</v>
      </c>
      <c r="V266" s="168">
        <f t="shared" ca="1" si="16"/>
        <v>1</v>
      </c>
      <c r="W266" s="168">
        <f t="shared" ca="1" si="16"/>
        <v>0</v>
      </c>
      <c r="X266" s="168">
        <f t="shared" ca="1" si="16"/>
        <v>1</v>
      </c>
      <c r="Y266" s="168">
        <f t="shared" ca="1" si="16"/>
        <v>0</v>
      </c>
      <c r="Z266" s="168">
        <f t="shared" ca="1" si="16"/>
        <v>0</v>
      </c>
      <c r="AA266" s="166">
        <f t="shared" ca="1" si="13"/>
        <v>2</v>
      </c>
      <c r="AB266" s="19" cm="1">
        <f t="array" aca="1" ref="AB266" ca="1">AA266/INDIRECT(ADDRESS(ROW(AA266),$B266))</f>
        <v>2</v>
      </c>
    </row>
    <row r="267" spans="1:28" x14ac:dyDescent="0.2">
      <c r="A267" s="166"/>
      <c r="B267" s="169">
        <f t="shared" si="14"/>
        <v>23</v>
      </c>
      <c r="C267" s="170" t="s">
        <v>946</v>
      </c>
      <c r="D267" s="169">
        <f t="shared" ca="1" si="10"/>
        <v>18</v>
      </c>
      <c r="E267" s="171">
        <f t="shared" ca="1" si="15"/>
        <v>0</v>
      </c>
      <c r="F267" s="171">
        <f t="shared" ca="1" si="15"/>
        <v>0</v>
      </c>
      <c r="G267" s="171">
        <f t="shared" ca="1" si="15"/>
        <v>0</v>
      </c>
      <c r="H267" s="171">
        <f t="shared" ca="1" si="15"/>
        <v>0</v>
      </c>
      <c r="I267" s="171">
        <f t="shared" ca="1" si="15"/>
        <v>0</v>
      </c>
      <c r="J267" s="171">
        <f t="shared" ca="1" si="15"/>
        <v>0</v>
      </c>
      <c r="K267" s="171">
        <f t="shared" ca="1" si="15"/>
        <v>0</v>
      </c>
      <c r="L267" s="171">
        <f t="shared" ca="1" si="15"/>
        <v>0</v>
      </c>
      <c r="M267" s="171">
        <f t="shared" ca="1" si="15"/>
        <v>0</v>
      </c>
      <c r="N267" s="171">
        <f t="shared" ca="1" si="15"/>
        <v>0</v>
      </c>
      <c r="O267" s="171">
        <f t="shared" ca="1" si="16"/>
        <v>0</v>
      </c>
      <c r="P267" s="171">
        <f t="shared" ca="1" si="16"/>
        <v>0</v>
      </c>
      <c r="Q267" s="171">
        <f t="shared" ca="1" si="16"/>
        <v>0</v>
      </c>
      <c r="R267" s="171">
        <f t="shared" ca="1" si="16"/>
        <v>0</v>
      </c>
      <c r="S267" s="171">
        <f t="shared" ca="1" si="16"/>
        <v>0</v>
      </c>
      <c r="T267" s="171">
        <f t="shared" ca="1" si="16"/>
        <v>0</v>
      </c>
      <c r="U267" s="171">
        <f t="shared" ca="1" si="16"/>
        <v>0</v>
      </c>
      <c r="V267" s="171">
        <f t="shared" ca="1" si="16"/>
        <v>0</v>
      </c>
      <c r="W267" s="171">
        <f t="shared" ca="1" si="16"/>
        <v>9</v>
      </c>
      <c r="X267" s="171">
        <f t="shared" ca="1" si="16"/>
        <v>0</v>
      </c>
      <c r="Y267" s="171">
        <f t="shared" ca="1" si="16"/>
        <v>0</v>
      </c>
      <c r="Z267" s="171">
        <f t="shared" ca="1" si="16"/>
        <v>0</v>
      </c>
      <c r="AA267" s="172">
        <f t="shared" ca="1" si="13"/>
        <v>9</v>
      </c>
      <c r="AB267" s="173" cm="1">
        <f t="array" aca="1" ref="AB267" ca="1">AA267/INDIRECT(ADDRESS(ROW(AA267),$B267))</f>
        <v>1</v>
      </c>
    </row>
    <row r="268" spans="1:28" x14ac:dyDescent="0.2">
      <c r="A268" s="166"/>
      <c r="B268" s="5">
        <f t="shared" si="14"/>
        <v>24</v>
      </c>
      <c r="C268" s="18" t="s">
        <v>947</v>
      </c>
      <c r="D268" s="5">
        <f t="shared" ca="1" si="10"/>
        <v>20</v>
      </c>
      <c r="E268" s="168">
        <f t="shared" ca="1" si="15"/>
        <v>0</v>
      </c>
      <c r="F268" s="168">
        <f t="shared" ca="1" si="15"/>
        <v>0</v>
      </c>
      <c r="G268" s="168">
        <f t="shared" ca="1" si="15"/>
        <v>0</v>
      </c>
      <c r="H268" s="168">
        <f t="shared" ca="1" si="15"/>
        <v>0</v>
      </c>
      <c r="I268" s="168">
        <f t="shared" ca="1" si="15"/>
        <v>0</v>
      </c>
      <c r="J268" s="168">
        <f t="shared" ca="1" si="15"/>
        <v>0</v>
      </c>
      <c r="K268" s="168">
        <f t="shared" ca="1" si="15"/>
        <v>0</v>
      </c>
      <c r="L268" s="168">
        <f t="shared" ca="1" si="15"/>
        <v>0</v>
      </c>
      <c r="M268" s="168">
        <f t="shared" ca="1" si="15"/>
        <v>0</v>
      </c>
      <c r="N268" s="168">
        <f t="shared" ca="1" si="15"/>
        <v>0</v>
      </c>
      <c r="O268" s="168">
        <f t="shared" ca="1" si="16"/>
        <v>0</v>
      </c>
      <c r="P268" s="168">
        <f t="shared" ca="1" si="16"/>
        <v>0</v>
      </c>
      <c r="Q268" s="168">
        <f t="shared" ca="1" si="16"/>
        <v>0</v>
      </c>
      <c r="R268" s="168">
        <f t="shared" ca="1" si="16"/>
        <v>0</v>
      </c>
      <c r="S268" s="168">
        <f t="shared" ca="1" si="16"/>
        <v>0</v>
      </c>
      <c r="T268" s="168">
        <f t="shared" ca="1" si="16"/>
        <v>0</v>
      </c>
      <c r="U268" s="168">
        <f t="shared" ca="1" si="16"/>
        <v>0</v>
      </c>
      <c r="V268" s="168">
        <f t="shared" ca="1" si="16"/>
        <v>0</v>
      </c>
      <c r="W268" s="168">
        <f t="shared" ca="1" si="16"/>
        <v>0</v>
      </c>
      <c r="X268" s="168">
        <f t="shared" ca="1" si="16"/>
        <v>10</v>
      </c>
      <c r="Y268" s="168">
        <f t="shared" ca="1" si="16"/>
        <v>2</v>
      </c>
      <c r="Z268" s="168">
        <f t="shared" ca="1" si="16"/>
        <v>0</v>
      </c>
      <c r="AA268" s="166">
        <f t="shared" ca="1" si="13"/>
        <v>12</v>
      </c>
      <c r="AB268" s="19" cm="1">
        <f t="array" aca="1" ref="AB268" ca="1">AA268/INDIRECT(ADDRESS(ROW(AA268),$B268))</f>
        <v>1.2</v>
      </c>
    </row>
    <row r="269" spans="1:28" x14ac:dyDescent="0.2">
      <c r="A269" s="166"/>
      <c r="B269" s="5">
        <f t="shared" si="14"/>
        <v>25</v>
      </c>
      <c r="C269" s="18" t="s">
        <v>948</v>
      </c>
      <c r="D269" s="5">
        <f ca="1">SUM(INDIRECT(ADDRESS($C$245,$B269)&amp;":"&amp;ADDRESS($C$246,$B269)))</f>
        <v>6</v>
      </c>
      <c r="E269" s="168">
        <f t="shared" ca="1" si="15"/>
        <v>0</v>
      </c>
      <c r="F269" s="168">
        <f t="shared" ca="1" si="15"/>
        <v>0</v>
      </c>
      <c r="G269" s="168">
        <f t="shared" ca="1" si="15"/>
        <v>0</v>
      </c>
      <c r="H269" s="168">
        <f t="shared" ca="1" si="15"/>
        <v>0</v>
      </c>
      <c r="I269" s="168">
        <f t="shared" ca="1" si="15"/>
        <v>0</v>
      </c>
      <c r="J269" s="168">
        <f t="shared" ca="1" si="15"/>
        <v>0</v>
      </c>
      <c r="K269" s="168">
        <f t="shared" ca="1" si="15"/>
        <v>0</v>
      </c>
      <c r="L269" s="168">
        <f t="shared" ca="1" si="15"/>
        <v>0</v>
      </c>
      <c r="M269" s="168">
        <f t="shared" ca="1" si="15"/>
        <v>0</v>
      </c>
      <c r="N269" s="168">
        <f t="shared" ca="1" si="15"/>
        <v>0</v>
      </c>
      <c r="O269" s="168">
        <f t="shared" ca="1" si="16"/>
        <v>0</v>
      </c>
      <c r="P269" s="168">
        <f t="shared" ca="1" si="16"/>
        <v>0</v>
      </c>
      <c r="Q269" s="168">
        <f t="shared" ca="1" si="16"/>
        <v>0</v>
      </c>
      <c r="R269" s="168">
        <f t="shared" ca="1" si="16"/>
        <v>0</v>
      </c>
      <c r="S269" s="168">
        <f t="shared" ca="1" si="16"/>
        <v>0</v>
      </c>
      <c r="T269" s="168">
        <f t="shared" ca="1" si="16"/>
        <v>0</v>
      </c>
      <c r="U269" s="168">
        <f t="shared" ca="1" si="16"/>
        <v>0</v>
      </c>
      <c r="V269" s="168">
        <f t="shared" ca="1" si="16"/>
        <v>0</v>
      </c>
      <c r="W269" s="168">
        <f t="shared" ca="1" si="16"/>
        <v>0</v>
      </c>
      <c r="X269" s="168">
        <f t="shared" ca="1" si="16"/>
        <v>0</v>
      </c>
      <c r="Y269" s="168">
        <f t="shared" ca="1" si="16"/>
        <v>2</v>
      </c>
      <c r="Z269" s="168">
        <f t="shared" ca="1" si="16"/>
        <v>0</v>
      </c>
      <c r="AA269" s="166">
        <f t="shared" ca="1" si="13"/>
        <v>2</v>
      </c>
      <c r="AB269" s="19" cm="1">
        <f t="array" aca="1" ref="AB269" ca="1">AA269/INDIRECT(ADDRESS(ROW(AA269),$B269))</f>
        <v>1</v>
      </c>
    </row>
    <row r="270" spans="1:28" x14ac:dyDescent="0.2">
      <c r="A270" s="166"/>
      <c r="B270" s="5">
        <f t="shared" si="14"/>
        <v>26</v>
      </c>
      <c r="C270" s="18" t="s">
        <v>949</v>
      </c>
      <c r="D270" s="5">
        <f ca="1">SUM(INDIRECT(ADDRESS($C$245,$B270)&amp;":"&amp;ADDRESS($C$246,$B270)))</f>
        <v>4</v>
      </c>
      <c r="E270" s="168">
        <f t="shared" ca="1" si="15"/>
        <v>0</v>
      </c>
      <c r="F270" s="168">
        <f t="shared" ca="1" si="15"/>
        <v>0</v>
      </c>
      <c r="G270" s="168">
        <f t="shared" ca="1" si="15"/>
        <v>0</v>
      </c>
      <c r="H270" s="168">
        <f t="shared" ca="1" si="15"/>
        <v>0</v>
      </c>
      <c r="I270" s="168">
        <f t="shared" ca="1" si="15"/>
        <v>0</v>
      </c>
      <c r="J270" s="168">
        <f t="shared" ca="1" si="15"/>
        <v>0</v>
      </c>
      <c r="K270" s="168">
        <f t="shared" ca="1" si="15"/>
        <v>0</v>
      </c>
      <c r="L270" s="168">
        <f t="shared" ca="1" si="15"/>
        <v>0</v>
      </c>
      <c r="M270" s="168">
        <f t="shared" ca="1" si="15"/>
        <v>0</v>
      </c>
      <c r="N270" s="168">
        <f t="shared" ca="1" si="15"/>
        <v>0</v>
      </c>
      <c r="O270" s="168">
        <f t="shared" ca="1" si="16"/>
        <v>0</v>
      </c>
      <c r="P270" s="168">
        <f t="shared" ca="1" si="16"/>
        <v>0</v>
      </c>
      <c r="Q270" s="168">
        <f t="shared" ca="1" si="16"/>
        <v>0</v>
      </c>
      <c r="R270" s="168">
        <f t="shared" ca="1" si="16"/>
        <v>0</v>
      </c>
      <c r="S270" s="168">
        <f t="shared" ca="1" si="16"/>
        <v>0</v>
      </c>
      <c r="T270" s="168">
        <f t="shared" ca="1" si="16"/>
        <v>0</v>
      </c>
      <c r="U270" s="168">
        <f t="shared" ca="1" si="16"/>
        <v>0</v>
      </c>
      <c r="V270" s="168">
        <f t="shared" ca="1" si="16"/>
        <v>0</v>
      </c>
      <c r="W270" s="168">
        <f t="shared" ca="1" si="16"/>
        <v>0</v>
      </c>
      <c r="X270" s="168">
        <f t="shared" ca="1" si="16"/>
        <v>0</v>
      </c>
      <c r="Y270" s="168">
        <f t="shared" ca="1" si="16"/>
        <v>0</v>
      </c>
      <c r="Z270" s="168">
        <f t="shared" ca="1" si="16"/>
        <v>0</v>
      </c>
      <c r="AA270" s="166">
        <f t="shared" ca="1" si="13"/>
        <v>0</v>
      </c>
      <c r="AB270" s="19" t="e" cm="1">
        <f t="array" aca="1" ref="AB270" ca="1">AA270/INDIRECT(ADDRESS(ROW(AA270),$B270))</f>
        <v>#DIV/0!</v>
      </c>
    </row>
    <row r="272" spans="1:28" x14ac:dyDescent="0.2">
      <c r="B272" s="159" t="s">
        <v>965</v>
      </c>
      <c r="E272" s="159" t="s">
        <v>966</v>
      </c>
      <c r="F272" s="159" t="s">
        <v>967</v>
      </c>
      <c r="G272" s="159" t="s">
        <v>968</v>
      </c>
      <c r="H272" s="159" t="s">
        <v>969</v>
      </c>
    </row>
    <row r="273" spans="2:9" x14ac:dyDescent="0.2">
      <c r="C273" s="18" t="s">
        <v>966</v>
      </c>
      <c r="E273" s="167">
        <f ca="1">SUM(E249,F250,G251)</f>
        <v>26</v>
      </c>
      <c r="F273" s="166">
        <f ca="1">SUM(H249:O251)</f>
        <v>23</v>
      </c>
      <c r="G273" s="166">
        <f ca="1">SUM(P249:W251)</f>
        <v>17</v>
      </c>
      <c r="H273" s="166">
        <f ca="1">SUM(X249:Z251)</f>
        <v>9</v>
      </c>
    </row>
    <row r="274" spans="2:9" x14ac:dyDescent="0.2">
      <c r="C274" s="18" t="s">
        <v>967</v>
      </c>
      <c r="F274" s="166">
        <f ca="1">SUM(H252,I253,J254,K255,L256,M257,N258,O259)</f>
        <v>35</v>
      </c>
      <c r="G274" s="166">
        <f ca="1">SUM(P252:W259)</f>
        <v>21</v>
      </c>
      <c r="H274" s="166">
        <f ca="1">SUM(X252:Z259)</f>
        <v>3</v>
      </c>
    </row>
    <row r="275" spans="2:9" x14ac:dyDescent="0.2">
      <c r="C275" s="18" t="s">
        <v>968</v>
      </c>
      <c r="G275" s="166">
        <f ca="1">SUM(P260,Q261,R262,S263,U265,T264,V266,W267)</f>
        <v>26</v>
      </c>
      <c r="H275" s="166">
        <f ca="1">SUM(X260:Z267)</f>
        <v>4</v>
      </c>
    </row>
    <row r="276" spans="2:9" x14ac:dyDescent="0.2">
      <c r="C276" s="18" t="s">
        <v>969</v>
      </c>
      <c r="H276" s="166">
        <f ca="1">SUM(X268,Y269,Z270)</f>
        <v>12</v>
      </c>
    </row>
    <row r="278" spans="2:9" x14ac:dyDescent="0.2">
      <c r="B278" s="159" t="s">
        <v>970</v>
      </c>
      <c r="E278" s="159" t="s">
        <v>966</v>
      </c>
      <c r="F278" s="159" t="s">
        <v>967</v>
      </c>
      <c r="G278" s="159" t="s">
        <v>968</v>
      </c>
      <c r="H278" s="159" t="s">
        <v>969</v>
      </c>
    </row>
    <row r="279" spans="2:9" x14ac:dyDescent="0.2">
      <c r="C279" s="18" t="s">
        <v>966</v>
      </c>
      <c r="E279" s="166">
        <f ca="1">E273/$E273-1</f>
        <v>0</v>
      </c>
      <c r="F279" s="179">
        <f ca="1">F273/$E273-1</f>
        <v>-0.11538461538461542</v>
      </c>
      <c r="G279" s="179">
        <f ca="1">G273/$E273-1</f>
        <v>-0.34615384615384615</v>
      </c>
      <c r="H279" s="179">
        <f ca="1">H273/$E273-1</f>
        <v>-0.65384615384615385</v>
      </c>
    </row>
    <row r="280" spans="2:9" x14ac:dyDescent="0.2">
      <c r="C280" s="18" t="s">
        <v>967</v>
      </c>
      <c r="F280" s="166">
        <f ca="1">F274/$F274-1</f>
        <v>0</v>
      </c>
      <c r="G280" s="179">
        <f ca="1">G274/$F274-1</f>
        <v>-0.4</v>
      </c>
      <c r="H280" s="179">
        <f ca="1">H274/$F274-1</f>
        <v>-0.91428571428571426</v>
      </c>
    </row>
    <row r="281" spans="2:9" x14ac:dyDescent="0.2">
      <c r="C281" s="18" t="s">
        <v>968</v>
      </c>
      <c r="F281" s="179"/>
      <c r="G281" s="166">
        <f ca="1">G275/$G275-1</f>
        <v>0</v>
      </c>
      <c r="H281" s="179">
        <f ca="1">H275/$G275-1</f>
        <v>-0.84615384615384615</v>
      </c>
      <c r="I281" s="179"/>
    </row>
    <row r="282" spans="2:9" x14ac:dyDescent="0.2">
      <c r="C282" s="18" t="s">
        <v>969</v>
      </c>
      <c r="F282" s="179"/>
      <c r="G282" s="166"/>
      <c r="H282" s="179">
        <f ca="1">H276/$H276-1</f>
        <v>0</v>
      </c>
    </row>
  </sheetData>
  <conditionalFormatting sqref="E249:Z270">
    <cfRule type="colorScale" priority="2">
      <colorScale>
        <cfvo type="min"/>
        <cfvo type="max"/>
        <color rgb="FFFCFCFF"/>
        <color rgb="FF63BE7B"/>
      </colorScale>
    </cfRule>
  </conditionalFormatting>
  <conditionalFormatting sqref="AA139:AA2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49:AB27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26D9-C196-405D-989A-B94521C48D96}">
  <dimension ref="A2:J9"/>
  <sheetViews>
    <sheetView workbookViewId="0">
      <selection activeCell="C13" sqref="C13"/>
    </sheetView>
  </sheetViews>
  <sheetFormatPr baseColWidth="10" defaultColWidth="8.83203125" defaultRowHeight="16" x14ac:dyDescent="0.2"/>
  <cols>
    <col min="2" max="3" width="15.6640625" customWidth="1"/>
    <col min="4" max="4" width="10.33203125" style="133" customWidth="1"/>
    <col min="5" max="5" width="18.83203125" customWidth="1"/>
    <col min="6" max="6" width="12.33203125" customWidth="1"/>
    <col min="7" max="7" width="11.1640625" style="133" customWidth="1"/>
    <col min="8" max="8" width="21.1640625" customWidth="1"/>
  </cols>
  <sheetData>
    <row r="2" spans="1:10" ht="22.5" customHeight="1" x14ac:dyDescent="0.3">
      <c r="A2" s="135"/>
      <c r="B2" s="134" t="s">
        <v>371</v>
      </c>
      <c r="C2" s="134"/>
      <c r="D2" s="135"/>
      <c r="E2" s="134" t="s">
        <v>372</v>
      </c>
      <c r="F2" s="134"/>
      <c r="G2" s="135"/>
      <c r="H2" s="134" t="s">
        <v>373</v>
      </c>
      <c r="I2" s="134"/>
      <c r="J2" s="134"/>
    </row>
    <row r="3" spans="1:10" x14ac:dyDescent="0.2">
      <c r="A3" s="99"/>
      <c r="B3" s="99" t="s">
        <v>374</v>
      </c>
      <c r="C3" s="99" t="s">
        <v>375</v>
      </c>
      <c r="D3" s="136" t="s">
        <v>376</v>
      </c>
      <c r="E3" s="99" t="s">
        <v>374</v>
      </c>
      <c r="F3" s="99" t="s">
        <v>375</v>
      </c>
      <c r="G3" s="136" t="s">
        <v>376</v>
      </c>
      <c r="H3" s="99" t="s">
        <v>374</v>
      </c>
      <c r="I3" s="99" t="s">
        <v>375</v>
      </c>
      <c r="J3" s="136" t="s">
        <v>376</v>
      </c>
    </row>
    <row r="4" spans="1:10" x14ac:dyDescent="0.2">
      <c r="B4" t="s">
        <v>377</v>
      </c>
      <c r="C4" t="s">
        <v>378</v>
      </c>
    </row>
    <row r="5" spans="1:10" x14ac:dyDescent="0.2">
      <c r="B5" t="s">
        <v>379</v>
      </c>
    </row>
    <row r="6" spans="1:10" x14ac:dyDescent="0.2">
      <c r="B6" t="s">
        <v>380</v>
      </c>
    </row>
    <row r="7" spans="1:10" x14ac:dyDescent="0.2">
      <c r="B7" t="s">
        <v>381</v>
      </c>
    </row>
    <row r="8" spans="1:10" x14ac:dyDescent="0.2">
      <c r="B8" t="s">
        <v>382</v>
      </c>
    </row>
    <row r="9" spans="1:10" x14ac:dyDescent="0.2">
      <c r="B9" t="s">
        <v>383</v>
      </c>
    </row>
  </sheetData>
  <conditionalFormatting sqref="B1:D1048576">
    <cfRule type="containsText" dxfId="2" priority="1" operator="containsText" text="Standard">
      <formula>NOT(ISERROR(SEARCH("Standard",B1)))</formula>
    </cfRule>
    <cfRule type="containsText" dxfId="1" priority="2" operator="containsText" text="Standard">
      <formula>NOT(ISERROR(SEARCH("Standard",B1)))</formula>
    </cfRule>
    <cfRule type="containsText" dxfId="0" priority="3" operator="containsText" text="Standard">
      <formula>NOT(ISERROR(SEARCH("Standard",B1)))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248-DC78-42B5-895C-B72A695B8333}">
  <sheetPr>
    <tabColor rgb="FFFFFF00"/>
  </sheetPr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4B6-E9A6-BA46-ABA6-144AA727E451}">
  <sheetPr>
    <tabColor rgb="FFFFFF00"/>
  </sheetPr>
  <dimension ref="A1:R69"/>
  <sheetViews>
    <sheetView workbookViewId="0">
      <selection activeCell="B27" sqref="B27"/>
    </sheetView>
  </sheetViews>
  <sheetFormatPr baseColWidth="10" defaultColWidth="11" defaultRowHeight="15.75" customHeight="1" x14ac:dyDescent="0.2"/>
  <cols>
    <col min="1" max="1" width="10.33203125" style="8" bestFit="1" customWidth="1"/>
    <col min="2" max="2" width="67.5" bestFit="1" customWidth="1"/>
    <col min="3" max="3" width="13.1640625" style="66" bestFit="1" customWidth="1"/>
    <col min="4" max="4" width="13.1640625" style="5" customWidth="1"/>
    <col min="5" max="5" width="15" customWidth="1"/>
    <col min="7" max="7" width="14.6640625" bestFit="1" customWidth="1"/>
    <col min="8" max="8" width="14.6640625" customWidth="1"/>
    <col min="13" max="15" width="13.6640625" customWidth="1"/>
  </cols>
  <sheetData>
    <row r="1" spans="1:18" ht="16" x14ac:dyDescent="0.2">
      <c r="A1" s="13" t="s">
        <v>7</v>
      </c>
      <c r="B1" s="12" t="s">
        <v>9</v>
      </c>
      <c r="C1" s="65" t="s">
        <v>87</v>
      </c>
      <c r="D1" s="69" t="s">
        <v>384</v>
      </c>
      <c r="E1" s="30" t="s">
        <v>12</v>
      </c>
      <c r="F1" s="30" t="s">
        <v>385</v>
      </c>
      <c r="G1" s="30" t="s">
        <v>386</v>
      </c>
      <c r="H1" s="30" t="s">
        <v>387</v>
      </c>
      <c r="I1" s="30" t="s">
        <v>388</v>
      </c>
      <c r="J1" s="30" t="s">
        <v>366</v>
      </c>
      <c r="K1" s="30" t="s">
        <v>389</v>
      </c>
      <c r="L1" s="30" t="s">
        <v>390</v>
      </c>
      <c r="M1" s="30" t="s">
        <v>391</v>
      </c>
      <c r="N1" s="30" t="s">
        <v>392</v>
      </c>
      <c r="O1" s="30" t="s">
        <v>393</v>
      </c>
      <c r="Q1" t="s">
        <v>394</v>
      </c>
      <c r="R1">
        <f>AVERAGEIF(L2:L32,"&gt;0")</f>
        <v>9</v>
      </c>
    </row>
    <row r="2" spans="1:18" ht="16" x14ac:dyDescent="0.2">
      <c r="A2" s="85">
        <v>1</v>
      </c>
      <c r="B2" s="86" t="str">
        <f>VLOOKUP(A2,Visits!S:U,2,FALSE)</f>
        <v>Nimi hosts [Art Marathon] Somerset House: Assembly 2024 &amp;amp; Print Fair 23/03</v>
      </c>
      <c r="C2" s="87">
        <f>VLOOKUP(A2,Visits!S:U,3,FALSE)</f>
        <v>45374</v>
      </c>
      <c r="D2" s="88"/>
      <c r="E2" s="86"/>
      <c r="F2" s="86"/>
      <c r="G2" s="86" t="s">
        <v>395</v>
      </c>
      <c r="H2" s="86">
        <v>1</v>
      </c>
      <c r="I2" s="86"/>
      <c r="J2">
        <f>MONTH(C2)</f>
        <v>3</v>
      </c>
      <c r="K2">
        <v>1</v>
      </c>
      <c r="L2">
        <f>COUNTIF(Visits!S:S,Sessions!A2)</f>
        <v>11</v>
      </c>
    </row>
    <row r="3" spans="1:18" ht="16" x14ac:dyDescent="0.2">
      <c r="A3" s="85">
        <v>2</v>
      </c>
      <c r="B3" s="86" t="str">
        <f>VLOOKUP(A3,Visits!S:U,2,FALSE)</f>
        <v>Nimi hosts [Creative Session] Life Drawing at Estorick Collection</v>
      </c>
      <c r="C3" s="87">
        <f>VLOOKUP(A3,Visits!S:U,3,FALSE)</f>
        <v>45376</v>
      </c>
      <c r="D3" s="88"/>
      <c r="E3" s="86"/>
      <c r="F3" s="86"/>
      <c r="G3" s="86" t="s">
        <v>396</v>
      </c>
      <c r="H3" s="86">
        <v>5</v>
      </c>
      <c r="I3" s="86"/>
      <c r="J3">
        <f t="shared" ref="J3:J24" si="0">MONTH(C3)</f>
        <v>3</v>
      </c>
      <c r="K3">
        <v>1</v>
      </c>
      <c r="L3">
        <f>COUNTIF(Visits!S:S,Sessions!A3)</f>
        <v>3</v>
      </c>
    </row>
    <row r="4" spans="1:18" ht="16" x14ac:dyDescent="0.2">
      <c r="A4" s="85">
        <v>3</v>
      </c>
      <c r="B4" s="86" t="str">
        <f>VLOOKUP(A4,Visits!S:U,2,FALSE)</f>
        <v>Nimi hosts [Hidden Gem] Serpentine Gallery: Refik Anadol</v>
      </c>
      <c r="C4" s="87">
        <f>VLOOKUP(A4,Visits!S:U,3,FALSE)</f>
        <v>45381</v>
      </c>
      <c r="D4" s="88"/>
      <c r="E4" s="86"/>
      <c r="F4" s="86"/>
      <c r="G4" s="86" t="s">
        <v>397</v>
      </c>
      <c r="H4" s="86">
        <v>4</v>
      </c>
      <c r="I4" s="86"/>
      <c r="J4">
        <f t="shared" si="0"/>
        <v>3</v>
      </c>
      <c r="K4">
        <v>4</v>
      </c>
      <c r="L4">
        <f>COUNTIF(Visits!S:S,Sessions!A4)</f>
        <v>15</v>
      </c>
    </row>
    <row r="5" spans="1:18" ht="16" x14ac:dyDescent="0.2">
      <c r="A5" s="85">
        <v>4</v>
      </c>
      <c r="B5" s="86" t="str">
        <f>VLOOKUP(A5,Visits!S:U,2,FALSE)</f>
        <v>Nimi hosts [Hidden Gem] First Thursdays Gallery Stroll in East London</v>
      </c>
      <c r="C5" s="87">
        <f>VLOOKUP(A5,Visits!S:U,3,FALSE)</f>
        <v>45386</v>
      </c>
      <c r="D5" s="88"/>
      <c r="E5" s="86"/>
      <c r="F5" s="86"/>
      <c r="G5" s="86" t="s">
        <v>397</v>
      </c>
      <c r="H5" s="86">
        <v>5</v>
      </c>
      <c r="I5" s="86"/>
      <c r="J5">
        <f t="shared" si="0"/>
        <v>4</v>
      </c>
      <c r="K5">
        <v>4</v>
      </c>
      <c r="L5">
        <f>COUNTIF(Visits!S:S,Sessions!A5)</f>
        <v>8</v>
      </c>
    </row>
    <row r="6" spans="1:18" ht="16" x14ac:dyDescent="0.2">
      <c r="A6" s="85">
        <v>5</v>
      </c>
      <c r="B6" s="86" t="str">
        <f>VLOOKUP(A6,Visits!S:U,2,FALSE)</f>
        <v>Nimi hosts [Hidden Gem] Galleries Stroll in Mayfair</v>
      </c>
      <c r="C6" s="87">
        <f>VLOOKUP(A6,Visits!S:U,3,FALSE)</f>
        <v>45388</v>
      </c>
      <c r="D6" s="88"/>
      <c r="E6" s="86"/>
      <c r="F6" s="86"/>
      <c r="G6" s="86" t="s">
        <v>397</v>
      </c>
      <c r="H6" s="86">
        <v>1</v>
      </c>
      <c r="I6" s="86"/>
      <c r="J6">
        <f t="shared" si="0"/>
        <v>4</v>
      </c>
      <c r="K6">
        <v>4</v>
      </c>
      <c r="L6">
        <f>COUNTIF(Visits!S:S,Sessions!A6)</f>
        <v>23</v>
      </c>
    </row>
    <row r="7" spans="1:18" ht="16" x14ac:dyDescent="0.2">
      <c r="A7" s="85">
        <v>6</v>
      </c>
      <c r="B7" s="86" t="str">
        <f>VLOOKUP(A7,Visits!S:U,2,FALSE)</f>
        <v>Nimi hosts [Hidden Gem] Private View at Art Galleries in Central London</v>
      </c>
      <c r="C7" s="87">
        <f>VLOOKUP(A7,Visits!S:U,3,FALSE)</f>
        <v>45389</v>
      </c>
      <c r="D7" s="88"/>
      <c r="E7" s="86"/>
      <c r="F7" s="86"/>
      <c r="G7" s="86" t="s">
        <v>397</v>
      </c>
      <c r="H7" s="86">
        <v>1</v>
      </c>
      <c r="I7" s="86"/>
      <c r="J7">
        <f t="shared" si="0"/>
        <v>4</v>
      </c>
      <c r="K7">
        <v>4</v>
      </c>
      <c r="L7">
        <f>COUNTIF(Visits!S:S,Sessions!A7)</f>
        <v>7</v>
      </c>
    </row>
    <row r="8" spans="1:18" ht="16" x14ac:dyDescent="0.2">
      <c r="A8" s="85">
        <v>7</v>
      </c>
      <c r="B8" s="86" t="str">
        <f>VLOOKUP(A8,Visits!S:U,2,FALSE)</f>
        <v>Nimi hosts [Hidden Gem] Gallery Stroll in South Kensington</v>
      </c>
      <c r="C8" s="87">
        <v>45392</v>
      </c>
      <c r="D8" s="88" t="s">
        <v>398</v>
      </c>
      <c r="E8" s="86"/>
      <c r="F8" s="86"/>
      <c r="G8" s="86" t="s">
        <v>397</v>
      </c>
      <c r="H8" s="86">
        <v>4</v>
      </c>
      <c r="I8" s="86"/>
      <c r="J8">
        <f t="shared" si="0"/>
        <v>4</v>
      </c>
      <c r="K8">
        <v>4</v>
      </c>
      <c r="L8">
        <f>COUNTIF(Visits!S:S,Sessions!A8)</f>
        <v>9</v>
      </c>
    </row>
    <row r="9" spans="1:18" ht="16" x14ac:dyDescent="0.2">
      <c r="A9" s="85">
        <v>8</v>
      </c>
      <c r="B9" s="86" t="str">
        <f>VLOOKUP(A9,Visits!S:U,2,FALSE)</f>
        <v>Nimi hosts [Blockbuster] Visit Yoko Ono at Tate Modern</v>
      </c>
      <c r="C9" s="87" t="e">
        <f>VLOOKUP(A9,Visits!S:U,3,FALSE)</f>
        <v>#N/A</v>
      </c>
      <c r="D9" s="88"/>
      <c r="E9" s="86"/>
      <c r="F9" s="86"/>
      <c r="G9" s="86" t="s">
        <v>395</v>
      </c>
      <c r="H9" s="86">
        <v>6</v>
      </c>
      <c r="I9" s="86"/>
      <c r="J9" t="e">
        <f t="shared" si="0"/>
        <v>#N/A</v>
      </c>
      <c r="K9">
        <v>1</v>
      </c>
      <c r="L9">
        <f>COUNTIF(Visits!S:S,Sessions!A9)</f>
        <v>5</v>
      </c>
    </row>
    <row r="10" spans="1:18" ht="16" x14ac:dyDescent="0.2">
      <c r="A10" s="85">
        <v>9</v>
      </c>
      <c r="B10" s="86" t="str">
        <f>VLOOKUP(A10,Visits!S:U,2,FALSE)</f>
        <v>Nimi hosts [Hidden Gem] Gallery Stroll in South Kensington</v>
      </c>
      <c r="C10" s="87" t="e">
        <f>VLOOKUP(A10,Visits!S:U,3,FALSE)</f>
        <v>#N/A</v>
      </c>
      <c r="D10" s="88" t="s">
        <v>399</v>
      </c>
      <c r="E10" s="86"/>
      <c r="F10" s="86"/>
      <c r="G10" s="86" t="s">
        <v>397</v>
      </c>
      <c r="H10" s="86">
        <v>4</v>
      </c>
      <c r="I10" s="86"/>
      <c r="J10" t="e">
        <f t="shared" si="0"/>
        <v>#N/A</v>
      </c>
      <c r="K10">
        <v>4</v>
      </c>
      <c r="L10">
        <f>COUNTIF(Visits!S:S,Sessions!A10)</f>
        <v>12</v>
      </c>
    </row>
    <row r="11" spans="1:18" ht="16" x14ac:dyDescent="0.2">
      <c r="A11" s="85">
        <v>10</v>
      </c>
      <c r="B11" s="86" t="str">
        <f>VLOOKUP(A11,Visits!S:U,2,FALSE)</f>
        <v>[Hidden Gem] First Thursdays Gallery Stroll in East London</v>
      </c>
      <c r="C11" s="87" t="e">
        <f>VLOOKUP(A11,Visits!S:U,3,FALSE)</f>
        <v>#N/A</v>
      </c>
      <c r="D11" s="88"/>
      <c r="E11" s="86"/>
      <c r="F11" s="86"/>
      <c r="G11" s="86" t="s">
        <v>397</v>
      </c>
      <c r="H11" s="86">
        <v>5</v>
      </c>
      <c r="I11" s="86"/>
      <c r="J11" t="e">
        <f t="shared" si="0"/>
        <v>#N/A</v>
      </c>
      <c r="K11">
        <v>4</v>
      </c>
      <c r="L11">
        <f>COUNTIF(Visits!S:S,Sessions!A11)</f>
        <v>3</v>
      </c>
    </row>
    <row r="12" spans="1:18" ht="16" x14ac:dyDescent="0.2">
      <c r="A12" s="85">
        <v>11</v>
      </c>
      <c r="B12" s="86" t="str">
        <f>VLOOKUP(A12,Visits!S:U,2,FALSE)</f>
        <v>[Blockbuster] When Forms Come Alive @ Hayward Gallery</v>
      </c>
      <c r="C12" s="87" t="e">
        <f>VLOOKUP(A12,Visits!S:U,3,FALSE)</f>
        <v>#N/A</v>
      </c>
      <c r="D12" s="88" t="s">
        <v>399</v>
      </c>
      <c r="E12" s="86"/>
      <c r="F12" s="86"/>
      <c r="G12" s="86" t="s">
        <v>395</v>
      </c>
      <c r="H12" s="86">
        <v>6</v>
      </c>
      <c r="I12" s="86"/>
      <c r="J12" t="e">
        <f t="shared" si="0"/>
        <v>#N/A</v>
      </c>
      <c r="K12">
        <v>1</v>
      </c>
      <c r="L12">
        <f>COUNTIF(Visits!S:S,Sessions!A12)</f>
        <v>6</v>
      </c>
    </row>
    <row r="13" spans="1:18" ht="16" x14ac:dyDescent="0.2">
      <c r="A13" s="85">
        <v>12</v>
      </c>
      <c r="B13" s="86" t="str">
        <f>VLOOKUP(A13,Visits!S:U,2,FALSE)</f>
        <v>Nimi hosts  [Artist Talk] Unexpected Views at the National Gallery Late</v>
      </c>
      <c r="C13" s="87" t="e">
        <f>VLOOKUP(A13,Visits!S:U,3,FALSE)</f>
        <v>#N/A</v>
      </c>
      <c r="D13" s="88" t="s">
        <v>400</v>
      </c>
      <c r="E13" s="86"/>
      <c r="F13" s="86"/>
      <c r="G13" s="86" t="s">
        <v>401</v>
      </c>
      <c r="H13" s="86">
        <v>1</v>
      </c>
      <c r="I13" s="86"/>
      <c r="J13" t="e">
        <f t="shared" si="0"/>
        <v>#N/A</v>
      </c>
      <c r="K13">
        <v>1</v>
      </c>
      <c r="L13">
        <f>COUNTIF(Visits!S:S,Sessions!A13)</f>
        <v>1</v>
      </c>
    </row>
    <row r="14" spans="1:18" ht="16" x14ac:dyDescent="0.2">
      <c r="A14" s="85">
        <v>13</v>
      </c>
      <c r="B14" s="86" t="str">
        <f>VLOOKUP(A14,Visits!S:U,2,FALSE)</f>
        <v>Nimi hosts [Hidden Gem] Dreams Have No Titles Exhibition and Tango</v>
      </c>
      <c r="C14" s="87" t="e">
        <f>VLOOKUP(A14,Visits!S:U,3,FALSE)</f>
        <v>#N/A</v>
      </c>
      <c r="D14" s="88" t="s">
        <v>402</v>
      </c>
      <c r="E14" s="86"/>
      <c r="F14" s="86">
        <v>15</v>
      </c>
      <c r="G14" s="86" t="s">
        <v>397</v>
      </c>
      <c r="H14" s="86">
        <v>5</v>
      </c>
      <c r="I14" s="86"/>
      <c r="J14" t="e">
        <f t="shared" si="0"/>
        <v>#N/A</v>
      </c>
      <c r="K14">
        <v>4</v>
      </c>
      <c r="L14">
        <f>COUNTIF(Visits!S:S,Sessions!A14)</f>
        <v>6</v>
      </c>
    </row>
    <row r="15" spans="1:18" ht="16" x14ac:dyDescent="0.2">
      <c r="A15" s="85">
        <v>14</v>
      </c>
      <c r="B15" s="86" t="s">
        <v>403</v>
      </c>
      <c r="C15" s="87">
        <v>45423</v>
      </c>
      <c r="D15" s="88" t="s">
        <v>402</v>
      </c>
      <c r="E15" s="86">
        <v>6</v>
      </c>
      <c r="F15" s="86">
        <v>15</v>
      </c>
      <c r="G15" s="86" t="s">
        <v>397</v>
      </c>
      <c r="H15" s="86">
        <v>1</v>
      </c>
      <c r="I15" s="86"/>
      <c r="J15">
        <f t="shared" si="0"/>
        <v>5</v>
      </c>
      <c r="K15">
        <v>4</v>
      </c>
      <c r="L15">
        <f>COUNTIF(Visits!S:S,Sessions!A15)</f>
        <v>8</v>
      </c>
    </row>
    <row r="16" spans="1:18" ht="16" x14ac:dyDescent="0.2">
      <c r="A16" s="85">
        <v>15</v>
      </c>
      <c r="B16" s="86" t="s">
        <v>403</v>
      </c>
      <c r="C16" s="87">
        <v>45430</v>
      </c>
      <c r="D16" s="88" t="s">
        <v>404</v>
      </c>
      <c r="E16" s="86">
        <v>6</v>
      </c>
      <c r="F16" s="86">
        <v>15</v>
      </c>
      <c r="G16" s="86" t="s">
        <v>397</v>
      </c>
      <c r="H16" s="86">
        <v>2</v>
      </c>
      <c r="I16" s="86"/>
      <c r="J16">
        <f t="shared" si="0"/>
        <v>5</v>
      </c>
      <c r="K16">
        <v>4</v>
      </c>
      <c r="L16">
        <f>COUNTIF(Visits!S:S,Sessions!A16)</f>
        <v>9</v>
      </c>
    </row>
    <row r="17" spans="1:13" s="86" customFormat="1" ht="16" x14ac:dyDescent="0.2">
      <c r="A17" s="85">
        <v>16</v>
      </c>
      <c r="B17" s="86" t="s">
        <v>403</v>
      </c>
      <c r="C17" s="87">
        <v>45437</v>
      </c>
      <c r="D17" s="88" t="s">
        <v>402</v>
      </c>
      <c r="E17" s="86">
        <v>6</v>
      </c>
      <c r="F17" s="86">
        <v>15</v>
      </c>
      <c r="G17" s="86" t="s">
        <v>397</v>
      </c>
      <c r="H17" s="86">
        <v>1</v>
      </c>
      <c r="J17" s="86">
        <f t="shared" si="0"/>
        <v>5</v>
      </c>
      <c r="K17">
        <v>4</v>
      </c>
      <c r="L17">
        <f>COUNTIF(Visits!S:S,Sessions!A17)</f>
        <v>9</v>
      </c>
    </row>
    <row r="18" spans="1:13" s="86" customFormat="1" ht="16" x14ac:dyDescent="0.2">
      <c r="A18" s="85">
        <v>17</v>
      </c>
      <c r="B18" s="86" t="s">
        <v>405</v>
      </c>
      <c r="C18" s="87">
        <v>45438</v>
      </c>
      <c r="D18" s="88" t="s">
        <v>402</v>
      </c>
      <c r="E18" s="86">
        <v>6</v>
      </c>
      <c r="F18" s="86">
        <v>19</v>
      </c>
      <c r="G18" s="86" t="s">
        <v>395</v>
      </c>
      <c r="H18" s="86">
        <v>1</v>
      </c>
      <c r="J18" s="86">
        <f t="shared" si="0"/>
        <v>5</v>
      </c>
      <c r="K18">
        <v>1</v>
      </c>
      <c r="L18">
        <f>COUNTIF(Visits!S:S,Sessions!A18)</f>
        <v>0</v>
      </c>
    </row>
    <row r="19" spans="1:13" ht="17" x14ac:dyDescent="0.2">
      <c r="A19" s="8">
        <v>18</v>
      </c>
      <c r="B19" s="2" t="s">
        <v>406</v>
      </c>
      <c r="C19" s="66">
        <v>45445</v>
      </c>
      <c r="D19" s="70" t="s">
        <v>407</v>
      </c>
      <c r="E19">
        <v>6</v>
      </c>
      <c r="F19">
        <v>15</v>
      </c>
      <c r="G19" t="s">
        <v>408</v>
      </c>
      <c r="H19" s="86">
        <v>1</v>
      </c>
      <c r="I19">
        <v>16</v>
      </c>
      <c r="J19">
        <f t="shared" si="0"/>
        <v>6</v>
      </c>
      <c r="K19">
        <v>4</v>
      </c>
      <c r="L19">
        <f>COUNTIF(Visits!S:S,Sessions!A19)</f>
        <v>20</v>
      </c>
    </row>
    <row r="20" spans="1:13" s="121" customFormat="1" ht="17" x14ac:dyDescent="0.2">
      <c r="A20" s="120">
        <v>19</v>
      </c>
      <c r="B20" s="121" t="s">
        <v>409</v>
      </c>
      <c r="C20" s="122">
        <v>45463</v>
      </c>
      <c r="D20" s="123" t="s">
        <v>410</v>
      </c>
      <c r="E20" s="121">
        <v>6</v>
      </c>
      <c r="F20" s="121">
        <v>15</v>
      </c>
      <c r="G20" s="121" t="s">
        <v>411</v>
      </c>
      <c r="H20" s="86">
        <v>1</v>
      </c>
      <c r="J20" s="121">
        <v>6</v>
      </c>
      <c r="K20">
        <v>1</v>
      </c>
      <c r="L20">
        <f>COUNTIF(Visits!S:S,Sessions!A20)</f>
        <v>0</v>
      </c>
    </row>
    <row r="21" spans="1:13" s="86" customFormat="1" ht="15.75" customHeight="1" x14ac:dyDescent="0.2">
      <c r="A21" s="85">
        <v>20</v>
      </c>
      <c r="B21" s="86" t="s">
        <v>412</v>
      </c>
      <c r="C21" s="87">
        <v>45433</v>
      </c>
      <c r="D21" s="113" t="s">
        <v>400</v>
      </c>
      <c r="E21" s="86">
        <v>0</v>
      </c>
      <c r="G21" s="86" t="s">
        <v>413</v>
      </c>
      <c r="H21" s="86">
        <v>3</v>
      </c>
      <c r="I21" s="86">
        <v>10</v>
      </c>
      <c r="J21" s="86">
        <f t="shared" si="0"/>
        <v>5</v>
      </c>
      <c r="K21">
        <v>1</v>
      </c>
      <c r="L21">
        <f>COUNTIF(Visits!S:S,Sessions!A21)</f>
        <v>5</v>
      </c>
    </row>
    <row r="22" spans="1:13" s="86" customFormat="1" ht="15.75" customHeight="1" x14ac:dyDescent="0.2">
      <c r="A22" s="85">
        <v>21</v>
      </c>
      <c r="B22" s="86" t="s">
        <v>414</v>
      </c>
      <c r="C22" s="87">
        <v>45434</v>
      </c>
      <c r="D22" s="113" t="s">
        <v>400</v>
      </c>
      <c r="E22" s="86">
        <v>0</v>
      </c>
      <c r="G22" s="86" t="s">
        <v>415</v>
      </c>
      <c r="H22" s="86">
        <v>6</v>
      </c>
      <c r="I22" s="86">
        <v>4</v>
      </c>
      <c r="J22" s="86">
        <f t="shared" si="0"/>
        <v>5</v>
      </c>
      <c r="K22">
        <v>1</v>
      </c>
      <c r="L22">
        <f>COUNTIF(Visits!S:S,Sessions!A22)</f>
        <v>0</v>
      </c>
    </row>
    <row r="23" spans="1:13" s="86" customFormat="1" ht="15.75" customHeight="1" x14ac:dyDescent="0.2">
      <c r="A23" s="85">
        <v>22</v>
      </c>
      <c r="B23" s="86" t="s">
        <v>416</v>
      </c>
      <c r="C23" s="87">
        <v>45436</v>
      </c>
      <c r="D23" s="113" t="s">
        <v>417</v>
      </c>
      <c r="E23" s="86">
        <v>6</v>
      </c>
      <c r="F23" s="86">
        <v>19</v>
      </c>
      <c r="G23" s="86" t="s">
        <v>415</v>
      </c>
      <c r="H23" s="86">
        <v>1</v>
      </c>
      <c r="J23" s="86">
        <f t="shared" si="0"/>
        <v>5</v>
      </c>
      <c r="K23">
        <v>1</v>
      </c>
      <c r="L23">
        <f>COUNTIF(Visits!S:S,Sessions!A23)</f>
        <v>10</v>
      </c>
    </row>
    <row r="24" spans="1:13" ht="15.75" customHeight="1" x14ac:dyDescent="0.2">
      <c r="A24" s="8">
        <v>23</v>
      </c>
      <c r="B24" t="s">
        <v>418</v>
      </c>
      <c r="C24" s="66">
        <v>45442</v>
      </c>
      <c r="D24" s="5" t="s">
        <v>400</v>
      </c>
      <c r="E24">
        <v>0</v>
      </c>
      <c r="F24">
        <v>0</v>
      </c>
      <c r="G24" t="s">
        <v>419</v>
      </c>
      <c r="H24" s="86">
        <v>1</v>
      </c>
      <c r="I24">
        <v>15</v>
      </c>
      <c r="J24">
        <f t="shared" si="0"/>
        <v>5</v>
      </c>
      <c r="K24">
        <v>1</v>
      </c>
      <c r="L24">
        <f>COUNTIF(Visits!S:S,Sessions!A24)</f>
        <v>18</v>
      </c>
    </row>
    <row r="25" spans="1:13" ht="15.75" customHeight="1" x14ac:dyDescent="0.2">
      <c r="A25" s="8">
        <v>24</v>
      </c>
      <c r="B25" t="s">
        <v>420</v>
      </c>
      <c r="C25" s="66">
        <v>45451</v>
      </c>
      <c r="D25" s="3" t="s">
        <v>402</v>
      </c>
      <c r="E25">
        <v>6</v>
      </c>
      <c r="F25">
        <v>15</v>
      </c>
      <c r="G25" t="s">
        <v>397</v>
      </c>
      <c r="H25" s="86">
        <v>6</v>
      </c>
      <c r="I25">
        <v>25</v>
      </c>
      <c r="J25">
        <v>6</v>
      </c>
      <c r="K25">
        <v>4</v>
      </c>
      <c r="L25">
        <f>COUNTIF(Visits!S:S,Sessions!A25)</f>
        <v>6</v>
      </c>
    </row>
    <row r="26" spans="1:13" ht="15.75" customHeight="1" x14ac:dyDescent="0.2">
      <c r="A26" s="8">
        <v>25</v>
      </c>
      <c r="B26" t="s">
        <v>421</v>
      </c>
      <c r="C26" s="66">
        <v>45465</v>
      </c>
      <c r="D26" s="3" t="s">
        <v>402</v>
      </c>
      <c r="E26">
        <v>6</v>
      </c>
      <c r="F26">
        <v>15</v>
      </c>
      <c r="G26" t="s">
        <v>397</v>
      </c>
      <c r="H26" s="86">
        <v>1</v>
      </c>
      <c r="I26">
        <v>25</v>
      </c>
      <c r="J26">
        <v>6</v>
      </c>
      <c r="K26">
        <v>4</v>
      </c>
      <c r="L26">
        <f>COUNTIF(Visits!S:S,Sessions!A26)</f>
        <v>0</v>
      </c>
    </row>
    <row r="27" spans="1:13" ht="15.75" customHeight="1" x14ac:dyDescent="0.2">
      <c r="A27" s="8">
        <v>26</v>
      </c>
      <c r="B27" t="s">
        <v>422</v>
      </c>
      <c r="C27" s="66">
        <v>45471</v>
      </c>
      <c r="D27" s="3" t="s">
        <v>400</v>
      </c>
      <c r="E27">
        <v>10</v>
      </c>
      <c r="F27">
        <v>25</v>
      </c>
      <c r="G27" t="s">
        <v>415</v>
      </c>
      <c r="H27" s="86">
        <v>1</v>
      </c>
      <c r="I27">
        <v>25</v>
      </c>
      <c r="J27">
        <v>6</v>
      </c>
      <c r="K27">
        <v>1</v>
      </c>
      <c r="L27">
        <f>COUNTIF(Visits!S:S,Sessions!A27)</f>
        <v>0</v>
      </c>
    </row>
    <row r="28" spans="1:13" ht="15.75" customHeight="1" x14ac:dyDescent="0.2">
      <c r="A28" s="8">
        <v>27</v>
      </c>
      <c r="B28" t="s">
        <v>423</v>
      </c>
      <c r="C28" s="66">
        <v>45466</v>
      </c>
      <c r="D28" s="3" t="s">
        <v>402</v>
      </c>
      <c r="E28">
        <v>6</v>
      </c>
      <c r="F28">
        <v>15</v>
      </c>
      <c r="G28" t="s">
        <v>397</v>
      </c>
      <c r="H28" s="86">
        <v>7</v>
      </c>
      <c r="I28">
        <v>15</v>
      </c>
      <c r="J28">
        <v>6</v>
      </c>
      <c r="K28">
        <v>1</v>
      </c>
      <c r="L28">
        <f>COUNTIF(Visits!S:S,Sessions!A28)</f>
        <v>0</v>
      </c>
      <c r="M28" t="s">
        <v>424</v>
      </c>
    </row>
    <row r="29" spans="1:13" ht="15.75" customHeight="1" x14ac:dyDescent="0.2">
      <c r="A29" s="8">
        <v>28</v>
      </c>
      <c r="B29" t="s">
        <v>425</v>
      </c>
      <c r="C29" s="66">
        <v>45457</v>
      </c>
      <c r="D29" s="3" t="s">
        <v>426</v>
      </c>
      <c r="E29">
        <v>0</v>
      </c>
      <c r="F29">
        <v>0</v>
      </c>
      <c r="G29" t="s">
        <v>397</v>
      </c>
      <c r="H29" s="86">
        <v>1</v>
      </c>
      <c r="I29">
        <v>15</v>
      </c>
      <c r="J29">
        <v>6</v>
      </c>
      <c r="K29">
        <v>1</v>
      </c>
      <c r="L29">
        <f>COUNTIF(Visits!S:S,Sessions!A29)</f>
        <v>4</v>
      </c>
    </row>
    <row r="30" spans="1:13" ht="15.75" customHeight="1" x14ac:dyDescent="0.2">
      <c r="A30" s="8">
        <v>29</v>
      </c>
      <c r="B30" t="s">
        <v>427</v>
      </c>
      <c r="C30" s="66">
        <v>45473</v>
      </c>
      <c r="D30" s="5" t="s">
        <v>402</v>
      </c>
      <c r="E30">
        <v>9</v>
      </c>
      <c r="F30">
        <v>22</v>
      </c>
      <c r="G30" t="s">
        <v>395</v>
      </c>
      <c r="H30" s="86">
        <v>1</v>
      </c>
      <c r="I30">
        <v>20</v>
      </c>
      <c r="J30">
        <v>6</v>
      </c>
      <c r="K30">
        <v>1</v>
      </c>
      <c r="L30">
        <f>COUNTIF(Visits!S:S,Sessions!A30)</f>
        <v>0</v>
      </c>
      <c r="M30" t="s">
        <v>428</v>
      </c>
    </row>
    <row r="31" spans="1:13" ht="15.75" customHeight="1" x14ac:dyDescent="0.2">
      <c r="A31" s="8">
        <v>30</v>
      </c>
      <c r="B31" t="s">
        <v>429</v>
      </c>
      <c r="C31" s="66">
        <v>45450</v>
      </c>
      <c r="D31" s="5" t="s">
        <v>400</v>
      </c>
      <c r="E31">
        <v>6</v>
      </c>
      <c r="F31">
        <v>15</v>
      </c>
      <c r="G31" t="s">
        <v>415</v>
      </c>
      <c r="H31" s="86">
        <v>6</v>
      </c>
      <c r="J31">
        <v>4</v>
      </c>
      <c r="K31">
        <v>1</v>
      </c>
      <c r="L31">
        <f>COUNTIF(Visits!S:S,Sessions!A31)</f>
        <v>0</v>
      </c>
    </row>
    <row r="32" spans="1:13" ht="15.75" customHeight="1" x14ac:dyDescent="0.2">
      <c r="A32" s="8">
        <v>31</v>
      </c>
      <c r="B32" t="s">
        <v>430</v>
      </c>
      <c r="C32" s="66">
        <v>45467</v>
      </c>
      <c r="D32" s="5" t="s">
        <v>400</v>
      </c>
      <c r="E32">
        <v>6</v>
      </c>
      <c r="F32">
        <v>15</v>
      </c>
      <c r="G32" t="s">
        <v>396</v>
      </c>
      <c r="H32" s="86">
        <v>5</v>
      </c>
      <c r="I32">
        <v>15</v>
      </c>
      <c r="J32">
        <v>6</v>
      </c>
      <c r="K32">
        <v>1</v>
      </c>
      <c r="L32">
        <f>COUNTIF(Visits!S:S,Sessions!A32)</f>
        <v>0</v>
      </c>
    </row>
    <row r="33" spans="8:12" ht="15.75" customHeight="1" x14ac:dyDescent="0.2">
      <c r="H33" s="86"/>
      <c r="L33">
        <f>COUNTIF(Visits!S:S,Sessions!A33)</f>
        <v>52</v>
      </c>
    </row>
    <row r="34" spans="8:12" ht="15.75" customHeight="1" x14ac:dyDescent="0.2">
      <c r="H34" s="86"/>
      <c r="L34">
        <f>COUNTIF(Visits!S:S,Sessions!A34)</f>
        <v>52</v>
      </c>
    </row>
    <row r="35" spans="8:12" ht="15.75" customHeight="1" x14ac:dyDescent="0.2">
      <c r="H35" s="86"/>
      <c r="L35">
        <f>COUNTIF(Visits!S:S,Sessions!A35)</f>
        <v>52</v>
      </c>
    </row>
    <row r="36" spans="8:12" ht="15.75" customHeight="1" x14ac:dyDescent="0.2">
      <c r="H36" s="86"/>
      <c r="L36">
        <f>COUNTIF(Visits!S:S,Sessions!A36)</f>
        <v>52</v>
      </c>
    </row>
    <row r="37" spans="8:12" ht="15.75" customHeight="1" x14ac:dyDescent="0.2">
      <c r="L37">
        <f>COUNTIF(Visits!S:S,Sessions!A37)</f>
        <v>52</v>
      </c>
    </row>
    <row r="38" spans="8:12" ht="15.75" customHeight="1" x14ac:dyDescent="0.2">
      <c r="L38">
        <f>COUNTIF(Visits!S:S,Sessions!A38)</f>
        <v>52</v>
      </c>
    </row>
    <row r="39" spans="8:12" ht="15.75" customHeight="1" x14ac:dyDescent="0.2">
      <c r="L39">
        <f>COUNTIF(Visits!S:S,Sessions!A39)</f>
        <v>52</v>
      </c>
    </row>
    <row r="40" spans="8:12" ht="15.75" customHeight="1" x14ac:dyDescent="0.2">
      <c r="L40">
        <f>COUNTIF(Visits!S:S,Sessions!A40)</f>
        <v>52</v>
      </c>
    </row>
    <row r="41" spans="8:12" ht="15.75" customHeight="1" x14ac:dyDescent="0.2">
      <c r="L41">
        <f>COUNTIF(Visits!S:S,Sessions!A41)</f>
        <v>52</v>
      </c>
    </row>
    <row r="42" spans="8:12" ht="15.75" customHeight="1" x14ac:dyDescent="0.2">
      <c r="L42">
        <f>COUNTIF(Visits!S:S,Sessions!A42)</f>
        <v>52</v>
      </c>
    </row>
    <row r="43" spans="8:12" ht="15.75" customHeight="1" x14ac:dyDescent="0.2">
      <c r="L43">
        <f>COUNTIF(Visits!S:S,Sessions!A43)</f>
        <v>52</v>
      </c>
    </row>
    <row r="44" spans="8:12" ht="15.75" customHeight="1" x14ac:dyDescent="0.2">
      <c r="L44">
        <f>COUNTIF(Visits!S:S,Sessions!A44)</f>
        <v>52</v>
      </c>
    </row>
    <row r="45" spans="8:12" ht="15.75" customHeight="1" x14ac:dyDescent="0.2">
      <c r="L45">
        <f>COUNTIF(Visits!S:S,Sessions!A45)</f>
        <v>52</v>
      </c>
    </row>
    <row r="46" spans="8:12" ht="15.75" customHeight="1" x14ac:dyDescent="0.2">
      <c r="L46">
        <f>COUNTIF(Visits!S:S,Sessions!A46)</f>
        <v>52</v>
      </c>
    </row>
    <row r="47" spans="8:12" ht="15.75" customHeight="1" x14ac:dyDescent="0.2">
      <c r="L47">
        <f>COUNTIF(Visits!S:S,Sessions!A47)</f>
        <v>52</v>
      </c>
    </row>
    <row r="48" spans="8:12" ht="15.75" customHeight="1" x14ac:dyDescent="0.2">
      <c r="L48">
        <f>COUNTIF(Visits!S:S,Sessions!A48)</f>
        <v>52</v>
      </c>
    </row>
    <row r="49" spans="12:12" ht="15.75" customHeight="1" x14ac:dyDescent="0.2">
      <c r="L49">
        <f>COUNTIF(Visits!S:S,Sessions!A49)</f>
        <v>52</v>
      </c>
    </row>
    <row r="50" spans="12:12" ht="15.75" customHeight="1" x14ac:dyDescent="0.2">
      <c r="L50">
        <f>COUNTIF(Visits!S:S,Sessions!A50)</f>
        <v>52</v>
      </c>
    </row>
    <row r="51" spans="12:12" ht="15.75" customHeight="1" x14ac:dyDescent="0.2">
      <c r="L51">
        <f>COUNTIF(Visits!S:S,Sessions!A51)</f>
        <v>52</v>
      </c>
    </row>
    <row r="52" spans="12:12" ht="15.75" customHeight="1" x14ac:dyDescent="0.2">
      <c r="L52">
        <f>COUNTIF(Visits!S:S,Sessions!A52)</f>
        <v>52</v>
      </c>
    </row>
    <row r="53" spans="12:12" ht="15.75" customHeight="1" x14ac:dyDescent="0.2">
      <c r="L53">
        <f>COUNTIF(Visits!S:S,Sessions!A53)</f>
        <v>52</v>
      </c>
    </row>
    <row r="54" spans="12:12" ht="15.75" customHeight="1" x14ac:dyDescent="0.2">
      <c r="L54">
        <f>COUNTIF(Visits!S:S,Sessions!A54)</f>
        <v>52</v>
      </c>
    </row>
    <row r="55" spans="12:12" ht="15.75" customHeight="1" x14ac:dyDescent="0.2">
      <c r="L55">
        <f>COUNTIF(Visits!S:S,Sessions!A55)</f>
        <v>52</v>
      </c>
    </row>
    <row r="56" spans="12:12" ht="15.75" customHeight="1" x14ac:dyDescent="0.2">
      <c r="L56">
        <f>COUNTIF(Visits!S:S,Sessions!A56)</f>
        <v>52</v>
      </c>
    </row>
    <row r="57" spans="12:12" ht="15.75" customHeight="1" x14ac:dyDescent="0.2">
      <c r="L57">
        <f>COUNTIF(Visits!S:S,Sessions!A57)</f>
        <v>52</v>
      </c>
    </row>
    <row r="58" spans="12:12" ht="15.75" customHeight="1" x14ac:dyDescent="0.2">
      <c r="L58">
        <f>COUNTIF(Visits!S:S,Sessions!A58)</f>
        <v>52</v>
      </c>
    </row>
    <row r="59" spans="12:12" ht="15.75" customHeight="1" x14ac:dyDescent="0.2">
      <c r="L59">
        <f>COUNTIF(Visits!S:S,Sessions!A59)</f>
        <v>52</v>
      </c>
    </row>
    <row r="60" spans="12:12" ht="15.75" customHeight="1" x14ac:dyDescent="0.2">
      <c r="L60">
        <f>COUNTIF(Visits!S:S,Sessions!A60)</f>
        <v>52</v>
      </c>
    </row>
    <row r="61" spans="12:12" ht="15.75" customHeight="1" x14ac:dyDescent="0.2">
      <c r="L61">
        <f>COUNTIF(Visits!S:S,Sessions!A61)</f>
        <v>52</v>
      </c>
    </row>
    <row r="62" spans="12:12" ht="15.75" customHeight="1" x14ac:dyDescent="0.2">
      <c r="L62">
        <f>COUNTIF(Visits!S:S,Sessions!A62)</f>
        <v>52</v>
      </c>
    </row>
    <row r="63" spans="12:12" ht="15.75" customHeight="1" x14ac:dyDescent="0.2">
      <c r="L63">
        <f>COUNTIF(Visits!S:S,Sessions!A63)</f>
        <v>52</v>
      </c>
    </row>
    <row r="64" spans="12:12" ht="15.75" customHeight="1" x14ac:dyDescent="0.2">
      <c r="L64">
        <f>COUNTIF(Visits!S:S,Sessions!A64)</f>
        <v>52</v>
      </c>
    </row>
    <row r="65" spans="12:12" ht="15.75" customHeight="1" x14ac:dyDescent="0.2">
      <c r="L65">
        <f>COUNTIF(Visits!S:S,Sessions!A65)</f>
        <v>52</v>
      </c>
    </row>
    <row r="66" spans="12:12" ht="15.75" customHeight="1" x14ac:dyDescent="0.2">
      <c r="L66">
        <f>COUNTIF(Visits!S:S,Sessions!A66)</f>
        <v>52</v>
      </c>
    </row>
    <row r="67" spans="12:12" ht="15.75" customHeight="1" x14ac:dyDescent="0.2">
      <c r="L67">
        <f>COUNTIF(Visits!S:S,Sessions!A67)</f>
        <v>52</v>
      </c>
    </row>
    <row r="68" spans="12:12" ht="15.75" customHeight="1" x14ac:dyDescent="0.2">
      <c r="L68">
        <f>COUNTIF(Visits!S:S,Sessions!A68)</f>
        <v>52</v>
      </c>
    </row>
    <row r="69" spans="12:12" ht="15.75" customHeight="1" x14ac:dyDescent="0.2">
      <c r="L69">
        <f>COUNTIF(Visits!S:S,Sessions!A69)</f>
        <v>52</v>
      </c>
    </row>
  </sheetData>
  <autoFilter ref="A1:O69" xr:uid="{744124B6-E9A6-BA46-ABA6-144AA727E451}"/>
  <sortState xmlns:xlrd2="http://schemas.microsoft.com/office/spreadsheetml/2017/richdata2" ref="A2:I1048575">
    <sortCondition ref="I2:I104857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478-8974-4158-8A7A-467773E4A647}">
  <sheetPr>
    <tabColor rgb="FFFFFF00"/>
  </sheetPr>
  <dimension ref="A1:F171"/>
  <sheetViews>
    <sheetView zoomScale="130" zoomScaleNormal="130" workbookViewId="0">
      <selection activeCell="C12" sqref="C12"/>
    </sheetView>
  </sheetViews>
  <sheetFormatPr baseColWidth="10" defaultColWidth="11" defaultRowHeight="16" x14ac:dyDescent="0.2"/>
  <cols>
    <col min="1" max="1" width="35.83203125" style="17" bestFit="1" customWidth="1"/>
    <col min="2" max="2" width="14.33203125" style="17" bestFit="1" customWidth="1"/>
    <col min="3" max="3" width="20.33203125" style="17" bestFit="1" customWidth="1"/>
    <col min="4" max="4" width="18.5" style="28" customWidth="1"/>
    <col min="5" max="5" width="25.33203125" customWidth="1"/>
    <col min="6" max="6" width="12.6640625" customWidth="1"/>
  </cols>
  <sheetData>
    <row r="1" spans="1:6" s="11" customFormat="1" x14ac:dyDescent="0.2">
      <c r="A1" s="16" t="s">
        <v>431</v>
      </c>
      <c r="B1" s="16" t="s">
        <v>95</v>
      </c>
      <c r="C1" s="16" t="s">
        <v>96</v>
      </c>
      <c r="D1" s="26" t="s">
        <v>432</v>
      </c>
      <c r="E1" s="11" t="s">
        <v>6</v>
      </c>
      <c r="F1" s="11" t="s">
        <v>433</v>
      </c>
    </row>
    <row r="2" spans="1:6" x14ac:dyDescent="0.2">
      <c r="A2" s="17" t="s">
        <v>122</v>
      </c>
      <c r="B2" s="18" t="s">
        <v>198</v>
      </c>
      <c r="C2" s="18" t="s">
        <v>199</v>
      </c>
      <c r="D2" s="27" t="s">
        <v>434</v>
      </c>
      <c r="E2" t="str">
        <f>B2&amp;" "&amp;C2</f>
        <v>Aidana Kassymova</v>
      </c>
      <c r="F2" t="str">
        <f>IF(IFERROR(VLOOKUP(Users!E2,Credits!A:A,1,FALSE),"NO")="NO","NO","YES")</f>
        <v>YES</v>
      </c>
    </row>
    <row r="3" spans="1:6" x14ac:dyDescent="0.2">
      <c r="A3" s="17" t="s">
        <v>124</v>
      </c>
      <c r="B3" s="17" t="s">
        <v>299</v>
      </c>
      <c r="C3" s="17" t="s">
        <v>300</v>
      </c>
      <c r="E3" t="str">
        <f t="shared" ref="E3:E54" si="0">B3&amp;" "&amp;C3</f>
        <v>Aleksejs Pleskovs</v>
      </c>
      <c r="F3" t="str">
        <f>IF(IFERROR(VLOOKUP(Users!E3,Credits!A:A,1,FALSE),"NO")="NO","NO","YES")</f>
        <v>NO</v>
      </c>
    </row>
    <row r="4" spans="1:6" x14ac:dyDescent="0.2">
      <c r="B4" s="17" t="s">
        <v>435</v>
      </c>
      <c r="C4" s="17" t="s">
        <v>436</v>
      </c>
      <c r="D4" s="28" t="s">
        <v>437</v>
      </c>
      <c r="E4" t="str">
        <f t="shared" si="0"/>
        <v>Ali Damirzada</v>
      </c>
      <c r="F4" t="str">
        <f>IF(IFERROR(VLOOKUP(Users!E4,Credits!A:A,1,FALSE),"NO")="NO","NO","YES")</f>
        <v>NO</v>
      </c>
    </row>
    <row r="5" spans="1:6" x14ac:dyDescent="0.2">
      <c r="A5" s="18" t="s">
        <v>170</v>
      </c>
      <c r="B5" s="18" t="s">
        <v>231</v>
      </c>
      <c r="C5" s="18" t="s">
        <v>232</v>
      </c>
      <c r="D5" s="27" t="s">
        <v>438</v>
      </c>
      <c r="E5" t="str">
        <f t="shared" si="0"/>
        <v>Alina Galimova</v>
      </c>
      <c r="F5" t="str">
        <f>IF(IFERROR(VLOOKUP(Users!E5,Credits!A:A,1,FALSE),"NO")="NO","NO","YES")</f>
        <v>NO</v>
      </c>
    </row>
    <row r="6" spans="1:6" x14ac:dyDescent="0.2">
      <c r="A6" s="112" t="s">
        <v>439</v>
      </c>
      <c r="B6" s="17" t="s">
        <v>231</v>
      </c>
      <c r="C6" s="17" t="s">
        <v>440</v>
      </c>
      <c r="D6" s="28" t="s">
        <v>441</v>
      </c>
      <c r="E6" t="str">
        <f t="shared" si="0"/>
        <v>Alina Flatscher</v>
      </c>
      <c r="F6" t="str">
        <f>IF(IFERROR(VLOOKUP(Users!E6,Credits!A:A,1,FALSE),"NO")="NO","NO","YES")</f>
        <v>NO</v>
      </c>
    </row>
    <row r="7" spans="1:6" x14ac:dyDescent="0.2">
      <c r="A7" t="s">
        <v>442</v>
      </c>
      <c r="B7" s="17" t="s">
        <v>443</v>
      </c>
      <c r="C7" s="17" t="s">
        <v>444</v>
      </c>
      <c r="D7" s="28" t="s">
        <v>445</v>
      </c>
      <c r="E7" t="str">
        <f t="shared" si="0"/>
        <v>Ana Vasques</v>
      </c>
      <c r="F7" t="str">
        <f>IF(IFERROR(VLOOKUP(Users!E7,Credits!A:A,1,FALSE),"NO")="NO","NO","YES")</f>
        <v>NO</v>
      </c>
    </row>
    <row r="8" spans="1:6" x14ac:dyDescent="0.2">
      <c r="A8" s="18" t="s">
        <v>162</v>
      </c>
      <c r="B8" s="18" t="s">
        <v>233</v>
      </c>
      <c r="C8" s="18" t="s">
        <v>234</v>
      </c>
      <c r="D8" s="27" t="s">
        <v>446</v>
      </c>
      <c r="E8" t="str">
        <f t="shared" si="0"/>
        <v>Anahita Yousefi</v>
      </c>
      <c r="F8" t="str">
        <f>IF(IFERROR(VLOOKUP(Users!E8,Credits!A:A,1,FALSE),"NO")="NO","NO","YES")</f>
        <v>NO</v>
      </c>
    </row>
    <row r="9" spans="1:6" x14ac:dyDescent="0.2">
      <c r="A9" s="18" t="s">
        <v>129</v>
      </c>
      <c r="B9" s="18" t="s">
        <v>261</v>
      </c>
      <c r="C9" s="18" t="s">
        <v>262</v>
      </c>
      <c r="D9" s="27"/>
      <c r="E9" t="str">
        <f t="shared" si="0"/>
        <v>Anaita Agatic</v>
      </c>
      <c r="F9" t="str">
        <f>IF(IFERROR(VLOOKUP(Users!E9,Credits!A:A,1,FALSE),"NO")="NO","NO","YES")</f>
        <v>NO</v>
      </c>
    </row>
    <row r="10" spans="1:6" x14ac:dyDescent="0.2">
      <c r="A10" s="18" t="s">
        <v>159</v>
      </c>
      <c r="B10" s="18" t="s">
        <v>288</v>
      </c>
      <c r="C10" s="18" t="s">
        <v>289</v>
      </c>
      <c r="D10" s="27" t="s">
        <v>447</v>
      </c>
      <c r="E10" t="str">
        <f t="shared" si="0"/>
        <v>Anamaria Parsons</v>
      </c>
      <c r="F10" t="str">
        <f>IF(IFERROR(VLOOKUP(Users!E10,Credits!A:A,1,FALSE),"NO")="NO","NO","YES")</f>
        <v>NO</v>
      </c>
    </row>
    <row r="11" spans="1:6" x14ac:dyDescent="0.2">
      <c r="A11" s="18" t="s">
        <v>172</v>
      </c>
      <c r="B11" s="18" t="s">
        <v>235</v>
      </c>
      <c r="C11" s="18" t="s">
        <v>236</v>
      </c>
      <c r="D11" s="27" t="s">
        <v>448</v>
      </c>
      <c r="E11" t="str">
        <f t="shared" si="0"/>
        <v>Andrew Hetherington</v>
      </c>
      <c r="F11" t="str">
        <f>IF(IFERROR(VLOOKUP(Users!E11,Credits!A:A,1,FALSE),"NO")="NO","NO","YES")</f>
        <v>NO</v>
      </c>
    </row>
    <row r="12" spans="1:6" x14ac:dyDescent="0.2">
      <c r="A12" s="112" t="s">
        <v>449</v>
      </c>
      <c r="B12" s="17" t="s">
        <v>235</v>
      </c>
      <c r="C12" s="17" t="s">
        <v>450</v>
      </c>
      <c r="D12" s="28" t="s">
        <v>451</v>
      </c>
      <c r="E12" t="str">
        <f t="shared" si="0"/>
        <v>Andrew Ikonnikov</v>
      </c>
      <c r="F12" t="str">
        <f>IF(IFERROR(VLOOKUP(Users!E12,Credits!A:A,1,FALSE),"NO")="NO","NO","YES")</f>
        <v>NO</v>
      </c>
    </row>
    <row r="13" spans="1:6" x14ac:dyDescent="0.2">
      <c r="A13" t="s">
        <v>452</v>
      </c>
      <c r="B13" s="18" t="s">
        <v>453</v>
      </c>
      <c r="C13" s="18" t="s">
        <v>225</v>
      </c>
      <c r="D13">
        <v>7730398818</v>
      </c>
      <c r="E13" t="str">
        <f t="shared" si="0"/>
        <v>Angela Kiva</v>
      </c>
      <c r="F13" t="str">
        <f>IF(IFERROR(VLOOKUP(Users!E13,Credits!A:A,1,FALSE),"NO")="NO","NO","YES")</f>
        <v>YES</v>
      </c>
    </row>
    <row r="14" spans="1:6" x14ac:dyDescent="0.2">
      <c r="A14" s="112" t="s">
        <v>454</v>
      </c>
      <c r="B14" s="17" t="s">
        <v>455</v>
      </c>
      <c r="C14" s="17" t="s">
        <v>456</v>
      </c>
      <c r="D14" s="28" t="s">
        <v>457</v>
      </c>
      <c r="E14" t="str">
        <f t="shared" si="0"/>
        <v>Anisha Sood</v>
      </c>
      <c r="F14" t="str">
        <f>IF(IFERROR(VLOOKUP(Users!E14,Credits!A:A,1,FALSE),"NO")="NO","NO","YES")</f>
        <v>NO</v>
      </c>
    </row>
    <row r="15" spans="1:6" x14ac:dyDescent="0.2">
      <c r="A15" t="s">
        <v>155</v>
      </c>
      <c r="B15" s="18" t="s">
        <v>237</v>
      </c>
      <c r="C15" s="18" t="s">
        <v>238</v>
      </c>
      <c r="D15" s="27" t="s">
        <v>458</v>
      </c>
      <c r="E15" t="str">
        <f t="shared" si="0"/>
        <v>Audrey Hutabarat</v>
      </c>
      <c r="F15" t="str">
        <f>IF(IFERROR(VLOOKUP(Users!E15,Credits!A:A,1,FALSE),"NO")="NO","NO","YES")</f>
        <v>NO</v>
      </c>
    </row>
    <row r="16" spans="1:6" x14ac:dyDescent="0.2">
      <c r="A16" s="112" t="s">
        <v>459</v>
      </c>
      <c r="B16" s="17" t="s">
        <v>460</v>
      </c>
      <c r="C16" s="17" t="s">
        <v>461</v>
      </c>
      <c r="D16" s="28" t="s">
        <v>462</v>
      </c>
      <c r="E16" t="str">
        <f t="shared" si="0"/>
        <v>Bev McCrory</v>
      </c>
      <c r="F16" t="str">
        <f>IF(IFERROR(VLOOKUP(Users!E16,Credits!A:A,1,FALSE),"NO")="NO","NO","YES")</f>
        <v>NO</v>
      </c>
    </row>
    <row r="17" spans="1:6" x14ac:dyDescent="0.2">
      <c r="A17" s="112" t="s">
        <v>463</v>
      </c>
      <c r="B17" s="17" t="s">
        <v>464</v>
      </c>
      <c r="C17" s="17" t="s">
        <v>465</v>
      </c>
      <c r="D17" s="28" t="s">
        <v>466</v>
      </c>
      <c r="E17" t="str">
        <f t="shared" si="0"/>
        <v>Camilla Carrapatoso</v>
      </c>
      <c r="F17" t="str">
        <f>IF(IFERROR(VLOOKUP(Users!E17,Credits!A:A,1,FALSE),"NO")="NO","NO","YES")</f>
        <v>NO</v>
      </c>
    </row>
    <row r="18" spans="1:6" x14ac:dyDescent="0.2">
      <c r="A18" s="18" t="s">
        <v>148</v>
      </c>
      <c r="B18" s="18" t="s">
        <v>239</v>
      </c>
      <c r="C18" s="18" t="s">
        <v>240</v>
      </c>
      <c r="D18" s="27" t="s">
        <v>467</v>
      </c>
      <c r="E18" t="str">
        <f t="shared" si="0"/>
        <v>Cecilia Lee</v>
      </c>
      <c r="F18" t="str">
        <f>IF(IFERROR(VLOOKUP(Users!E18,Credits!A:A,1,FALSE),"NO")="NO","NO","YES")</f>
        <v>NO</v>
      </c>
    </row>
    <row r="19" spans="1:6" x14ac:dyDescent="0.2">
      <c r="A19" s="112" t="s">
        <v>468</v>
      </c>
      <c r="B19" s="17" t="s">
        <v>469</v>
      </c>
      <c r="C19" s="17" t="s">
        <v>470</v>
      </c>
      <c r="D19" s="28" t="s">
        <v>471</v>
      </c>
      <c r="E19" t="str">
        <f t="shared" si="0"/>
        <v>Celia Sattamino</v>
      </c>
      <c r="F19" t="str">
        <f>IF(IFERROR(VLOOKUP(Users!E19,Credits!A:A,1,FALSE),"NO")="NO","NO","YES")</f>
        <v>NO</v>
      </c>
    </row>
    <row r="20" spans="1:6" x14ac:dyDescent="0.2">
      <c r="A20" s="18" t="s">
        <v>127</v>
      </c>
      <c r="B20" s="18" t="s">
        <v>216</v>
      </c>
      <c r="C20" s="18" t="s">
        <v>217</v>
      </c>
      <c r="D20" s="27" t="s">
        <v>472</v>
      </c>
      <c r="E20" t="str">
        <f t="shared" si="0"/>
        <v>Claire Couchman</v>
      </c>
      <c r="F20" t="str">
        <f>IF(IFERROR(VLOOKUP(Users!E20,Credits!A:A,1,FALSE),"NO")="NO","NO","YES")</f>
        <v>YES</v>
      </c>
    </row>
    <row r="21" spans="1:6" x14ac:dyDescent="0.2">
      <c r="A21" s="18" t="s">
        <v>138</v>
      </c>
      <c r="B21" s="18" t="s">
        <v>229</v>
      </c>
      <c r="C21" s="18" t="s">
        <v>229</v>
      </c>
      <c r="D21" s="27" t="s">
        <v>473</v>
      </c>
      <c r="E21" t="str">
        <f t="shared" si="0"/>
        <v>Claudia Claudia</v>
      </c>
      <c r="F21" t="str">
        <f>IF(IFERROR(VLOOKUP(Users!E21,Credits!A:A,1,FALSE),"NO")="NO","NO","YES")</f>
        <v>NO</v>
      </c>
    </row>
    <row r="22" spans="1:6" x14ac:dyDescent="0.2">
      <c r="A22" s="112" t="s">
        <v>474</v>
      </c>
      <c r="B22" s="17" t="s">
        <v>475</v>
      </c>
      <c r="C22" s="17" t="s">
        <v>476</v>
      </c>
      <c r="E22" t="str">
        <f t="shared" si="0"/>
        <v>Corneliu Civig</v>
      </c>
      <c r="F22" t="str">
        <f>IF(IFERROR(VLOOKUP(Users!E22,Credits!A:A,1,FALSE),"NO")="NO","NO","YES")</f>
        <v>NO</v>
      </c>
    </row>
    <row r="23" spans="1:6" x14ac:dyDescent="0.2">
      <c r="A23" s="18" t="s">
        <v>119</v>
      </c>
      <c r="B23" s="18" t="s">
        <v>200</v>
      </c>
      <c r="C23" s="18" t="s">
        <v>201</v>
      </c>
      <c r="D23" s="27" t="s">
        <v>477</v>
      </c>
      <c r="E23" t="str">
        <f t="shared" si="0"/>
        <v>Daniel Lugg</v>
      </c>
      <c r="F23" t="str">
        <f>IF(IFERROR(VLOOKUP(Users!E23,Credits!A:A,1,FALSE),"NO")="NO","NO","YES")</f>
        <v>YES</v>
      </c>
    </row>
    <row r="24" spans="1:6" x14ac:dyDescent="0.2">
      <c r="A24" s="112" t="s">
        <v>478</v>
      </c>
      <c r="B24" s="17" t="s">
        <v>200</v>
      </c>
      <c r="C24" s="17" t="s">
        <v>479</v>
      </c>
      <c r="D24" s="28" t="s">
        <v>480</v>
      </c>
      <c r="E24" t="str">
        <f t="shared" si="0"/>
        <v>Daniel Dmello</v>
      </c>
      <c r="F24" t="str">
        <f>IF(IFERROR(VLOOKUP(Users!E24,Credits!A:A,1,FALSE),"NO")="NO","NO","YES")</f>
        <v>NO</v>
      </c>
    </row>
    <row r="25" spans="1:6" x14ac:dyDescent="0.2">
      <c r="A25" s="18" t="s">
        <v>144</v>
      </c>
      <c r="B25" s="18" t="s">
        <v>211</v>
      </c>
      <c r="C25" s="18" t="s">
        <v>212</v>
      </c>
      <c r="D25" s="27" t="s">
        <v>481</v>
      </c>
      <c r="E25" t="str">
        <f t="shared" si="0"/>
        <v>Daniela Jones</v>
      </c>
      <c r="F25" t="str">
        <f>IF(IFERROR(VLOOKUP(Users!E25,Credits!A:A,1,FALSE),"NO")="NO","NO","YES")</f>
        <v>YES</v>
      </c>
    </row>
    <row r="26" spans="1:6" x14ac:dyDescent="0.2">
      <c r="A26" s="18" t="s">
        <v>154</v>
      </c>
      <c r="B26" s="18" t="s">
        <v>308</v>
      </c>
      <c r="C26" s="18" t="s">
        <v>309</v>
      </c>
      <c r="D26" s="27"/>
      <c r="E26" t="str">
        <f t="shared" si="0"/>
        <v>David Barden</v>
      </c>
      <c r="F26" t="str">
        <f>IF(IFERROR(VLOOKUP(Users!E26,Credits!A:A,1,FALSE),"NO")="NO","NO","YES")</f>
        <v>NO</v>
      </c>
    </row>
    <row r="27" spans="1:6" x14ac:dyDescent="0.2">
      <c r="A27" s="112" t="s">
        <v>482</v>
      </c>
      <c r="B27" s="17" t="s">
        <v>483</v>
      </c>
      <c r="C27" s="17" t="s">
        <v>440</v>
      </c>
      <c r="D27" s="28" t="s">
        <v>484</v>
      </c>
      <c r="E27" t="str">
        <f t="shared" si="0"/>
        <v>David  Flatscher</v>
      </c>
      <c r="F27" t="str">
        <f>IF(IFERROR(VLOOKUP(Users!E27,Credits!A:A,1,FALSE),"NO")="NO","NO","YES")</f>
        <v>NO</v>
      </c>
    </row>
    <row r="28" spans="1:6" x14ac:dyDescent="0.2">
      <c r="A28" s="18" t="s">
        <v>163</v>
      </c>
      <c r="B28" s="18" t="s">
        <v>271</v>
      </c>
      <c r="C28" s="18" t="s">
        <v>272</v>
      </c>
      <c r="D28" s="27" t="s">
        <v>485</v>
      </c>
      <c r="E28" t="str">
        <f t="shared" si="0"/>
        <v>Davide Veronese</v>
      </c>
      <c r="F28" t="str">
        <f>IF(IFERROR(VLOOKUP(Users!E28,Credits!A:A,1,FALSE),"NO")="NO","NO","YES")</f>
        <v>NO</v>
      </c>
    </row>
    <row r="29" spans="1:6" x14ac:dyDescent="0.2">
      <c r="A29" s="17" t="s">
        <v>486</v>
      </c>
      <c r="B29" s="17" t="s">
        <v>487</v>
      </c>
      <c r="C29" s="17" t="s">
        <v>488</v>
      </c>
      <c r="D29" s="28" t="s">
        <v>489</v>
      </c>
      <c r="E29" t="str">
        <f t="shared" si="0"/>
        <v>Dildeep Singh</v>
      </c>
      <c r="F29" t="str">
        <f>IF(IFERROR(VLOOKUP(Users!E29,Credits!A:A,1,FALSE),"NO")="NO","NO","YES")</f>
        <v>YES</v>
      </c>
    </row>
    <row r="30" spans="1:6" x14ac:dyDescent="0.2">
      <c r="A30" s="112" t="s">
        <v>490</v>
      </c>
      <c r="B30" s="17" t="s">
        <v>491</v>
      </c>
      <c r="C30" s="17" t="s">
        <v>492</v>
      </c>
      <c r="D30" s="28" t="s">
        <v>493</v>
      </c>
      <c r="E30" t="str">
        <f t="shared" si="0"/>
        <v>Donna Achara</v>
      </c>
      <c r="F30" t="str">
        <f>IF(IFERROR(VLOOKUP(Users!E30,Credits!A:A,1,FALSE),"NO")="NO","NO","YES")</f>
        <v>NO</v>
      </c>
    </row>
    <row r="31" spans="1:6" x14ac:dyDescent="0.2">
      <c r="A31" s="18" t="s">
        <v>171</v>
      </c>
      <c r="B31" s="18" t="s">
        <v>257</v>
      </c>
      <c r="C31" s="18" t="s">
        <v>258</v>
      </c>
      <c r="D31" s="27" t="s">
        <v>494</v>
      </c>
      <c r="E31" t="str">
        <f t="shared" si="0"/>
        <v>Egemen U</v>
      </c>
      <c r="F31" t="str">
        <f>IF(IFERROR(VLOOKUP(Users!E31,Credits!A:A,1,FALSE),"NO")="NO","NO","YES")</f>
        <v>NO</v>
      </c>
    </row>
    <row r="32" spans="1:6" x14ac:dyDescent="0.2">
      <c r="A32" s="112" t="s">
        <v>495</v>
      </c>
      <c r="B32" s="17" t="s">
        <v>496</v>
      </c>
      <c r="C32" s="17" t="s">
        <v>497</v>
      </c>
      <c r="D32" s="28" t="s">
        <v>498</v>
      </c>
      <c r="E32" t="str">
        <f t="shared" si="0"/>
        <v>Ejike Onuchukwu</v>
      </c>
      <c r="F32" t="str">
        <f>IF(IFERROR(VLOOKUP(Users!E32,Credits!A:A,1,FALSE),"NO")="NO","NO","YES")</f>
        <v>NO</v>
      </c>
    </row>
    <row r="33" spans="1:6" x14ac:dyDescent="0.2">
      <c r="A33" t="s">
        <v>499</v>
      </c>
      <c r="B33" s="17" t="s">
        <v>241</v>
      </c>
      <c r="C33" s="17" t="s">
        <v>500</v>
      </c>
      <c r="D33" s="28" t="s">
        <v>501</v>
      </c>
      <c r="E33" t="str">
        <f t="shared" si="0"/>
        <v>Elena Dementeva</v>
      </c>
      <c r="F33" t="str">
        <f>IF(IFERROR(VLOOKUP(Users!E33,Credits!A:A,1,FALSE),"NO")="NO","NO","YES")</f>
        <v>YES</v>
      </c>
    </row>
    <row r="34" spans="1:6" x14ac:dyDescent="0.2">
      <c r="A34" s="18" t="s">
        <v>168</v>
      </c>
      <c r="B34" s="18" t="s">
        <v>241</v>
      </c>
      <c r="C34" s="18" t="s">
        <v>242</v>
      </c>
      <c r="D34" s="27" t="s">
        <v>502</v>
      </c>
      <c r="E34" t="str">
        <f t="shared" si="0"/>
        <v>Elena Kuvshinnikova</v>
      </c>
      <c r="F34" t="str">
        <f>IF(IFERROR(VLOOKUP(Users!E34,Credits!A:A,1,FALSE),"NO")="NO","NO","YES")</f>
        <v>NO</v>
      </c>
    </row>
    <row r="35" spans="1:6" x14ac:dyDescent="0.2">
      <c r="A35" s="112" t="s">
        <v>503</v>
      </c>
      <c r="B35" s="17" t="s">
        <v>504</v>
      </c>
      <c r="C35" s="17" t="s">
        <v>505</v>
      </c>
      <c r="D35" s="28" t="s">
        <v>506</v>
      </c>
      <c r="E35" t="str">
        <f t="shared" si="0"/>
        <v>Emily White</v>
      </c>
      <c r="F35" t="str">
        <f>IF(IFERROR(VLOOKUP(Users!E35,Credits!A:A,1,FALSE),"NO")="NO","NO","YES")</f>
        <v>NO</v>
      </c>
    </row>
    <row r="36" spans="1:6" x14ac:dyDescent="0.2">
      <c r="A36" s="18" t="s">
        <v>145</v>
      </c>
      <c r="B36" s="18" t="s">
        <v>218</v>
      </c>
      <c r="C36" s="18" t="s">
        <v>219</v>
      </c>
      <c r="D36" s="27" t="s">
        <v>507</v>
      </c>
      <c r="E36" t="str">
        <f t="shared" si="0"/>
        <v>Eoghan Naughton</v>
      </c>
      <c r="F36" t="str">
        <f>IF(IFERROR(VLOOKUP(Users!E36,Credits!A:A,1,FALSE),"NO")="NO","NO","YES")</f>
        <v>YES</v>
      </c>
    </row>
    <row r="37" spans="1:6" x14ac:dyDescent="0.2">
      <c r="A37" s="17" t="s">
        <v>508</v>
      </c>
      <c r="B37" s="17" t="s">
        <v>509</v>
      </c>
      <c r="C37" s="17" t="s">
        <v>510</v>
      </c>
      <c r="D37" s="28">
        <v>19176000000</v>
      </c>
      <c r="E37" t="str">
        <f t="shared" si="0"/>
        <v>Esther Chen</v>
      </c>
      <c r="F37" t="str">
        <f>IF(IFERROR(VLOOKUP(Users!E37,Credits!A:A,1,FALSE),"NO")="NO","NO","YES")</f>
        <v>NO</v>
      </c>
    </row>
    <row r="38" spans="1:6" x14ac:dyDescent="0.2">
      <c r="A38" s="17" t="s">
        <v>511</v>
      </c>
      <c r="B38" s="17" t="s">
        <v>512</v>
      </c>
      <c r="C38" s="17" t="s">
        <v>513</v>
      </c>
      <c r="D38" s="28" t="s">
        <v>514</v>
      </c>
      <c r="E38" t="str">
        <f t="shared" si="0"/>
        <v>Eugenia Herman</v>
      </c>
      <c r="F38" t="str">
        <f>IF(IFERROR(VLOOKUP(Users!E38,Credits!A:A,1,FALSE),"NO")="NO","NO","YES")</f>
        <v>NO</v>
      </c>
    </row>
    <row r="39" spans="1:6" x14ac:dyDescent="0.2">
      <c r="A39" s="18" t="s">
        <v>152</v>
      </c>
      <c r="B39" s="18" t="s">
        <v>310</v>
      </c>
      <c r="C39" s="18" t="s">
        <v>311</v>
      </c>
      <c r="D39" s="27"/>
      <c r="E39" t="str">
        <f t="shared" si="0"/>
        <v>Ezgi Çakmak</v>
      </c>
      <c r="F39" t="str">
        <f>IF(IFERROR(VLOOKUP(Users!E39,Credits!A:A,1,FALSE),"NO")="NO","NO","YES")</f>
        <v>NO</v>
      </c>
    </row>
    <row r="40" spans="1:6" x14ac:dyDescent="0.2">
      <c r="A40" s="17" t="s">
        <v>515</v>
      </c>
      <c r="B40" s="17" t="s">
        <v>516</v>
      </c>
      <c r="C40" s="17" t="s">
        <v>517</v>
      </c>
      <c r="D40" s="28" t="s">
        <v>518</v>
      </c>
      <c r="E40" t="str">
        <f t="shared" si="0"/>
        <v>Federica Martini</v>
      </c>
      <c r="F40" t="str">
        <f>IF(IFERROR(VLOOKUP(Users!E40,Credits!A:A,1,FALSE),"NO")="NO","NO","YES")</f>
        <v>NO</v>
      </c>
    </row>
    <row r="41" spans="1:6" x14ac:dyDescent="0.2">
      <c r="B41" s="17" t="s">
        <v>519</v>
      </c>
      <c r="C41" s="17" t="s">
        <v>520</v>
      </c>
      <c r="D41" s="28" t="s">
        <v>521</v>
      </c>
      <c r="E41" t="str">
        <f t="shared" si="0"/>
        <v>Francesco Ruggiero</v>
      </c>
      <c r="F41" t="str">
        <f>IF(IFERROR(VLOOKUP(Users!E41,Credits!A:A,1,FALSE),"NO")="NO","NO","YES")</f>
        <v>NO</v>
      </c>
    </row>
    <row r="42" spans="1:6" x14ac:dyDescent="0.2">
      <c r="A42" t="s">
        <v>522</v>
      </c>
      <c r="B42" s="17" t="s">
        <v>523</v>
      </c>
      <c r="C42" s="17" t="s">
        <v>524</v>
      </c>
      <c r="D42" s="28" t="s">
        <v>525</v>
      </c>
      <c r="E42" t="str">
        <f t="shared" si="0"/>
        <v>Giacomo Saracchi</v>
      </c>
      <c r="F42" t="str">
        <f>IF(IFERROR(VLOOKUP(Users!E42,Credits!A:A,1,FALSE),"NO")="NO","NO","YES")</f>
        <v>NO</v>
      </c>
    </row>
    <row r="43" spans="1:6" x14ac:dyDescent="0.2">
      <c r="A43" t="s">
        <v>526</v>
      </c>
      <c r="B43" s="18" t="s">
        <v>527</v>
      </c>
      <c r="C43" s="18" t="s">
        <v>528</v>
      </c>
      <c r="D43">
        <v>7841262698</v>
      </c>
      <c r="E43" t="str">
        <f t="shared" si="0"/>
        <v>Gil K</v>
      </c>
      <c r="F43" t="str">
        <f>IF(IFERROR(VLOOKUP(Users!E43,Credits!A:A,1,FALSE),"NO")="NO","NO","YES")</f>
        <v>NO</v>
      </c>
    </row>
    <row r="44" spans="1:6" x14ac:dyDescent="0.2">
      <c r="A44" s="18" t="s">
        <v>158</v>
      </c>
      <c r="B44" s="18" t="s">
        <v>290</v>
      </c>
      <c r="C44" s="18" t="s">
        <v>291</v>
      </c>
      <c r="D44" s="27" t="s">
        <v>529</v>
      </c>
      <c r="E44" t="str">
        <f t="shared" si="0"/>
        <v>Hanna Niczyporuk</v>
      </c>
      <c r="F44" t="str">
        <f>IF(IFERROR(VLOOKUP(Users!E44,Credits!A:A,1,FALSE),"NO")="NO","NO","YES")</f>
        <v>NO</v>
      </c>
    </row>
    <row r="45" spans="1:6" x14ac:dyDescent="0.2">
      <c r="A45" t="s">
        <v>530</v>
      </c>
      <c r="B45" s="17" t="s">
        <v>307</v>
      </c>
      <c r="C45" s="17" t="s">
        <v>531</v>
      </c>
      <c r="D45" s="28" t="s">
        <v>532</v>
      </c>
      <c r="E45" t="str">
        <f t="shared" si="0"/>
        <v>Ioana Brezeanu</v>
      </c>
      <c r="F45" t="str">
        <f>IF(IFERROR(VLOOKUP(Users!E45,Credits!A:A,1,FALSE),"NO")="NO","NO","YES")</f>
        <v>YES</v>
      </c>
    </row>
    <row r="46" spans="1:6" x14ac:dyDescent="0.2">
      <c r="A46" s="18" t="s">
        <v>164</v>
      </c>
      <c r="B46" s="18" t="s">
        <v>273</v>
      </c>
      <c r="C46" s="18" t="s">
        <v>274</v>
      </c>
      <c r="D46" s="27" t="s">
        <v>533</v>
      </c>
      <c r="E46" t="str">
        <f t="shared" si="0"/>
        <v>Isadora de Miranda Mello Taam</v>
      </c>
      <c r="F46" t="str">
        <f>IF(IFERROR(VLOOKUP(Users!E46,Credits!A:A,1,FALSE),"NO")="NO","NO","YES")</f>
        <v>NO</v>
      </c>
    </row>
    <row r="47" spans="1:6" x14ac:dyDescent="0.2">
      <c r="A47" s="18" t="s">
        <v>177</v>
      </c>
      <c r="B47" s="18" t="s">
        <v>243</v>
      </c>
      <c r="C47" s="18" t="s">
        <v>244</v>
      </c>
      <c r="D47" s="27" t="s">
        <v>534</v>
      </c>
      <c r="E47" t="str">
        <f t="shared" si="0"/>
        <v>Jing Zhang</v>
      </c>
      <c r="F47" t="str">
        <f>IF(IFERROR(VLOOKUP(Users!E47,Credits!A:A,1,FALSE),"NO")="NO","NO","YES")</f>
        <v>NO</v>
      </c>
    </row>
    <row r="48" spans="1:6" x14ac:dyDescent="0.2">
      <c r="A48" s="18" t="s">
        <v>176</v>
      </c>
      <c r="B48" s="18" t="s">
        <v>245</v>
      </c>
      <c r="C48" s="18" t="s">
        <v>246</v>
      </c>
      <c r="D48" s="27" t="s">
        <v>535</v>
      </c>
      <c r="E48" t="str">
        <f t="shared" si="0"/>
        <v>Jinish Gohil</v>
      </c>
      <c r="F48" t="str">
        <f>IF(IFERROR(VLOOKUP(Users!E48,Credits!A:A,1,FALSE),"NO")="NO","NO","YES")</f>
        <v>YES</v>
      </c>
    </row>
    <row r="49" spans="1:6" x14ac:dyDescent="0.2">
      <c r="A49" s="18" t="s">
        <v>160</v>
      </c>
      <c r="B49" s="18" t="s">
        <v>247</v>
      </c>
      <c r="C49" s="18" t="s">
        <v>248</v>
      </c>
      <c r="D49" s="27" t="s">
        <v>536</v>
      </c>
      <c r="E49" t="str">
        <f t="shared" si="0"/>
        <v>Jonathan Chikly</v>
      </c>
      <c r="F49" t="str">
        <f>IF(IFERROR(VLOOKUP(Users!E49,Credits!A:A,1,FALSE),"NO")="NO","NO","YES")</f>
        <v>NO</v>
      </c>
    </row>
    <row r="50" spans="1:6" x14ac:dyDescent="0.2">
      <c r="A50" s="112" t="s">
        <v>537</v>
      </c>
      <c r="B50" s="17" t="s">
        <v>538</v>
      </c>
      <c r="C50" s="17" t="s">
        <v>539</v>
      </c>
      <c r="D50" s="28" t="s">
        <v>540</v>
      </c>
      <c r="E50" t="str">
        <f t="shared" si="0"/>
        <v>Juan Pablo De La Torre</v>
      </c>
      <c r="F50" t="str">
        <f>IF(IFERROR(VLOOKUP(Users!E50,Credits!A:A,1,FALSE),"NO")="NO","NO","YES")</f>
        <v>NO</v>
      </c>
    </row>
    <row r="51" spans="1:6" x14ac:dyDescent="0.2">
      <c r="A51" t="s">
        <v>541</v>
      </c>
      <c r="B51" s="17" t="s">
        <v>542</v>
      </c>
      <c r="C51" s="17" t="s">
        <v>543</v>
      </c>
      <c r="D51" s="28" t="s">
        <v>544</v>
      </c>
      <c r="E51" t="str">
        <f t="shared" si="0"/>
        <v>Justin Blattner</v>
      </c>
      <c r="F51" t="str">
        <f>IF(IFERROR(VLOOKUP(Users!E51,Credits!A:A,1,FALSE),"NO")="NO","NO","YES")</f>
        <v>NO</v>
      </c>
    </row>
    <row r="52" spans="1:6" x14ac:dyDescent="0.2">
      <c r="A52" s="17" t="s">
        <v>545</v>
      </c>
      <c r="B52" s="17" t="s">
        <v>546</v>
      </c>
      <c r="C52" s="17" t="s">
        <v>547</v>
      </c>
      <c r="D52" s="28">
        <v>7469394835</v>
      </c>
      <c r="E52" t="str">
        <f t="shared" si="0"/>
        <v>Karen Johnstone</v>
      </c>
      <c r="F52" t="str">
        <f>IF(IFERROR(VLOOKUP(Users!E52,Credits!A:A,1,FALSE),"NO")="NO","NO","YES")</f>
        <v>NO</v>
      </c>
    </row>
    <row r="53" spans="1:6" x14ac:dyDescent="0.2">
      <c r="A53" s="18" t="s">
        <v>128</v>
      </c>
      <c r="B53" s="18" t="s">
        <v>264</v>
      </c>
      <c r="C53" s="18" t="s">
        <v>265</v>
      </c>
      <c r="D53" s="27" t="s">
        <v>548</v>
      </c>
      <c r="E53" t="str">
        <f t="shared" si="0"/>
        <v>Katherine Kim</v>
      </c>
      <c r="F53" t="str">
        <f>IF(IFERROR(VLOOKUP(Users!E53,Credits!A:A,1,FALSE),"NO")="NO","NO","YES")</f>
        <v>NO</v>
      </c>
    </row>
    <row r="54" spans="1:6" x14ac:dyDescent="0.2">
      <c r="A54" s="17" t="s">
        <v>549</v>
      </c>
      <c r="B54" s="17" t="s">
        <v>550</v>
      </c>
      <c r="C54" s="17" t="s">
        <v>551</v>
      </c>
      <c r="D54" s="28" t="s">
        <v>552</v>
      </c>
      <c r="E54" t="str">
        <f t="shared" si="0"/>
        <v>Ken Nyar</v>
      </c>
      <c r="F54" t="str">
        <f>IF(IFERROR(VLOOKUP(Users!E54,Credits!A:A,1,FALSE),"NO")="NO","NO","YES")</f>
        <v>NO</v>
      </c>
    </row>
    <row r="55" spans="1:6" x14ac:dyDescent="0.2">
      <c r="A55" s="18" t="s">
        <v>150</v>
      </c>
      <c r="B55" s="18" t="s">
        <v>312</v>
      </c>
      <c r="C55" s="18" t="s">
        <v>313</v>
      </c>
      <c r="D55" s="27"/>
      <c r="E55" t="str">
        <f t="shared" ref="E55:E63" si="1">B55&amp;" "&amp;C55</f>
        <v>Kostas Palierakis</v>
      </c>
      <c r="F55" t="str">
        <f>IF(IFERROR(VLOOKUP(Users!E55,Credits!A:A,1,FALSE),"NO")="NO","NO","YES")</f>
        <v>NO</v>
      </c>
    </row>
    <row r="56" spans="1:6" x14ac:dyDescent="0.2">
      <c r="A56" s="18" t="s">
        <v>133</v>
      </c>
      <c r="B56" s="18" t="s">
        <v>209</v>
      </c>
      <c r="C56" s="18" t="s">
        <v>210</v>
      </c>
      <c r="D56" s="27" t="s">
        <v>553</v>
      </c>
      <c r="E56" t="str">
        <f t="shared" si="1"/>
        <v>Laura Brown</v>
      </c>
      <c r="F56" t="str">
        <f>IF(IFERROR(VLOOKUP(Users!E56,Credits!A:A,1,FALSE),"NO")="NO","NO","YES")</f>
        <v>YES</v>
      </c>
    </row>
    <row r="57" spans="1:6" x14ac:dyDescent="0.2">
      <c r="A57" t="s">
        <v>554</v>
      </c>
      <c r="B57" s="17" t="s">
        <v>555</v>
      </c>
      <c r="C57" s="17" t="s">
        <v>556</v>
      </c>
      <c r="D57" s="28" t="s">
        <v>557</v>
      </c>
      <c r="E57" t="str">
        <f t="shared" si="1"/>
        <v>Laure Kroely</v>
      </c>
      <c r="F57" t="str">
        <f>IF(IFERROR(VLOOKUP(Users!E57,Credits!A:A,1,FALSE),"NO")="NO","NO","YES")</f>
        <v>NO</v>
      </c>
    </row>
    <row r="58" spans="1:6" x14ac:dyDescent="0.2">
      <c r="A58" s="18" t="s">
        <v>139</v>
      </c>
      <c r="B58" s="18" t="s">
        <v>275</v>
      </c>
      <c r="C58" s="18" t="s">
        <v>276</v>
      </c>
      <c r="D58" s="27" t="s">
        <v>558</v>
      </c>
      <c r="E58" t="str">
        <f t="shared" si="1"/>
        <v>Louise Chow</v>
      </c>
      <c r="F58" t="str">
        <f>IF(IFERROR(VLOOKUP(Users!E58,Credits!A:A,1,FALSE),"NO")="NO","NO","YES")</f>
        <v>NO</v>
      </c>
    </row>
    <row r="59" spans="1:6" x14ac:dyDescent="0.2">
      <c r="A59" t="s">
        <v>115</v>
      </c>
      <c r="B59" s="18" t="s">
        <v>205</v>
      </c>
      <c r="C59" s="18" t="s">
        <v>206</v>
      </c>
      <c r="D59" s="27" t="s">
        <v>559</v>
      </c>
      <c r="E59" t="str">
        <f t="shared" si="1"/>
        <v>Lucy Zhou</v>
      </c>
      <c r="F59" t="str">
        <f>IF(IFERROR(VLOOKUP(Users!E59,Credits!A:A,1,FALSE),"NO")="NO","NO","YES")</f>
        <v>NO</v>
      </c>
    </row>
    <row r="60" spans="1:6" x14ac:dyDescent="0.2">
      <c r="A60" s="20" t="s">
        <v>560</v>
      </c>
      <c r="B60" s="17" t="s">
        <v>221</v>
      </c>
      <c r="C60" s="17" t="s">
        <v>222</v>
      </c>
      <c r="D60" s="28" t="s">
        <v>561</v>
      </c>
      <c r="E60" t="str">
        <f t="shared" si="1"/>
        <v>Maggie Manolova</v>
      </c>
      <c r="F60" t="str">
        <f>IF(IFERROR(VLOOKUP(Users!E60,Credits!A:A,1,FALSE),"NO")="NO","NO","YES")</f>
        <v>YES</v>
      </c>
    </row>
    <row r="61" spans="1:6" x14ac:dyDescent="0.2">
      <c r="A61" s="17" t="s">
        <v>562</v>
      </c>
      <c r="B61" s="17" t="s">
        <v>563</v>
      </c>
      <c r="C61" s="17" t="s">
        <v>564</v>
      </c>
      <c r="D61" s="28">
        <v>0</v>
      </c>
      <c r="E61" t="str">
        <f t="shared" si="1"/>
        <v>Malti .</v>
      </c>
      <c r="F61" t="str">
        <f>IF(IFERROR(VLOOKUP(Users!E61,Credits!A:A,1,FALSE),"NO")="NO","NO","YES")</f>
        <v>NO</v>
      </c>
    </row>
    <row r="62" spans="1:6" x14ac:dyDescent="0.2">
      <c r="A62" s="112" t="s">
        <v>565</v>
      </c>
      <c r="B62" s="17" t="s">
        <v>566</v>
      </c>
      <c r="C62" s="17" t="s">
        <v>567</v>
      </c>
      <c r="D62" s="28" t="s">
        <v>568</v>
      </c>
      <c r="E62" t="str">
        <f t="shared" si="1"/>
        <v>Matt Hoza</v>
      </c>
      <c r="F62" t="str">
        <f>IF(IFERROR(VLOOKUP(Users!E62,Credits!A:A,1,FALSE),"NO")="NO","NO","YES")</f>
        <v>NO</v>
      </c>
    </row>
    <row r="63" spans="1:6" x14ac:dyDescent="0.2">
      <c r="A63" s="18" t="s">
        <v>175</v>
      </c>
      <c r="B63" s="18" t="s">
        <v>277</v>
      </c>
      <c r="C63" s="18" t="s">
        <v>278</v>
      </c>
      <c r="D63" s="27" t="s">
        <v>569</v>
      </c>
      <c r="E63" t="str">
        <f t="shared" si="1"/>
        <v>Matthew Watts</v>
      </c>
      <c r="F63" t="str">
        <f>IF(IFERROR(VLOOKUP(Users!E63,Credits!A:A,1,FALSE),"NO")="NO","NO","YES")</f>
        <v>NO</v>
      </c>
    </row>
    <row r="64" spans="1:6" x14ac:dyDescent="0.2">
      <c r="A64" t="s">
        <v>570</v>
      </c>
      <c r="B64" s="18" t="s">
        <v>571</v>
      </c>
      <c r="C64" s="18" t="s">
        <v>572</v>
      </c>
      <c r="D64">
        <v>7503778383</v>
      </c>
      <c r="E64" t="str">
        <f t="shared" ref="E64:E70" si="2">B64&amp;" "&amp;C64</f>
        <v>Mercelani Dumayday</v>
      </c>
      <c r="F64" t="str">
        <f>IF(IFERROR(VLOOKUP(Users!E64,Credits!A:A,1,FALSE),"NO")="NO","NO","YES")</f>
        <v>NO</v>
      </c>
    </row>
    <row r="65" spans="1:6" x14ac:dyDescent="0.2">
      <c r="A65" s="18" t="s">
        <v>157</v>
      </c>
      <c r="B65" s="18" t="s">
        <v>195</v>
      </c>
      <c r="C65" s="18" t="s">
        <v>196</v>
      </c>
      <c r="D65" s="27"/>
      <c r="E65" t="str">
        <f t="shared" si="2"/>
        <v>Monique Blemur</v>
      </c>
      <c r="F65" t="str">
        <f>IF(IFERROR(VLOOKUP(Users!E65,Credits!A:A,1,FALSE),"NO")="NO","NO","YES")</f>
        <v>YES</v>
      </c>
    </row>
    <row r="66" spans="1:6" x14ac:dyDescent="0.2">
      <c r="A66" s="17" t="s">
        <v>141</v>
      </c>
      <c r="B66" s="17" t="s">
        <v>207</v>
      </c>
      <c r="C66" s="17" t="s">
        <v>208</v>
      </c>
      <c r="D66" s="28" t="s">
        <v>573</v>
      </c>
      <c r="E66" t="str">
        <f t="shared" si="2"/>
        <v>Mouna Iraqi</v>
      </c>
      <c r="F66" t="str">
        <f>IF(IFERROR(VLOOKUP(Users!E66,Credits!A:A,1,FALSE),"NO")="NO","NO","YES")</f>
        <v>YES</v>
      </c>
    </row>
    <row r="67" spans="1:6" x14ac:dyDescent="0.2">
      <c r="A67" s="112" t="s">
        <v>574</v>
      </c>
      <c r="B67" s="17" t="s">
        <v>575</v>
      </c>
      <c r="C67" s="17" t="s">
        <v>576</v>
      </c>
      <c r="D67" s="28" t="s">
        <v>577</v>
      </c>
      <c r="E67" t="str">
        <f t="shared" si="2"/>
        <v xml:space="preserve">Natali Okolie </v>
      </c>
      <c r="F67" t="str">
        <f>IF(IFERROR(VLOOKUP(Users!E67,Credits!A:A,1,FALSE),"NO")="NO","NO","YES")</f>
        <v>NO</v>
      </c>
    </row>
    <row r="68" spans="1:6" x14ac:dyDescent="0.2">
      <c r="A68" s="18" t="s">
        <v>137</v>
      </c>
      <c r="B68" s="18" t="s">
        <v>301</v>
      </c>
      <c r="C68" s="18" t="s">
        <v>302</v>
      </c>
      <c r="D68" s="27" t="s">
        <v>578</v>
      </c>
      <c r="E68" t="str">
        <f t="shared" si="2"/>
        <v>Natasha Pavlovskaya</v>
      </c>
      <c r="F68" t="str">
        <f>IF(IFERROR(VLOOKUP(Users!E68,Credits!A:A,1,FALSE),"NO")="NO","NO","YES")</f>
        <v>NO</v>
      </c>
    </row>
    <row r="69" spans="1:6" x14ac:dyDescent="0.2">
      <c r="A69" s="17" t="s">
        <v>143</v>
      </c>
      <c r="B69" s="17" t="s">
        <v>186</v>
      </c>
      <c r="C69" s="17" t="s">
        <v>187</v>
      </c>
      <c r="E69" t="str">
        <f t="shared" si="2"/>
        <v>Nathanael Geman</v>
      </c>
      <c r="F69" t="str">
        <f>IF(IFERROR(VLOOKUP(Users!E69,Credits!A:A,1,FALSE),"NO")="NO","NO","YES")</f>
        <v>NO</v>
      </c>
    </row>
    <row r="70" spans="1:6" x14ac:dyDescent="0.2">
      <c r="A70" t="s">
        <v>579</v>
      </c>
      <c r="B70" s="17" t="s">
        <v>580</v>
      </c>
      <c r="E70" t="str">
        <f t="shared" si="2"/>
        <v xml:space="preserve">ND </v>
      </c>
      <c r="F70" t="str">
        <f>IF(IFERROR(VLOOKUP(Users!E70,Credits!A:A,1,FALSE),"NO")="NO","NO","YES")</f>
        <v>NO</v>
      </c>
    </row>
    <row r="71" spans="1:6" x14ac:dyDescent="0.2">
      <c r="A71" s="18" t="s">
        <v>136</v>
      </c>
      <c r="B71" s="18" t="s">
        <v>249</v>
      </c>
      <c r="C71" s="18" t="s">
        <v>250</v>
      </c>
      <c r="D71" s="27" t="s">
        <v>581</v>
      </c>
      <c r="E71" t="str">
        <f t="shared" ref="E71:E134" si="3">B71&amp;" "&amp;C71</f>
        <v>Olawale Okunrinboye</v>
      </c>
      <c r="F71" t="str">
        <f>IF(IFERROR(VLOOKUP(Users!E71,Credits!A:A,1,FALSE),"NO")="NO","NO","YES")</f>
        <v>NO</v>
      </c>
    </row>
    <row r="72" spans="1:6" x14ac:dyDescent="0.2">
      <c r="A72" s="18" t="s">
        <v>174</v>
      </c>
      <c r="B72" s="18" t="s">
        <v>251</v>
      </c>
      <c r="C72" s="18" t="s">
        <v>252</v>
      </c>
      <c r="D72" s="27" t="s">
        <v>582</v>
      </c>
      <c r="E72" t="str">
        <f t="shared" si="3"/>
        <v>Pragyapti Bhandari</v>
      </c>
      <c r="F72" t="str">
        <f>IF(IFERROR(VLOOKUP(Users!E72,Credits!A:A,1,FALSE),"NO")="NO","NO","YES")</f>
        <v>NO</v>
      </c>
    </row>
    <row r="73" spans="1:6" x14ac:dyDescent="0.2">
      <c r="A73" s="112" t="s">
        <v>583</v>
      </c>
      <c r="B73" s="17" t="s">
        <v>584</v>
      </c>
      <c r="C73" s="17" t="s">
        <v>585</v>
      </c>
      <c r="D73" s="28" t="s">
        <v>586</v>
      </c>
      <c r="E73" t="str">
        <f t="shared" si="3"/>
        <v>Richard  Segal</v>
      </c>
      <c r="F73" t="str">
        <f>IF(IFERROR(VLOOKUP(Users!E73,Credits!A:A,1,FALSE),"NO")="NO","NO","YES")</f>
        <v>NO</v>
      </c>
    </row>
    <row r="74" spans="1:6" x14ac:dyDescent="0.2">
      <c r="A74" s="17" t="s">
        <v>125</v>
      </c>
      <c r="B74" s="18" t="s">
        <v>303</v>
      </c>
      <c r="C74" s="18" t="s">
        <v>304</v>
      </c>
      <c r="D74" s="27" t="s">
        <v>587</v>
      </c>
      <c r="E74" t="str">
        <f t="shared" si="3"/>
        <v>Robert Chapman</v>
      </c>
      <c r="F74" t="str">
        <f>IF(IFERROR(VLOOKUP(Users!E74,Credits!A:A,1,FALSE),"NO")="NO","NO","YES")</f>
        <v>YES</v>
      </c>
    </row>
    <row r="75" spans="1:6" x14ac:dyDescent="0.2">
      <c r="A75" s="18" t="s">
        <v>120</v>
      </c>
      <c r="B75" s="18" t="s">
        <v>203</v>
      </c>
      <c r="C75" s="18" t="s">
        <v>204</v>
      </c>
      <c r="D75" s="27" t="s">
        <v>588</v>
      </c>
      <c r="E75" t="str">
        <f t="shared" si="3"/>
        <v>Rohini Tendulkar</v>
      </c>
      <c r="F75" t="str">
        <f>IF(IFERROR(VLOOKUP(Users!E75,Credits!A:A,1,FALSE),"NO")="NO","NO","YES")</f>
        <v>YES</v>
      </c>
    </row>
    <row r="76" spans="1:6" x14ac:dyDescent="0.2">
      <c r="A76" s="18" t="s">
        <v>161</v>
      </c>
      <c r="B76" s="18" t="s">
        <v>259</v>
      </c>
      <c r="C76" s="18" t="s">
        <v>260</v>
      </c>
      <c r="D76" s="27" t="s">
        <v>589</v>
      </c>
      <c r="E76" t="str">
        <f t="shared" si="3"/>
        <v>Rowan El Atrache</v>
      </c>
      <c r="F76" t="str">
        <f>IF(IFERROR(VLOOKUP(Users!E76,Credits!A:A,1,FALSE),"NO")="NO","NO","YES")</f>
        <v>NO</v>
      </c>
    </row>
    <row r="77" spans="1:6" x14ac:dyDescent="0.2">
      <c r="A77" s="112" t="s">
        <v>590</v>
      </c>
      <c r="B77" s="17" t="s">
        <v>591</v>
      </c>
      <c r="C77" s="17" t="s">
        <v>592</v>
      </c>
      <c r="D77" s="28" t="s">
        <v>593</v>
      </c>
      <c r="E77" t="str">
        <f t="shared" si="3"/>
        <v>Sabina Khaytbaeva</v>
      </c>
      <c r="F77" t="str">
        <f>IF(IFERROR(VLOOKUP(Users!E77,Credits!A:A,1,FALSE),"NO")="NO","NO","YES")</f>
        <v>NO</v>
      </c>
    </row>
    <row r="78" spans="1:6" x14ac:dyDescent="0.2">
      <c r="A78" s="18" t="s">
        <v>131</v>
      </c>
      <c r="B78" s="18" t="s">
        <v>266</v>
      </c>
      <c r="C78" s="18" t="s">
        <v>267</v>
      </c>
      <c r="D78" s="27" t="s">
        <v>594</v>
      </c>
      <c r="E78" t="str">
        <f t="shared" si="3"/>
        <v>Samedzade Samed</v>
      </c>
      <c r="F78" t="str">
        <f>IF(IFERROR(VLOOKUP(Users!E78,Credits!A:A,1,FALSE),"NO")="NO","NO","YES")</f>
        <v>NO</v>
      </c>
    </row>
    <row r="79" spans="1:6" x14ac:dyDescent="0.2">
      <c r="A79" s="18" t="s">
        <v>121</v>
      </c>
      <c r="B79" s="18" t="s">
        <v>213</v>
      </c>
      <c r="C79" s="18" t="s">
        <v>214</v>
      </c>
      <c r="D79" s="27" t="s">
        <v>595</v>
      </c>
      <c r="E79" t="str">
        <f t="shared" si="3"/>
        <v>Sara Khan</v>
      </c>
      <c r="F79" t="str">
        <f>IF(IFERROR(VLOOKUP(Users!E79,Credits!A:A,1,FALSE),"NO")="NO","NO","YES")</f>
        <v>YES</v>
      </c>
    </row>
    <row r="80" spans="1:6" x14ac:dyDescent="0.2">
      <c r="A80" s="112" t="s">
        <v>596</v>
      </c>
      <c r="B80" s="17" t="s">
        <v>597</v>
      </c>
      <c r="C80" s="17" t="s">
        <v>598</v>
      </c>
      <c r="D80" s="28" t="s">
        <v>599</v>
      </c>
      <c r="E80" t="str">
        <f t="shared" si="3"/>
        <v>Scott Gilbert</v>
      </c>
      <c r="F80" t="str">
        <f>IF(IFERROR(VLOOKUP(Users!E80,Credits!A:A,1,FALSE),"NO")="NO","NO","YES")</f>
        <v>NO</v>
      </c>
    </row>
    <row r="81" spans="1:6" x14ac:dyDescent="0.2">
      <c r="A81" s="18" t="s">
        <v>178</v>
      </c>
      <c r="B81" s="18" t="s">
        <v>279</v>
      </c>
      <c r="C81" s="18" t="s">
        <v>280</v>
      </c>
      <c r="D81" s="27" t="s">
        <v>600</v>
      </c>
      <c r="E81" t="str">
        <f t="shared" si="3"/>
        <v>Serena Or</v>
      </c>
      <c r="F81" t="str">
        <f>IF(IFERROR(VLOOKUP(Users!E81,Credits!A:A,1,FALSE),"NO")="NO","NO","YES")</f>
        <v>NO</v>
      </c>
    </row>
    <row r="82" spans="1:6" x14ac:dyDescent="0.2">
      <c r="A82" s="18" t="s">
        <v>132</v>
      </c>
      <c r="B82" s="18" t="s">
        <v>190</v>
      </c>
      <c r="C82" s="18" t="s">
        <v>191</v>
      </c>
      <c r="D82" s="27" t="s">
        <v>601</v>
      </c>
      <c r="E82" t="str">
        <f t="shared" si="3"/>
        <v>Shay Steele</v>
      </c>
      <c r="F82" t="str">
        <f>IF(IFERROR(VLOOKUP(Users!E82,Credits!A:A,1,FALSE),"NO")="NO","NO","YES")</f>
        <v>YES</v>
      </c>
    </row>
    <row r="83" spans="1:6" x14ac:dyDescent="0.2">
      <c r="A83" s="17" t="s">
        <v>602</v>
      </c>
      <c r="B83" s="17" t="s">
        <v>190</v>
      </c>
      <c r="C83" s="17" t="s">
        <v>603</v>
      </c>
      <c r="D83" s="28" t="s">
        <v>601</v>
      </c>
      <c r="E83" t="str">
        <f t="shared" si="3"/>
        <v>Shay Lim</v>
      </c>
      <c r="F83" t="str">
        <f>IF(IFERROR(VLOOKUP(Users!E83,Credits!A:A,1,FALSE),"NO")="NO","NO","YES")</f>
        <v>NO</v>
      </c>
    </row>
    <row r="84" spans="1:6" x14ac:dyDescent="0.2">
      <c r="A84" s="18" t="s">
        <v>151</v>
      </c>
      <c r="B84" s="18" t="s">
        <v>604</v>
      </c>
      <c r="C84" s="18" t="s">
        <v>269</v>
      </c>
      <c r="D84" s="27"/>
      <c r="E84" t="str">
        <f t="shared" si="3"/>
        <v>Silviu Burca</v>
      </c>
      <c r="F84" t="str">
        <f>IF(IFERROR(VLOOKUP(Users!E84,Credits!A:A,1,FALSE),"NO")="NO","NO","YES")</f>
        <v>NO</v>
      </c>
    </row>
    <row r="85" spans="1:6" x14ac:dyDescent="0.2">
      <c r="A85" s="112" t="s">
        <v>605</v>
      </c>
      <c r="B85" s="17" t="s">
        <v>606</v>
      </c>
      <c r="C85" s="17" t="s">
        <v>607</v>
      </c>
      <c r="D85" s="28" t="s">
        <v>608</v>
      </c>
      <c r="E85" t="str">
        <f t="shared" si="3"/>
        <v>Simon Bourke</v>
      </c>
      <c r="F85" t="str">
        <f>IF(IFERROR(VLOOKUP(Users!E85,Credits!A:A,1,FALSE),"NO")="NO","NO","YES")</f>
        <v>NO</v>
      </c>
    </row>
    <row r="86" spans="1:6" x14ac:dyDescent="0.2">
      <c r="A86" s="18" t="s">
        <v>153</v>
      </c>
      <c r="B86" s="18" t="s">
        <v>253</v>
      </c>
      <c r="C86" s="18" t="s">
        <v>254</v>
      </c>
      <c r="D86" s="27"/>
      <c r="E86" t="str">
        <f t="shared" si="3"/>
        <v>Simona Vicol</v>
      </c>
      <c r="F86" t="str">
        <f>IF(IFERROR(VLOOKUP(Users!E86,Credits!A:A,1,FALSE),"NO")="NO","NO","YES")</f>
        <v>NO</v>
      </c>
    </row>
    <row r="87" spans="1:6" x14ac:dyDescent="0.2">
      <c r="A87" s="18" t="s">
        <v>147</v>
      </c>
      <c r="B87" s="18" t="s">
        <v>293</v>
      </c>
      <c r="C87" s="18" t="s">
        <v>294</v>
      </c>
      <c r="D87" s="27" t="s">
        <v>609</v>
      </c>
      <c r="E87" t="str">
        <f t="shared" si="3"/>
        <v>Sophia Shemlugu</v>
      </c>
      <c r="F87" t="str">
        <f>IF(IFERROR(VLOOKUP(Users!E87,Credits!A:A,1,FALSE),"NO")="NO","NO","YES")</f>
        <v>NO</v>
      </c>
    </row>
    <row r="88" spans="1:6" x14ac:dyDescent="0.2">
      <c r="A88" s="18" t="s">
        <v>135</v>
      </c>
      <c r="B88" s="18" t="s">
        <v>305</v>
      </c>
      <c r="C88" s="18" t="s">
        <v>306</v>
      </c>
      <c r="D88" s="27" t="s">
        <v>610</v>
      </c>
      <c r="E88" t="str">
        <f t="shared" si="3"/>
        <v>Srivaths Swaminathan</v>
      </c>
      <c r="F88" t="str">
        <f>IF(IFERROR(VLOOKUP(Users!E88,Credits!A:A,1,FALSE),"NO")="NO","NO","YES")</f>
        <v>NO</v>
      </c>
    </row>
    <row r="89" spans="1:6" x14ac:dyDescent="0.2">
      <c r="A89" s="17" t="s">
        <v>142</v>
      </c>
      <c r="B89" s="17" t="s">
        <v>281</v>
      </c>
      <c r="C89" s="17" t="s">
        <v>282</v>
      </c>
      <c r="E89" t="str">
        <f t="shared" si="3"/>
        <v>Susan Durkan Jackson</v>
      </c>
      <c r="F89" t="str">
        <f>IF(IFERROR(VLOOKUP(Users!E89,Credits!A:A,1,FALSE),"NO")="NO","NO","YES")</f>
        <v>NO</v>
      </c>
    </row>
    <row r="90" spans="1:6" x14ac:dyDescent="0.2">
      <c r="A90" s="17" t="s">
        <v>611</v>
      </c>
      <c r="B90" s="17" t="s">
        <v>287</v>
      </c>
      <c r="C90" s="17" t="s">
        <v>612</v>
      </c>
      <c r="D90" s="28" t="s">
        <v>613</v>
      </c>
      <c r="E90" t="str">
        <f t="shared" si="3"/>
        <v>Tamara Muñoz</v>
      </c>
      <c r="F90" t="str">
        <f>IF(IFERROR(VLOOKUP(Users!E90,Credits!A:A,1,FALSE),"NO")="NO","NO","YES")</f>
        <v>NO</v>
      </c>
    </row>
    <row r="91" spans="1:6" x14ac:dyDescent="0.2">
      <c r="A91" s="18" t="s">
        <v>614</v>
      </c>
      <c r="B91" s="17" t="s">
        <v>287</v>
      </c>
      <c r="C91" s="17" t="s">
        <v>615</v>
      </c>
      <c r="D91" s="28" t="s">
        <v>616</v>
      </c>
      <c r="E91" t="str">
        <f t="shared" si="3"/>
        <v>Tamara Dews</v>
      </c>
      <c r="F91" t="str">
        <f>IF(IFERROR(VLOOKUP(Users!E91,Credits!A:A,1,FALSE),"NO")="NO","NO","YES")</f>
        <v>NO</v>
      </c>
    </row>
    <row r="92" spans="1:6" x14ac:dyDescent="0.2">
      <c r="A92" s="18" t="s">
        <v>165</v>
      </c>
      <c r="B92" s="18" t="s">
        <v>226</v>
      </c>
      <c r="C92" s="18" t="s">
        <v>227</v>
      </c>
      <c r="D92" s="27" t="s">
        <v>617</v>
      </c>
      <c r="E92" t="str">
        <f t="shared" si="3"/>
        <v>Tanvi Sethi</v>
      </c>
      <c r="F92" t="str">
        <f>IF(IFERROR(VLOOKUP(Users!E92,Credits!A:A,1,FALSE),"NO")="NO","NO","YES")</f>
        <v>YES</v>
      </c>
    </row>
    <row r="93" spans="1:6" x14ac:dyDescent="0.2">
      <c r="A93" t="s">
        <v>618</v>
      </c>
      <c r="B93" s="17" t="s">
        <v>619</v>
      </c>
      <c r="C93" s="17" t="s">
        <v>620</v>
      </c>
      <c r="E93" t="str">
        <f t="shared" si="3"/>
        <v>Teodor Radu</v>
      </c>
      <c r="F93" t="str">
        <f>IF(IFERROR(VLOOKUP(Users!E93,Credits!A:A,1,FALSE),"NO")="NO","NO","YES")</f>
        <v>NO</v>
      </c>
    </row>
    <row r="94" spans="1:6" x14ac:dyDescent="0.2">
      <c r="A94" s="17" t="s">
        <v>621</v>
      </c>
      <c r="B94" s="17" t="s">
        <v>622</v>
      </c>
      <c r="C94" s="17" t="s">
        <v>623</v>
      </c>
      <c r="D94" s="28" t="s">
        <v>624</v>
      </c>
      <c r="E94" t="str">
        <f t="shared" si="3"/>
        <v>Tianqi Yang</v>
      </c>
      <c r="F94" t="str">
        <f>IF(IFERROR(VLOOKUP(Users!E94,Credits!A:A,1,FALSE),"NO")="NO","NO","YES")</f>
        <v>NO</v>
      </c>
    </row>
    <row r="95" spans="1:6" x14ac:dyDescent="0.2">
      <c r="A95" s="18" t="s">
        <v>173</v>
      </c>
      <c r="B95" s="18" t="s">
        <v>625</v>
      </c>
      <c r="C95" s="18" t="s">
        <v>284</v>
      </c>
      <c r="D95" s="27" t="s">
        <v>626</v>
      </c>
      <c r="E95" t="str">
        <f t="shared" si="3"/>
        <v>Tom Saville</v>
      </c>
      <c r="F95" t="str">
        <f>IF(IFERROR(VLOOKUP(Users!E95,Credits!A:A,1,FALSE),"NO")="NO","NO","YES")</f>
        <v>NO</v>
      </c>
    </row>
    <row r="96" spans="1:6" x14ac:dyDescent="0.2">
      <c r="A96" s="112" t="s">
        <v>627</v>
      </c>
      <c r="B96" s="17" t="s">
        <v>628</v>
      </c>
      <c r="C96" s="132" t="s">
        <v>629</v>
      </c>
      <c r="D96" s="28" t="s">
        <v>630</v>
      </c>
      <c r="E96" t="str">
        <f t="shared" si="3"/>
        <v>Wil Akanno</v>
      </c>
      <c r="F96" t="str">
        <f>IF(IFERROR(VLOOKUP(Users!E96,Credits!A:A,1,FALSE),"NO")="NO","NO","YES")</f>
        <v>NO</v>
      </c>
    </row>
    <row r="97" spans="1:6" x14ac:dyDescent="0.2">
      <c r="A97" s="18" t="s">
        <v>167</v>
      </c>
      <c r="B97" s="18" t="s">
        <v>295</v>
      </c>
      <c r="C97" s="18" t="s">
        <v>296</v>
      </c>
      <c r="D97" s="27" t="s">
        <v>631</v>
      </c>
      <c r="E97" t="str">
        <f t="shared" si="3"/>
        <v>Win Man</v>
      </c>
      <c r="F97" t="str">
        <f>IF(IFERROR(VLOOKUP(Users!E97,Credits!A:A,1,FALSE),"NO")="NO","NO","YES")</f>
        <v>NO</v>
      </c>
    </row>
    <row r="98" spans="1:6" x14ac:dyDescent="0.2">
      <c r="A98" s="18" t="s">
        <v>169</v>
      </c>
      <c r="B98" s="18" t="s">
        <v>297</v>
      </c>
      <c r="C98" s="18" t="s">
        <v>298</v>
      </c>
      <c r="D98" s="27" t="s">
        <v>632</v>
      </c>
      <c r="E98" t="str">
        <f t="shared" si="3"/>
        <v>Yasemin Mermer</v>
      </c>
      <c r="F98" t="str">
        <f>IF(IFERROR(VLOOKUP(Users!E98,Credits!A:A,1,FALSE),"NO")="NO","NO","YES")</f>
        <v>NO</v>
      </c>
    </row>
    <row r="99" spans="1:6" x14ac:dyDescent="0.2">
      <c r="A99" t="s">
        <v>633</v>
      </c>
      <c r="B99" s="17" t="s">
        <v>634</v>
      </c>
      <c r="C99" s="17" t="s">
        <v>635</v>
      </c>
      <c r="D99" s="28" t="s">
        <v>636</v>
      </c>
      <c r="E99" t="str">
        <f t="shared" si="3"/>
        <v>Yusuke Inoue</v>
      </c>
      <c r="F99" t="str">
        <f>IF(IFERROR(VLOOKUP(Users!E99,Credits!A:A,1,FALSE),"NO")="NO","NO","YES")</f>
        <v>NO</v>
      </c>
    </row>
    <row r="100" spans="1:6" x14ac:dyDescent="0.2">
      <c r="A100" s="18" t="s">
        <v>166</v>
      </c>
      <c r="B100" s="18" t="s">
        <v>255</v>
      </c>
      <c r="C100" s="18" t="s">
        <v>256</v>
      </c>
      <c r="D100" s="27" t="s">
        <v>637</v>
      </c>
      <c r="E100" t="str">
        <f t="shared" si="3"/>
        <v>Zinab Al Ramathany</v>
      </c>
      <c r="F100" t="str">
        <f>IF(IFERROR(VLOOKUP(Users!E100,Credits!A:A,1,FALSE),"NO")="NO","NO","YES")</f>
        <v>NO</v>
      </c>
    </row>
    <row r="101" spans="1:6" x14ac:dyDescent="0.2">
      <c r="A101" s="112" t="s">
        <v>638</v>
      </c>
      <c r="B101" s="17" t="s">
        <v>639</v>
      </c>
      <c r="C101" s="17" t="s">
        <v>640</v>
      </c>
      <c r="D101" s="28" t="s">
        <v>641</v>
      </c>
      <c r="E101" t="str">
        <f t="shared" si="3"/>
        <v>Shulli Clinton-Davis</v>
      </c>
      <c r="F101" t="str">
        <f>IF(IFERROR(VLOOKUP(Users!E101,Credits!A:A,1,FALSE),"NO")="NO","NO","YES")</f>
        <v>NO</v>
      </c>
    </row>
    <row r="102" spans="1:6" x14ac:dyDescent="0.2">
      <c r="A102" s="112" t="s">
        <v>642</v>
      </c>
      <c r="B102" s="17" t="s">
        <v>643</v>
      </c>
      <c r="C102" s="17" t="s">
        <v>644</v>
      </c>
      <c r="D102" s="28" t="s">
        <v>645</v>
      </c>
      <c r="E102" t="str">
        <f t="shared" si="3"/>
        <v>Gaukhar Uskenbayeva</v>
      </c>
      <c r="F102" t="str">
        <f>IF(IFERROR(VLOOKUP(Users!E102,Credits!A:A,1,FALSE),"NO")="NO","NO","YES")</f>
        <v>NO</v>
      </c>
    </row>
    <row r="103" spans="1:6" x14ac:dyDescent="0.2">
      <c r="A103" s="112" t="s">
        <v>646</v>
      </c>
      <c r="B103" s="17" t="s">
        <v>647</v>
      </c>
      <c r="C103" s="17" t="s">
        <v>648</v>
      </c>
      <c r="D103" s="28" t="s">
        <v>649</v>
      </c>
      <c r="E103" t="str">
        <f t="shared" si="3"/>
        <v>Konstantin Angelov</v>
      </c>
      <c r="F103" t="str">
        <f>IF(IFERROR(VLOOKUP(Users!E103,Credits!A:A,1,FALSE),"NO")="NO","NO","YES")</f>
        <v>NO</v>
      </c>
    </row>
    <row r="104" spans="1:6" x14ac:dyDescent="0.2">
      <c r="A104" s="112" t="s">
        <v>650</v>
      </c>
      <c r="B104" s="17" t="s">
        <v>651</v>
      </c>
      <c r="C104" s="17" t="s">
        <v>652</v>
      </c>
      <c r="D104" s="28" t="s">
        <v>653</v>
      </c>
      <c r="E104" t="str">
        <f t="shared" si="3"/>
        <v>Zauresh Kezheneva</v>
      </c>
      <c r="F104" t="str">
        <f>IF(IFERROR(VLOOKUP(Users!E104,Credits!A:A,1,FALSE),"NO")="NO","NO","YES")</f>
        <v>NO</v>
      </c>
    </row>
    <row r="105" spans="1:6" x14ac:dyDescent="0.2">
      <c r="E105" t="str">
        <f t="shared" si="3"/>
        <v xml:space="preserve"> </v>
      </c>
      <c r="F105" t="str">
        <f>IF(IFERROR(VLOOKUP(Users!E105,Credits!A:A,1,FALSE),"NO")="NO","NO","YES")</f>
        <v>NO</v>
      </c>
    </row>
    <row r="106" spans="1:6" x14ac:dyDescent="0.2">
      <c r="E106" t="str">
        <f t="shared" si="3"/>
        <v xml:space="preserve"> </v>
      </c>
      <c r="F106" t="str">
        <f>IF(IFERROR(VLOOKUP(Users!E106,Credits!A:A,1,FALSE),"NO")="NO","NO","YES")</f>
        <v>NO</v>
      </c>
    </row>
    <row r="107" spans="1:6" x14ac:dyDescent="0.2">
      <c r="E107" t="str">
        <f t="shared" si="3"/>
        <v xml:space="preserve"> </v>
      </c>
      <c r="F107" t="str">
        <f>IF(IFERROR(VLOOKUP(Users!E107,Credits!A:A,1,FALSE),"NO")="NO","NO","YES")</f>
        <v>NO</v>
      </c>
    </row>
    <row r="108" spans="1:6" x14ac:dyDescent="0.2">
      <c r="E108" t="str">
        <f t="shared" si="3"/>
        <v xml:space="preserve"> </v>
      </c>
      <c r="F108" t="str">
        <f>IF(IFERROR(VLOOKUP(Users!E108,Credits!A:A,1,FALSE),"NO")="NO","NO","YES")</f>
        <v>NO</v>
      </c>
    </row>
    <row r="109" spans="1:6" x14ac:dyDescent="0.2">
      <c r="E109" t="str">
        <f t="shared" si="3"/>
        <v xml:space="preserve"> </v>
      </c>
      <c r="F109" t="str">
        <f>IF(IFERROR(VLOOKUP(Users!E109,Credits!A:A,1,FALSE),"NO")="NO","NO","YES")</f>
        <v>NO</v>
      </c>
    </row>
    <row r="110" spans="1:6" x14ac:dyDescent="0.2">
      <c r="E110" t="str">
        <f t="shared" si="3"/>
        <v xml:space="preserve"> </v>
      </c>
      <c r="F110" t="str">
        <f>IF(IFERROR(VLOOKUP(Users!E110,Credits!A:A,1,FALSE),"NO")="NO","NO","YES")</f>
        <v>NO</v>
      </c>
    </row>
    <row r="111" spans="1:6" x14ac:dyDescent="0.2">
      <c r="E111" t="str">
        <f t="shared" si="3"/>
        <v xml:space="preserve"> </v>
      </c>
      <c r="F111" t="str">
        <f>IF(IFERROR(VLOOKUP(Users!E111,Credits!A:A,1,FALSE),"NO")="NO","NO","YES")</f>
        <v>NO</v>
      </c>
    </row>
    <row r="112" spans="1:6" x14ac:dyDescent="0.2">
      <c r="E112" t="str">
        <f t="shared" si="3"/>
        <v xml:space="preserve"> </v>
      </c>
      <c r="F112" t="str">
        <f>IF(IFERROR(VLOOKUP(Users!E112,Credits!A:A,1,FALSE),"NO")="NO","NO","YES")</f>
        <v>NO</v>
      </c>
    </row>
    <row r="113" spans="5:6" x14ac:dyDescent="0.2">
      <c r="E113" t="str">
        <f t="shared" si="3"/>
        <v xml:space="preserve"> </v>
      </c>
      <c r="F113" t="str">
        <f>IF(IFERROR(VLOOKUP(Users!E113,Credits!A:A,1,FALSE),"NO")="NO","NO","YES")</f>
        <v>NO</v>
      </c>
    </row>
    <row r="114" spans="5:6" x14ac:dyDescent="0.2">
      <c r="E114" t="str">
        <f t="shared" si="3"/>
        <v xml:space="preserve"> </v>
      </c>
      <c r="F114" t="str">
        <f>IF(IFERROR(VLOOKUP(Users!E114,Credits!A:A,1,FALSE),"NO")="NO","NO","YES")</f>
        <v>NO</v>
      </c>
    </row>
    <row r="115" spans="5:6" x14ac:dyDescent="0.2">
      <c r="E115" t="str">
        <f t="shared" si="3"/>
        <v xml:space="preserve"> </v>
      </c>
      <c r="F115" t="str">
        <f>IF(IFERROR(VLOOKUP(Users!E115,Credits!A:A,1,FALSE),"NO")="NO","NO","YES")</f>
        <v>NO</v>
      </c>
    </row>
    <row r="116" spans="5:6" x14ac:dyDescent="0.2">
      <c r="E116" t="str">
        <f t="shared" si="3"/>
        <v xml:space="preserve"> </v>
      </c>
      <c r="F116" t="str">
        <f>IF(IFERROR(VLOOKUP(Users!E116,Credits!A:A,1,FALSE),"NO")="NO","NO","YES")</f>
        <v>NO</v>
      </c>
    </row>
    <row r="117" spans="5:6" x14ac:dyDescent="0.2">
      <c r="E117" t="str">
        <f t="shared" si="3"/>
        <v xml:space="preserve"> </v>
      </c>
      <c r="F117" t="str">
        <f>IF(IFERROR(VLOOKUP(Users!E117,Credits!A:A,1,FALSE),"NO")="NO","NO","YES")</f>
        <v>NO</v>
      </c>
    </row>
    <row r="118" spans="5:6" x14ac:dyDescent="0.2">
      <c r="E118" t="str">
        <f t="shared" si="3"/>
        <v xml:space="preserve"> </v>
      </c>
      <c r="F118" t="str">
        <f>IF(IFERROR(VLOOKUP(Users!E118,Credits!A:A,1,FALSE),"NO")="NO","NO","YES")</f>
        <v>NO</v>
      </c>
    </row>
    <row r="119" spans="5:6" x14ac:dyDescent="0.2">
      <c r="E119" t="str">
        <f t="shared" si="3"/>
        <v xml:space="preserve"> </v>
      </c>
      <c r="F119" t="str">
        <f>IF(IFERROR(VLOOKUP(Users!E119,Credits!A:A,1,FALSE),"NO")="NO","NO","YES")</f>
        <v>NO</v>
      </c>
    </row>
    <row r="120" spans="5:6" x14ac:dyDescent="0.2">
      <c r="E120" t="str">
        <f t="shared" si="3"/>
        <v xml:space="preserve"> </v>
      </c>
      <c r="F120" t="str">
        <f>IF(IFERROR(VLOOKUP(Users!E120,Credits!A:A,1,FALSE),"NO")="NO","NO","YES")</f>
        <v>NO</v>
      </c>
    </row>
    <row r="121" spans="5:6" x14ac:dyDescent="0.2">
      <c r="E121" t="str">
        <f t="shared" si="3"/>
        <v xml:space="preserve"> </v>
      </c>
      <c r="F121" t="str">
        <f>IF(IFERROR(VLOOKUP(Users!E121,Credits!A:A,1,FALSE),"NO")="NO","NO","YES")</f>
        <v>NO</v>
      </c>
    </row>
    <row r="122" spans="5:6" x14ac:dyDescent="0.2">
      <c r="E122" t="str">
        <f t="shared" si="3"/>
        <v xml:space="preserve"> </v>
      </c>
      <c r="F122" t="str">
        <f>IF(IFERROR(VLOOKUP(Users!E122,Credits!A:A,1,FALSE),"NO")="NO","NO","YES")</f>
        <v>NO</v>
      </c>
    </row>
    <row r="123" spans="5:6" x14ac:dyDescent="0.2">
      <c r="E123" t="str">
        <f t="shared" si="3"/>
        <v xml:space="preserve"> </v>
      </c>
      <c r="F123" t="str">
        <f>IF(IFERROR(VLOOKUP(Users!E123,Credits!A:A,1,FALSE),"NO")="NO","NO","YES")</f>
        <v>NO</v>
      </c>
    </row>
    <row r="124" spans="5:6" x14ac:dyDescent="0.2">
      <c r="E124" t="str">
        <f t="shared" si="3"/>
        <v xml:space="preserve"> </v>
      </c>
      <c r="F124" t="str">
        <f>IF(IFERROR(VLOOKUP(Users!E124,Credits!A:A,1,FALSE),"NO")="NO","NO","YES")</f>
        <v>NO</v>
      </c>
    </row>
    <row r="125" spans="5:6" x14ac:dyDescent="0.2">
      <c r="E125" t="str">
        <f t="shared" si="3"/>
        <v xml:space="preserve"> </v>
      </c>
      <c r="F125" t="str">
        <f>IF(IFERROR(VLOOKUP(Users!E125,Credits!A:A,1,FALSE),"NO")="NO","NO","YES")</f>
        <v>NO</v>
      </c>
    </row>
    <row r="126" spans="5:6" x14ac:dyDescent="0.2">
      <c r="E126" t="str">
        <f t="shared" si="3"/>
        <v xml:space="preserve"> </v>
      </c>
      <c r="F126" t="str">
        <f>IF(IFERROR(VLOOKUP(Users!E126,Credits!A:A,1,FALSE),"NO")="NO","NO","YES")</f>
        <v>NO</v>
      </c>
    </row>
    <row r="127" spans="5:6" x14ac:dyDescent="0.2">
      <c r="E127" t="str">
        <f t="shared" si="3"/>
        <v xml:space="preserve"> </v>
      </c>
      <c r="F127" t="str">
        <f>IF(IFERROR(VLOOKUP(Users!E127,Credits!A:A,1,FALSE),"NO")="NO","NO","YES")</f>
        <v>NO</v>
      </c>
    </row>
    <row r="128" spans="5:6" x14ac:dyDescent="0.2">
      <c r="E128" t="str">
        <f t="shared" si="3"/>
        <v xml:space="preserve"> </v>
      </c>
      <c r="F128" t="str">
        <f>IF(IFERROR(VLOOKUP(Users!E128,Credits!A:A,1,FALSE),"NO")="NO","NO","YES")</f>
        <v>NO</v>
      </c>
    </row>
    <row r="129" spans="5:6" x14ac:dyDescent="0.2">
      <c r="E129" t="str">
        <f t="shared" si="3"/>
        <v xml:space="preserve"> </v>
      </c>
      <c r="F129" t="str">
        <f>IF(IFERROR(VLOOKUP(Users!E129,Credits!A:A,1,FALSE),"NO")="NO","NO","YES")</f>
        <v>NO</v>
      </c>
    </row>
    <row r="130" spans="5:6" x14ac:dyDescent="0.2">
      <c r="E130" t="str">
        <f t="shared" si="3"/>
        <v xml:space="preserve"> </v>
      </c>
      <c r="F130" t="str">
        <f>IF(IFERROR(VLOOKUP(Users!E130,Credits!A:A,1,FALSE),"NO")="NO","NO","YES")</f>
        <v>NO</v>
      </c>
    </row>
    <row r="131" spans="5:6" x14ac:dyDescent="0.2">
      <c r="E131" t="str">
        <f t="shared" si="3"/>
        <v xml:space="preserve"> </v>
      </c>
      <c r="F131" t="str">
        <f>IF(IFERROR(VLOOKUP(Users!E131,Credits!A:A,1,FALSE),"NO")="NO","NO","YES")</f>
        <v>NO</v>
      </c>
    </row>
    <row r="132" spans="5:6" x14ac:dyDescent="0.2">
      <c r="E132" t="str">
        <f t="shared" si="3"/>
        <v xml:space="preserve"> </v>
      </c>
      <c r="F132" t="str">
        <f>IF(IFERROR(VLOOKUP(Users!E132,Credits!A:A,1,FALSE),"NO")="NO","NO","YES")</f>
        <v>NO</v>
      </c>
    </row>
    <row r="133" spans="5:6" x14ac:dyDescent="0.2">
      <c r="E133" t="str">
        <f t="shared" si="3"/>
        <v xml:space="preserve"> </v>
      </c>
      <c r="F133" t="str">
        <f>IF(IFERROR(VLOOKUP(Users!E133,Credits!A:A,1,FALSE),"NO")="NO","NO","YES")</f>
        <v>NO</v>
      </c>
    </row>
    <row r="134" spans="5:6" x14ac:dyDescent="0.2">
      <c r="E134" t="str">
        <f t="shared" si="3"/>
        <v xml:space="preserve"> </v>
      </c>
      <c r="F134" t="str">
        <f>IF(IFERROR(VLOOKUP(Users!E134,Credits!A:A,1,FALSE),"NO")="NO","NO","YES")</f>
        <v>NO</v>
      </c>
    </row>
    <row r="135" spans="5:6" x14ac:dyDescent="0.2">
      <c r="E135" t="str">
        <f t="shared" ref="E135:E171" si="4">B135&amp;" "&amp;C135</f>
        <v xml:space="preserve"> </v>
      </c>
      <c r="F135" t="str">
        <f>IF(IFERROR(VLOOKUP(Users!E135,Credits!A:A,1,FALSE),"NO")="NO","NO","YES")</f>
        <v>NO</v>
      </c>
    </row>
    <row r="136" spans="5:6" x14ac:dyDescent="0.2">
      <c r="E136" t="str">
        <f t="shared" si="4"/>
        <v xml:space="preserve"> </v>
      </c>
      <c r="F136" t="str">
        <f>IF(IFERROR(VLOOKUP(Users!E136,Credits!A:A,1,FALSE),"NO")="NO","NO","YES")</f>
        <v>NO</v>
      </c>
    </row>
    <row r="137" spans="5:6" x14ac:dyDescent="0.2">
      <c r="E137" t="str">
        <f t="shared" si="4"/>
        <v xml:space="preserve"> </v>
      </c>
      <c r="F137" t="str">
        <f>IF(IFERROR(VLOOKUP(Users!E137,Credits!A:A,1,FALSE),"NO")="NO","NO","YES")</f>
        <v>NO</v>
      </c>
    </row>
    <row r="138" spans="5:6" x14ac:dyDescent="0.2">
      <c r="E138" t="str">
        <f t="shared" si="4"/>
        <v xml:space="preserve"> </v>
      </c>
      <c r="F138" t="str">
        <f>IF(IFERROR(VLOOKUP(Users!E138,Credits!A:A,1,FALSE),"NO")="NO","NO","YES")</f>
        <v>NO</v>
      </c>
    </row>
    <row r="139" spans="5:6" x14ac:dyDescent="0.2">
      <c r="E139" t="str">
        <f t="shared" si="4"/>
        <v xml:space="preserve"> </v>
      </c>
      <c r="F139" t="str">
        <f>IF(IFERROR(VLOOKUP(Users!E139,Credits!A:A,1,FALSE),"NO")="NO","NO","YES")</f>
        <v>NO</v>
      </c>
    </row>
    <row r="140" spans="5:6" x14ac:dyDescent="0.2">
      <c r="E140" t="str">
        <f t="shared" si="4"/>
        <v xml:space="preserve"> </v>
      </c>
      <c r="F140" t="str">
        <f>IF(IFERROR(VLOOKUP(Users!E140,Credits!A:A,1,FALSE),"NO")="NO","NO","YES")</f>
        <v>NO</v>
      </c>
    </row>
    <row r="141" spans="5:6" x14ac:dyDescent="0.2">
      <c r="E141" t="str">
        <f t="shared" si="4"/>
        <v xml:space="preserve"> </v>
      </c>
      <c r="F141" t="str">
        <f>IF(IFERROR(VLOOKUP(Users!E141,Credits!A:A,1,FALSE),"NO")="NO","NO","YES")</f>
        <v>NO</v>
      </c>
    </row>
    <row r="142" spans="5:6" x14ac:dyDescent="0.2">
      <c r="E142" t="str">
        <f t="shared" si="4"/>
        <v xml:space="preserve"> </v>
      </c>
      <c r="F142" t="str">
        <f>IF(IFERROR(VLOOKUP(Users!E142,Credits!A:A,1,FALSE),"NO")="NO","NO","YES")</f>
        <v>NO</v>
      </c>
    </row>
    <row r="143" spans="5:6" x14ac:dyDescent="0.2">
      <c r="E143" t="str">
        <f t="shared" si="4"/>
        <v xml:space="preserve"> </v>
      </c>
      <c r="F143" t="str">
        <f>IF(IFERROR(VLOOKUP(Users!E143,Credits!A:A,1,FALSE),"NO")="NO","NO","YES")</f>
        <v>NO</v>
      </c>
    </row>
    <row r="144" spans="5:6" x14ac:dyDescent="0.2">
      <c r="E144" t="str">
        <f t="shared" si="4"/>
        <v xml:space="preserve"> </v>
      </c>
      <c r="F144" t="str">
        <f>IF(IFERROR(VLOOKUP(Users!E144,Credits!A:A,1,FALSE),"NO")="NO","NO","YES")</f>
        <v>NO</v>
      </c>
    </row>
    <row r="145" spans="5:6" x14ac:dyDescent="0.2">
      <c r="E145" t="str">
        <f t="shared" si="4"/>
        <v xml:space="preserve"> </v>
      </c>
      <c r="F145" t="str">
        <f>IF(IFERROR(VLOOKUP(Users!E145,Credits!A:A,1,FALSE),"NO")="NO","NO","YES")</f>
        <v>NO</v>
      </c>
    </row>
    <row r="146" spans="5:6" x14ac:dyDescent="0.2">
      <c r="E146" t="str">
        <f t="shared" si="4"/>
        <v xml:space="preserve"> </v>
      </c>
      <c r="F146" t="str">
        <f>IF(IFERROR(VLOOKUP(Users!E146,Credits!A:A,1,FALSE),"NO")="NO","NO","YES")</f>
        <v>NO</v>
      </c>
    </row>
    <row r="147" spans="5:6" x14ac:dyDescent="0.2">
      <c r="E147" t="str">
        <f t="shared" si="4"/>
        <v xml:space="preserve"> </v>
      </c>
      <c r="F147" t="str">
        <f>IF(IFERROR(VLOOKUP(Users!E147,Credits!A:A,1,FALSE),"NO")="NO","NO","YES")</f>
        <v>NO</v>
      </c>
    </row>
    <row r="148" spans="5:6" x14ac:dyDescent="0.2">
      <c r="E148" t="str">
        <f t="shared" si="4"/>
        <v xml:space="preserve"> </v>
      </c>
      <c r="F148" t="str">
        <f>IF(IFERROR(VLOOKUP(Users!E148,Credits!A:A,1,FALSE),"NO")="NO","NO","YES")</f>
        <v>NO</v>
      </c>
    </row>
    <row r="149" spans="5:6" x14ac:dyDescent="0.2">
      <c r="E149" t="str">
        <f t="shared" si="4"/>
        <v xml:space="preserve"> </v>
      </c>
      <c r="F149" t="str">
        <f>IF(IFERROR(VLOOKUP(Users!E149,Credits!A:A,1,FALSE),"NO")="NO","NO","YES")</f>
        <v>NO</v>
      </c>
    </row>
    <row r="150" spans="5:6" x14ac:dyDescent="0.2">
      <c r="E150" t="str">
        <f t="shared" si="4"/>
        <v xml:space="preserve"> </v>
      </c>
      <c r="F150" t="str">
        <f>IF(IFERROR(VLOOKUP(Users!E150,Credits!A:A,1,FALSE),"NO")="NO","NO","YES")</f>
        <v>NO</v>
      </c>
    </row>
    <row r="151" spans="5:6" x14ac:dyDescent="0.2">
      <c r="E151" t="str">
        <f t="shared" si="4"/>
        <v xml:space="preserve"> </v>
      </c>
      <c r="F151" t="str">
        <f>IF(IFERROR(VLOOKUP(Users!E151,Credits!A:A,1,FALSE),"NO")="NO","NO","YES")</f>
        <v>NO</v>
      </c>
    </row>
    <row r="152" spans="5:6" x14ac:dyDescent="0.2">
      <c r="E152" t="str">
        <f t="shared" si="4"/>
        <v xml:space="preserve"> </v>
      </c>
      <c r="F152" t="str">
        <f>IF(IFERROR(VLOOKUP(Users!E152,Credits!A:A,1,FALSE),"NO")="NO","NO","YES")</f>
        <v>NO</v>
      </c>
    </row>
    <row r="153" spans="5:6" x14ac:dyDescent="0.2">
      <c r="E153" t="str">
        <f t="shared" si="4"/>
        <v xml:space="preserve"> </v>
      </c>
      <c r="F153" t="str">
        <f>IF(IFERROR(VLOOKUP(Users!E153,Credits!A:A,1,FALSE),"NO")="NO","NO","YES")</f>
        <v>NO</v>
      </c>
    </row>
    <row r="154" spans="5:6" x14ac:dyDescent="0.2">
      <c r="E154" t="str">
        <f t="shared" si="4"/>
        <v xml:space="preserve"> </v>
      </c>
      <c r="F154" t="str">
        <f>IF(IFERROR(VLOOKUP(Users!E154,Credits!A:A,1,FALSE),"NO")="NO","NO","YES")</f>
        <v>NO</v>
      </c>
    </row>
    <row r="155" spans="5:6" x14ac:dyDescent="0.2">
      <c r="E155" t="str">
        <f t="shared" si="4"/>
        <v xml:space="preserve"> </v>
      </c>
      <c r="F155" t="str">
        <f>IF(IFERROR(VLOOKUP(Users!E155,Credits!A:A,1,FALSE),"NO")="NO","NO","YES")</f>
        <v>NO</v>
      </c>
    </row>
    <row r="156" spans="5:6" x14ac:dyDescent="0.2">
      <c r="E156" t="str">
        <f t="shared" si="4"/>
        <v xml:space="preserve"> </v>
      </c>
      <c r="F156" t="str">
        <f>IF(IFERROR(VLOOKUP(Users!E156,Credits!A:A,1,FALSE),"NO")="NO","NO","YES")</f>
        <v>NO</v>
      </c>
    </row>
    <row r="157" spans="5:6" x14ac:dyDescent="0.2">
      <c r="E157" t="str">
        <f t="shared" si="4"/>
        <v xml:space="preserve"> </v>
      </c>
      <c r="F157" t="str">
        <f>IF(IFERROR(VLOOKUP(Users!E157,Credits!A:A,1,FALSE),"NO")="NO","NO","YES")</f>
        <v>NO</v>
      </c>
    </row>
    <row r="158" spans="5:6" x14ac:dyDescent="0.2">
      <c r="E158" t="str">
        <f t="shared" si="4"/>
        <v xml:space="preserve"> </v>
      </c>
      <c r="F158" t="str">
        <f>IF(IFERROR(VLOOKUP(Users!E158,Credits!A:A,1,FALSE),"NO")="NO","NO","YES")</f>
        <v>NO</v>
      </c>
    </row>
    <row r="159" spans="5:6" x14ac:dyDescent="0.2">
      <c r="E159" t="str">
        <f t="shared" si="4"/>
        <v xml:space="preserve"> </v>
      </c>
      <c r="F159" t="str">
        <f>IF(IFERROR(VLOOKUP(Users!E159,Credits!A:A,1,FALSE),"NO")="NO","NO","YES")</f>
        <v>NO</v>
      </c>
    </row>
    <row r="160" spans="5:6" x14ac:dyDescent="0.2">
      <c r="E160" t="str">
        <f t="shared" si="4"/>
        <v xml:space="preserve"> </v>
      </c>
      <c r="F160" t="str">
        <f>IF(IFERROR(VLOOKUP(Users!E160,Credits!A:A,1,FALSE),"NO")="NO","NO","YES")</f>
        <v>NO</v>
      </c>
    </row>
    <row r="161" spans="5:6" x14ac:dyDescent="0.2">
      <c r="E161" t="str">
        <f t="shared" si="4"/>
        <v xml:space="preserve"> </v>
      </c>
      <c r="F161" t="str">
        <f>IF(IFERROR(VLOOKUP(Users!E161,Credits!A:A,1,FALSE),"NO")="NO","NO","YES")</f>
        <v>NO</v>
      </c>
    </row>
    <row r="162" spans="5:6" x14ac:dyDescent="0.2">
      <c r="E162" t="str">
        <f t="shared" si="4"/>
        <v xml:space="preserve"> </v>
      </c>
      <c r="F162" t="str">
        <f>IF(IFERROR(VLOOKUP(Users!E162,Credits!A:A,1,FALSE),"NO")="NO","NO","YES")</f>
        <v>NO</v>
      </c>
    </row>
    <row r="163" spans="5:6" x14ac:dyDescent="0.2">
      <c r="E163" t="str">
        <f t="shared" si="4"/>
        <v xml:space="preserve"> </v>
      </c>
      <c r="F163" t="str">
        <f>IF(IFERROR(VLOOKUP(Users!E163,Credits!A:A,1,FALSE),"NO")="NO","NO","YES")</f>
        <v>NO</v>
      </c>
    </row>
    <row r="164" spans="5:6" x14ac:dyDescent="0.2">
      <c r="E164" t="str">
        <f t="shared" si="4"/>
        <v xml:space="preserve"> </v>
      </c>
      <c r="F164" t="str">
        <f>IF(IFERROR(VLOOKUP(Users!E164,Credits!A:A,1,FALSE),"NO")="NO","NO","YES")</f>
        <v>NO</v>
      </c>
    </row>
    <row r="165" spans="5:6" x14ac:dyDescent="0.2">
      <c r="E165" t="str">
        <f t="shared" si="4"/>
        <v xml:space="preserve"> </v>
      </c>
    </row>
    <row r="166" spans="5:6" x14ac:dyDescent="0.2">
      <c r="E166" t="str">
        <f t="shared" si="4"/>
        <v xml:space="preserve"> </v>
      </c>
    </row>
    <row r="167" spans="5:6" x14ac:dyDescent="0.2">
      <c r="E167" t="str">
        <f t="shared" si="4"/>
        <v xml:space="preserve"> </v>
      </c>
    </row>
    <row r="168" spans="5:6" x14ac:dyDescent="0.2">
      <c r="E168" t="str">
        <f t="shared" si="4"/>
        <v xml:space="preserve"> </v>
      </c>
    </row>
    <row r="169" spans="5:6" x14ac:dyDescent="0.2">
      <c r="E169" t="str">
        <f t="shared" si="4"/>
        <v xml:space="preserve"> </v>
      </c>
    </row>
    <row r="170" spans="5:6" x14ac:dyDescent="0.2">
      <c r="E170" t="str">
        <f t="shared" si="4"/>
        <v xml:space="preserve"> </v>
      </c>
    </row>
    <row r="171" spans="5:6" x14ac:dyDescent="0.2">
      <c r="E171" t="str">
        <f t="shared" si="4"/>
        <v xml:space="preserve"> </v>
      </c>
    </row>
  </sheetData>
  <autoFilter ref="A1:F164" xr:uid="{9C0B4478-8974-4158-8A7A-467773E4A647}"/>
  <phoneticPr fontId="4" type="noConversion"/>
  <hyperlinks>
    <hyperlink ref="A60" r:id="rId1" xr:uid="{97A3D75E-7E3F-4D26-A917-D050DF3BC220}"/>
    <hyperlink ref="A80" r:id="rId2" xr:uid="{6FB6EAE1-0DA9-4654-B61C-92B41C45FD34}"/>
    <hyperlink ref="A14" r:id="rId3" xr:uid="{A5BA40D0-8833-4909-A6C1-12F61A71CF11}"/>
    <hyperlink ref="A35" r:id="rId4" xr:uid="{55963E50-0B2A-4331-B205-3D3A5D941B89}"/>
    <hyperlink ref="A96" r:id="rId5" xr:uid="{351CA088-A199-4DCA-B07F-B0E384EA8D4E}"/>
    <hyperlink ref="A67" r:id="rId6" xr:uid="{21D32DE2-9556-49A1-B741-6ACFDDF9E6AA}"/>
    <hyperlink ref="A32" r:id="rId7" xr:uid="{25619F90-E22E-49E7-8A58-57EDC1FF7372}"/>
    <hyperlink ref="A77" r:id="rId8" xr:uid="{0B9B988E-8986-4ADA-AB69-D21CC1F968C8}"/>
    <hyperlink ref="A27" r:id="rId9" xr:uid="{FB4F7DFC-09F1-44BF-BED9-31075D62E78B}"/>
    <hyperlink ref="A6" r:id="rId10" xr:uid="{4367FD0D-1569-4CFD-A19D-C44A1C4328EC}"/>
    <hyperlink ref="A17" r:id="rId11" xr:uid="{BFF8A61B-59D5-487E-94C2-74BB28190451}"/>
    <hyperlink ref="A30" r:id="rId12" xr:uid="{E104A42D-6E44-4473-BA67-0E1A5D336D39}"/>
    <hyperlink ref="A73" r:id="rId13" xr:uid="{A8AE6BCB-4260-418D-9973-4821E07BD04E}"/>
    <hyperlink ref="A22" r:id="rId14" xr:uid="{982A757C-A010-4ADE-AEFA-9D835589CBFA}"/>
    <hyperlink ref="A101" r:id="rId15" xr:uid="{7923DC51-FBC7-4283-BBFF-5045214C61E6}"/>
    <hyperlink ref="A102" r:id="rId16" xr:uid="{8AD811DA-CE83-45D1-B30E-92BA64E2CACB}"/>
    <hyperlink ref="A103" r:id="rId17" xr:uid="{D253FEDA-A2F3-4FEE-A486-3D1E4C70CB51}"/>
    <hyperlink ref="A104" r:id="rId18" xr:uid="{50943E09-78C3-47F0-B844-1E527D3FD9A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A19A-A2B1-3340-9D41-94F7497AB614}">
  <sheetPr>
    <tabColor rgb="FFFFFF00"/>
  </sheetPr>
  <dimension ref="A1:AB454"/>
  <sheetViews>
    <sheetView topLeftCell="A88" zoomScaleNormal="100" workbookViewId="0">
      <pane xSplit="5" topLeftCell="M1" activePane="topRight" state="frozen"/>
      <selection pane="topRight" activeCell="P105" sqref="P105"/>
    </sheetView>
  </sheetViews>
  <sheetFormatPr baseColWidth="10" defaultColWidth="9" defaultRowHeight="15.75" customHeight="1" x14ac:dyDescent="0.2"/>
  <cols>
    <col min="1" max="1" width="15.5" style="9" bestFit="1" customWidth="1"/>
    <col min="2" max="2" width="11.6640625" style="9" customWidth="1"/>
    <col min="3" max="3" width="11.1640625" style="9" customWidth="1"/>
    <col min="4" max="4" width="20.33203125" style="9" bestFit="1" customWidth="1"/>
    <col min="5" max="5" width="32.6640625" style="114" bestFit="1" customWidth="1"/>
    <col min="6" max="6" width="14.33203125" style="79" customWidth="1"/>
    <col min="7" max="7" width="67.5" style="9" bestFit="1" customWidth="1"/>
    <col min="8" max="8" width="10.33203125" style="114" customWidth="1"/>
    <col min="9" max="9" width="20.1640625" style="153" customWidth="1"/>
    <col min="10" max="10" width="4.5" style="17" customWidth="1"/>
    <col min="11" max="11" width="14" style="17" customWidth="1"/>
    <col min="12" max="12" width="4.5" style="17" customWidth="1"/>
    <col min="13" max="13" width="14.1640625" style="17" bestFit="1" customWidth="1"/>
    <col min="14" max="14" width="16.6640625" style="17" bestFit="1" customWidth="1"/>
    <col min="15" max="15" width="19.83203125" style="17" bestFit="1" customWidth="1"/>
    <col min="16" max="16" width="30.6640625" style="17" customWidth="1"/>
    <col min="17" max="17" width="22.33203125" style="9" customWidth="1"/>
    <col min="18" max="18" width="4.83203125" style="9" customWidth="1"/>
    <col min="19" max="19" width="13.1640625" style="95" bestFit="1" customWidth="1"/>
    <col min="20" max="20" width="37.1640625" style="95" customWidth="1"/>
    <col min="21" max="22" width="13.83203125" style="96" customWidth="1"/>
    <col min="23" max="24" width="19" style="95" customWidth="1"/>
    <col min="25" max="25" width="37.1640625" customWidth="1"/>
  </cols>
  <sheetData>
    <row r="1" spans="1:27" s="11" customFormat="1" ht="16" x14ac:dyDescent="0.2">
      <c r="A1" s="10" t="s">
        <v>5</v>
      </c>
      <c r="B1" s="10" t="s">
        <v>654</v>
      </c>
      <c r="C1" s="10" t="s">
        <v>95</v>
      </c>
      <c r="D1" s="10" t="s">
        <v>96</v>
      </c>
      <c r="E1" s="114" t="s">
        <v>431</v>
      </c>
      <c r="F1" s="78" t="s">
        <v>432</v>
      </c>
      <c r="G1" s="10" t="s">
        <v>9</v>
      </c>
      <c r="H1" s="114" t="s">
        <v>7</v>
      </c>
      <c r="I1" s="152" t="s">
        <v>10</v>
      </c>
      <c r="J1" s="16" t="s">
        <v>655</v>
      </c>
      <c r="K1" s="16" t="s">
        <v>656</v>
      </c>
      <c r="L1" s="16" t="s">
        <v>657</v>
      </c>
      <c r="M1" s="16" t="s">
        <v>658</v>
      </c>
      <c r="N1" s="16" t="s">
        <v>659</v>
      </c>
      <c r="O1" s="16" t="s">
        <v>660</v>
      </c>
      <c r="P1" s="16" t="s">
        <v>94</v>
      </c>
      <c r="Q1" s="10" t="s">
        <v>661</v>
      </c>
      <c r="R1" s="10" t="s">
        <v>662</v>
      </c>
      <c r="S1" s="95" t="s">
        <v>663</v>
      </c>
      <c r="T1" s="95" t="s">
        <v>664</v>
      </c>
      <c r="U1" s="96" t="s">
        <v>665</v>
      </c>
      <c r="V1" s="96" t="s">
        <v>666</v>
      </c>
      <c r="W1" s="95" t="s">
        <v>661</v>
      </c>
      <c r="X1" s="95" t="s">
        <v>667</v>
      </c>
      <c r="Y1" s="95" t="s">
        <v>668</v>
      </c>
      <c r="Z1" s="11" t="s">
        <v>334</v>
      </c>
      <c r="AA1" s="11" t="s">
        <v>390</v>
      </c>
    </row>
    <row r="2" spans="1:27" ht="16" x14ac:dyDescent="0.2">
      <c r="A2" s="9" t="s">
        <v>669</v>
      </c>
      <c r="B2" s="9" t="s">
        <v>670</v>
      </c>
      <c r="C2" s="9" t="s">
        <v>209</v>
      </c>
      <c r="D2" s="9" t="s">
        <v>210</v>
      </c>
      <c r="E2" s="114" t="s">
        <v>133</v>
      </c>
      <c r="G2" s="9" t="s">
        <v>671</v>
      </c>
      <c r="H2" s="114">
        <v>1</v>
      </c>
      <c r="I2" s="153">
        <v>45374</v>
      </c>
      <c r="J2" s="17">
        <v>1</v>
      </c>
      <c r="K2" s="17" t="s">
        <v>672</v>
      </c>
      <c r="L2" s="17">
        <v>25</v>
      </c>
      <c r="N2" s="17" t="s">
        <v>209</v>
      </c>
      <c r="O2" s="17" t="s">
        <v>210</v>
      </c>
      <c r="P2" s="17" t="s">
        <v>133</v>
      </c>
      <c r="R2" s="9" t="s">
        <v>673</v>
      </c>
      <c r="S2" s="97">
        <f t="shared" ref="S2:S33" si="0">H2</f>
        <v>1</v>
      </c>
      <c r="T2" s="95" t="str">
        <f t="shared" ref="T2:T65" si="1">G2</f>
        <v>Nimi hosts [Art Marathon] Somerset House: Assembly 2024 &amp;amp; Print Fair 23/03</v>
      </c>
      <c r="U2" s="96">
        <v>45374</v>
      </c>
      <c r="V2" s="95">
        <v>3</v>
      </c>
      <c r="Y2" s="95"/>
      <c r="Z2">
        <f>VLOOKUP(S2,Sessions!A:K,11,FALSE)</f>
        <v>1</v>
      </c>
    </row>
    <row r="3" spans="1:27" ht="16" x14ac:dyDescent="0.2">
      <c r="A3" s="9" t="s">
        <v>674</v>
      </c>
      <c r="B3" s="9" t="s">
        <v>670</v>
      </c>
      <c r="C3" s="9" t="s">
        <v>198</v>
      </c>
      <c r="D3" s="9" t="s">
        <v>199</v>
      </c>
      <c r="E3" s="114" t="s">
        <v>122</v>
      </c>
      <c r="G3" s="9" t="s">
        <v>671</v>
      </c>
      <c r="H3" s="114">
        <v>1</v>
      </c>
      <c r="I3" s="153">
        <v>45374</v>
      </c>
      <c r="J3" s="17">
        <v>1</v>
      </c>
      <c r="K3" s="17" t="s">
        <v>675</v>
      </c>
      <c r="L3" s="17">
        <v>40</v>
      </c>
      <c r="N3" s="17" t="s">
        <v>198</v>
      </c>
      <c r="O3" s="17" t="s">
        <v>199</v>
      </c>
      <c r="P3" s="17" t="s">
        <v>122</v>
      </c>
      <c r="R3" s="9" t="s">
        <v>673</v>
      </c>
      <c r="S3" s="97">
        <f t="shared" si="0"/>
        <v>1</v>
      </c>
      <c r="T3" s="95" t="str">
        <f t="shared" si="1"/>
        <v>Nimi hosts [Art Marathon] Somerset House: Assembly 2024 &amp;amp; Print Fair 23/03</v>
      </c>
      <c r="U3" s="96">
        <v>45374</v>
      </c>
      <c r="V3" s="95">
        <v>3</v>
      </c>
      <c r="Y3" s="95"/>
      <c r="Z3">
        <f>VLOOKUP(S3,Sessions!A:K,11,FALSE)</f>
        <v>1</v>
      </c>
    </row>
    <row r="4" spans="1:27" ht="16" x14ac:dyDescent="0.2">
      <c r="A4" s="9" t="s">
        <v>676</v>
      </c>
      <c r="B4" s="9" t="s">
        <v>670</v>
      </c>
      <c r="C4" s="9" t="s">
        <v>205</v>
      </c>
      <c r="D4" s="9" t="s">
        <v>206</v>
      </c>
      <c r="E4" s="114" t="s">
        <v>115</v>
      </c>
      <c r="G4" s="9" t="s">
        <v>671</v>
      </c>
      <c r="H4" s="114">
        <v>1</v>
      </c>
      <c r="I4" s="153">
        <v>45374</v>
      </c>
      <c r="J4" s="17">
        <v>1</v>
      </c>
      <c r="K4" s="17" t="s">
        <v>675</v>
      </c>
      <c r="L4" s="17">
        <v>40</v>
      </c>
      <c r="N4" s="17" t="s">
        <v>205</v>
      </c>
      <c r="O4" s="17" t="s">
        <v>206</v>
      </c>
      <c r="P4" s="17" t="s">
        <v>115</v>
      </c>
      <c r="R4" s="9" t="s">
        <v>673</v>
      </c>
      <c r="S4" s="97">
        <f t="shared" si="0"/>
        <v>1</v>
      </c>
      <c r="T4" s="95" t="str">
        <f t="shared" si="1"/>
        <v>Nimi hosts [Art Marathon] Somerset House: Assembly 2024 &amp;amp; Print Fair 23/03</v>
      </c>
      <c r="U4" s="96">
        <v>45374</v>
      </c>
      <c r="V4" s="95">
        <v>3</v>
      </c>
      <c r="Y4" s="95"/>
      <c r="Z4">
        <f>VLOOKUP(S4,Sessions!A:K,11,FALSE)</f>
        <v>1</v>
      </c>
    </row>
    <row r="5" spans="1:27" ht="16" x14ac:dyDescent="0.2">
      <c r="A5" s="9" t="s">
        <v>677</v>
      </c>
      <c r="B5" s="9" t="s">
        <v>670</v>
      </c>
      <c r="C5" s="9" t="s">
        <v>305</v>
      </c>
      <c r="D5" s="9" t="s">
        <v>306</v>
      </c>
      <c r="E5" s="114" t="s">
        <v>135</v>
      </c>
      <c r="G5" s="9" t="s">
        <v>671</v>
      </c>
      <c r="H5" s="114">
        <v>1</v>
      </c>
      <c r="I5" s="153">
        <v>45374</v>
      </c>
      <c r="J5" s="17">
        <v>1</v>
      </c>
      <c r="K5" s="17" t="s">
        <v>675</v>
      </c>
      <c r="L5" s="17">
        <v>40</v>
      </c>
      <c r="N5" s="17" t="s">
        <v>305</v>
      </c>
      <c r="O5" s="17" t="s">
        <v>306</v>
      </c>
      <c r="P5" s="17" t="s">
        <v>135</v>
      </c>
      <c r="R5" s="9" t="s">
        <v>673</v>
      </c>
      <c r="S5" s="97">
        <f t="shared" si="0"/>
        <v>1</v>
      </c>
      <c r="T5" s="95" t="str">
        <f t="shared" si="1"/>
        <v>Nimi hosts [Art Marathon] Somerset House: Assembly 2024 &amp;amp; Print Fair 23/03</v>
      </c>
      <c r="U5" s="96">
        <v>45374</v>
      </c>
      <c r="V5" s="95">
        <v>3</v>
      </c>
      <c r="Y5" s="95"/>
      <c r="Z5">
        <f>VLOOKUP(S5,Sessions!A:K,11,FALSE)</f>
        <v>1</v>
      </c>
    </row>
    <row r="6" spans="1:27" ht="16" x14ac:dyDescent="0.2">
      <c r="A6" s="9" t="s">
        <v>678</v>
      </c>
      <c r="B6" s="9" t="s">
        <v>670</v>
      </c>
      <c r="C6" s="9" t="s">
        <v>299</v>
      </c>
      <c r="D6" s="9" t="s">
        <v>300</v>
      </c>
      <c r="E6" s="114" t="s">
        <v>124</v>
      </c>
      <c r="G6" s="9" t="s">
        <v>671</v>
      </c>
      <c r="H6" s="114">
        <v>1</v>
      </c>
      <c r="I6" s="153">
        <v>45374</v>
      </c>
      <c r="J6" s="17">
        <v>1</v>
      </c>
      <c r="K6" s="17" t="s">
        <v>675</v>
      </c>
      <c r="L6" s="17">
        <v>40</v>
      </c>
      <c r="N6" s="17" t="s">
        <v>299</v>
      </c>
      <c r="O6" s="17" t="s">
        <v>300</v>
      </c>
      <c r="P6" s="17" t="s">
        <v>124</v>
      </c>
      <c r="R6" s="9" t="s">
        <v>673</v>
      </c>
      <c r="S6" s="97">
        <f t="shared" si="0"/>
        <v>1</v>
      </c>
      <c r="T6" s="95" t="str">
        <f t="shared" si="1"/>
        <v>Nimi hosts [Art Marathon] Somerset House: Assembly 2024 &amp;amp; Print Fair 23/03</v>
      </c>
      <c r="U6" s="96">
        <v>45374</v>
      </c>
      <c r="V6" s="95">
        <v>3</v>
      </c>
      <c r="Y6" s="95"/>
      <c r="Z6">
        <f>VLOOKUP(S6,Sessions!A:K,11,FALSE)</f>
        <v>1</v>
      </c>
    </row>
    <row r="7" spans="1:27" ht="16" x14ac:dyDescent="0.2">
      <c r="A7" s="9" t="s">
        <v>679</v>
      </c>
      <c r="B7" s="9" t="s">
        <v>670</v>
      </c>
      <c r="C7" s="9" t="s">
        <v>207</v>
      </c>
      <c r="D7" s="9" t="s">
        <v>208</v>
      </c>
      <c r="E7" s="114" t="s">
        <v>141</v>
      </c>
      <c r="G7" s="9" t="s">
        <v>671</v>
      </c>
      <c r="H7" s="114">
        <v>1</v>
      </c>
      <c r="I7" s="153">
        <v>45374</v>
      </c>
      <c r="J7" s="17">
        <v>1</v>
      </c>
      <c r="K7" s="17" t="s">
        <v>675</v>
      </c>
      <c r="L7" s="17">
        <v>40</v>
      </c>
      <c r="N7" s="17" t="s">
        <v>207</v>
      </c>
      <c r="O7" s="17" t="s">
        <v>208</v>
      </c>
      <c r="P7" s="17" t="s">
        <v>141</v>
      </c>
      <c r="R7" s="9" t="s">
        <v>673</v>
      </c>
      <c r="S7" s="97">
        <f t="shared" si="0"/>
        <v>1</v>
      </c>
      <c r="T7" s="95" t="str">
        <f t="shared" si="1"/>
        <v>Nimi hosts [Art Marathon] Somerset House: Assembly 2024 &amp;amp; Print Fair 23/03</v>
      </c>
      <c r="U7" s="96">
        <v>45374</v>
      </c>
      <c r="V7" s="95">
        <v>3</v>
      </c>
      <c r="Y7" s="95"/>
      <c r="Z7">
        <f>VLOOKUP(S7,Sessions!A:K,11,FALSE)</f>
        <v>1</v>
      </c>
    </row>
    <row r="8" spans="1:27" ht="16" x14ac:dyDescent="0.2">
      <c r="A8" s="9" t="s">
        <v>680</v>
      </c>
      <c r="B8" s="9" t="s">
        <v>670</v>
      </c>
      <c r="C8" s="9" t="s">
        <v>281</v>
      </c>
      <c r="D8" s="9" t="s">
        <v>282</v>
      </c>
      <c r="E8" s="114" t="s">
        <v>142</v>
      </c>
      <c r="G8" s="9" t="s">
        <v>671</v>
      </c>
      <c r="H8" s="114">
        <v>1</v>
      </c>
      <c r="I8" s="153">
        <v>45374</v>
      </c>
      <c r="J8" s="17">
        <v>1</v>
      </c>
      <c r="K8" s="17" t="s">
        <v>675</v>
      </c>
      <c r="L8" s="17">
        <v>40</v>
      </c>
      <c r="N8" s="17" t="s">
        <v>281</v>
      </c>
      <c r="O8" s="17" t="s">
        <v>282</v>
      </c>
      <c r="P8" s="17" t="s">
        <v>142</v>
      </c>
      <c r="R8" s="9" t="s">
        <v>673</v>
      </c>
      <c r="S8" s="97">
        <f t="shared" si="0"/>
        <v>1</v>
      </c>
      <c r="T8" s="95" t="str">
        <f t="shared" si="1"/>
        <v>Nimi hosts [Art Marathon] Somerset House: Assembly 2024 &amp;amp; Print Fair 23/03</v>
      </c>
      <c r="U8" s="96">
        <v>45374</v>
      </c>
      <c r="V8" s="95">
        <v>3</v>
      </c>
      <c r="Y8" s="95"/>
      <c r="Z8">
        <f>VLOOKUP(S8,Sessions!A:K,11,FALSE)</f>
        <v>1</v>
      </c>
    </row>
    <row r="9" spans="1:27" ht="16" x14ac:dyDescent="0.2">
      <c r="A9" s="9" t="s">
        <v>681</v>
      </c>
      <c r="B9" s="9" t="s">
        <v>670</v>
      </c>
      <c r="C9" s="9" t="s">
        <v>303</v>
      </c>
      <c r="D9" s="9" t="s">
        <v>304</v>
      </c>
      <c r="E9" s="114" t="s">
        <v>125</v>
      </c>
      <c r="G9" s="9" t="s">
        <v>671</v>
      </c>
      <c r="H9" s="114">
        <v>1</v>
      </c>
      <c r="I9" s="153">
        <v>45374</v>
      </c>
      <c r="J9" s="17">
        <v>1</v>
      </c>
      <c r="K9" s="17" t="s">
        <v>672</v>
      </c>
      <c r="L9" s="17">
        <v>25</v>
      </c>
      <c r="N9" s="17" t="s">
        <v>303</v>
      </c>
      <c r="O9" s="17" t="s">
        <v>304</v>
      </c>
      <c r="P9" s="17" t="s">
        <v>125</v>
      </c>
      <c r="R9" s="9" t="s">
        <v>673</v>
      </c>
      <c r="S9" s="97">
        <f t="shared" si="0"/>
        <v>1</v>
      </c>
      <c r="T9" s="95" t="str">
        <f t="shared" si="1"/>
        <v>Nimi hosts [Art Marathon] Somerset House: Assembly 2024 &amp;amp; Print Fair 23/03</v>
      </c>
      <c r="U9" s="96">
        <v>45374</v>
      </c>
      <c r="V9" s="95">
        <v>3</v>
      </c>
      <c r="Y9" s="95"/>
      <c r="Z9">
        <f>VLOOKUP(S9,Sessions!A:K,11,FALSE)</f>
        <v>1</v>
      </c>
    </row>
    <row r="10" spans="1:27" ht="16" x14ac:dyDescent="0.2">
      <c r="A10" s="9" t="s">
        <v>682</v>
      </c>
      <c r="B10" s="9" t="s">
        <v>670</v>
      </c>
      <c r="C10" s="9" t="s">
        <v>683</v>
      </c>
      <c r="D10" s="9" t="s">
        <v>201</v>
      </c>
      <c r="E10" s="114" t="s">
        <v>119</v>
      </c>
      <c r="G10" s="9" t="s">
        <v>671</v>
      </c>
      <c r="H10" s="114">
        <v>1</v>
      </c>
      <c r="I10" s="153">
        <v>45374</v>
      </c>
      <c r="J10" s="17">
        <v>1</v>
      </c>
      <c r="K10" s="17" t="s">
        <v>672</v>
      </c>
      <c r="L10" s="17">
        <v>25</v>
      </c>
      <c r="N10" s="17" t="s">
        <v>683</v>
      </c>
      <c r="O10" s="17" t="s">
        <v>201</v>
      </c>
      <c r="P10" s="17" t="s">
        <v>119</v>
      </c>
      <c r="R10" s="9" t="s">
        <v>673</v>
      </c>
      <c r="S10" s="97">
        <f t="shared" si="0"/>
        <v>1</v>
      </c>
      <c r="T10" s="95" t="str">
        <f t="shared" si="1"/>
        <v>Nimi hosts [Art Marathon] Somerset House: Assembly 2024 &amp;amp; Print Fair 23/03</v>
      </c>
      <c r="U10" s="96">
        <v>45374</v>
      </c>
      <c r="V10" s="95">
        <v>3</v>
      </c>
      <c r="Y10" s="95"/>
      <c r="Z10">
        <f>VLOOKUP(S10,Sessions!A:K,11,FALSE)</f>
        <v>1</v>
      </c>
    </row>
    <row r="11" spans="1:27" ht="16" x14ac:dyDescent="0.2">
      <c r="A11" s="9" t="s">
        <v>684</v>
      </c>
      <c r="B11" s="9" t="s">
        <v>670</v>
      </c>
      <c r="C11" s="9" t="s">
        <v>685</v>
      </c>
      <c r="D11" s="9" t="s">
        <v>686</v>
      </c>
      <c r="E11" s="114" t="s">
        <v>136</v>
      </c>
      <c r="G11" s="9" t="s">
        <v>671</v>
      </c>
      <c r="H11" s="114">
        <v>1</v>
      </c>
      <c r="I11" s="153">
        <v>45374</v>
      </c>
      <c r="J11" s="17">
        <v>1</v>
      </c>
      <c r="K11" s="17" t="s">
        <v>672</v>
      </c>
      <c r="L11" s="17">
        <v>25</v>
      </c>
      <c r="N11" s="17" t="s">
        <v>685</v>
      </c>
      <c r="O11" s="17" t="s">
        <v>686</v>
      </c>
      <c r="P11" s="17" t="s">
        <v>136</v>
      </c>
      <c r="R11" s="9" t="s">
        <v>673</v>
      </c>
      <c r="S11" s="97">
        <f t="shared" si="0"/>
        <v>1</v>
      </c>
      <c r="T11" s="95" t="str">
        <f t="shared" si="1"/>
        <v>Nimi hosts [Art Marathon] Somerset House: Assembly 2024 &amp;amp; Print Fair 23/03</v>
      </c>
      <c r="U11" s="96">
        <v>45374</v>
      </c>
      <c r="V11" s="95">
        <v>3</v>
      </c>
      <c r="Y11" s="95"/>
      <c r="Z11">
        <f>VLOOKUP(S11,Sessions!A:K,11,FALSE)</f>
        <v>1</v>
      </c>
    </row>
    <row r="12" spans="1:27" ht="16" x14ac:dyDescent="0.2">
      <c r="A12" s="9" t="s">
        <v>687</v>
      </c>
      <c r="B12" s="9" t="s">
        <v>670</v>
      </c>
      <c r="C12" s="9" t="s">
        <v>186</v>
      </c>
      <c r="D12" s="9" t="s">
        <v>187</v>
      </c>
      <c r="E12" s="114" t="s">
        <v>143</v>
      </c>
      <c r="G12" s="9" t="s">
        <v>671</v>
      </c>
      <c r="H12" s="114">
        <v>1</v>
      </c>
      <c r="I12" s="153">
        <v>45374</v>
      </c>
      <c r="J12" s="17">
        <v>1</v>
      </c>
      <c r="K12" s="17" t="s">
        <v>672</v>
      </c>
      <c r="L12" s="17">
        <v>25</v>
      </c>
      <c r="N12" s="17" t="s">
        <v>186</v>
      </c>
      <c r="O12" s="17" t="s">
        <v>187</v>
      </c>
      <c r="P12" s="17" t="s">
        <v>143</v>
      </c>
      <c r="R12" s="9" t="s">
        <v>673</v>
      </c>
      <c r="S12" s="97">
        <f t="shared" si="0"/>
        <v>1</v>
      </c>
      <c r="T12" s="95" t="str">
        <f t="shared" si="1"/>
        <v>Nimi hosts [Art Marathon] Somerset House: Assembly 2024 &amp;amp; Print Fair 23/03</v>
      </c>
      <c r="U12" s="96">
        <v>45374</v>
      </c>
      <c r="V12" s="95">
        <v>3</v>
      </c>
      <c r="Y12" s="95"/>
      <c r="Z12">
        <f>VLOOKUP(S12,Sessions!A:K,11,FALSE)</f>
        <v>1</v>
      </c>
    </row>
    <row r="13" spans="1:27" ht="16" x14ac:dyDescent="0.2">
      <c r="A13" t="s">
        <v>688</v>
      </c>
      <c r="B13" s="5" t="s">
        <v>689</v>
      </c>
      <c r="C13" s="5" t="s">
        <v>216</v>
      </c>
      <c r="D13" s="5" t="s">
        <v>217</v>
      </c>
      <c r="E13" s="115" t="s">
        <v>127</v>
      </c>
      <c r="F13" s="80"/>
      <c r="G13" t="s">
        <v>690</v>
      </c>
      <c r="H13" s="115">
        <v>2</v>
      </c>
      <c r="I13" s="154">
        <v>45376</v>
      </c>
      <c r="J13" s="18">
        <v>1</v>
      </c>
      <c r="K13" s="18" t="s">
        <v>691</v>
      </c>
      <c r="L13" s="18">
        <v>14</v>
      </c>
      <c r="M13" s="18"/>
      <c r="N13" s="18" t="s">
        <v>216</v>
      </c>
      <c r="O13" s="18" t="s">
        <v>217</v>
      </c>
      <c r="P13" s="18" t="s">
        <v>127</v>
      </c>
      <c r="Q13"/>
      <c r="R13" t="s">
        <v>673</v>
      </c>
      <c r="S13" s="97">
        <f t="shared" si="0"/>
        <v>2</v>
      </c>
      <c r="T13" s="95" t="str">
        <f t="shared" si="1"/>
        <v>Nimi hosts [Creative Session] Life Drawing at Estorick Collection</v>
      </c>
      <c r="U13" s="96">
        <v>45376</v>
      </c>
      <c r="V13" s="95">
        <v>3</v>
      </c>
      <c r="Y13" s="95"/>
      <c r="Z13">
        <f>VLOOKUP(S13,Sessions!A:K,11,FALSE)</f>
        <v>1</v>
      </c>
    </row>
    <row r="14" spans="1:27" ht="16" x14ac:dyDescent="0.2">
      <c r="A14" t="s">
        <v>692</v>
      </c>
      <c r="B14" s="5" t="s">
        <v>689</v>
      </c>
      <c r="C14" s="5" t="s">
        <v>264</v>
      </c>
      <c r="D14" s="5" t="s">
        <v>265</v>
      </c>
      <c r="E14" s="115" t="s">
        <v>128</v>
      </c>
      <c r="F14" s="80"/>
      <c r="G14" t="s">
        <v>690</v>
      </c>
      <c r="H14" s="115">
        <v>2</v>
      </c>
      <c r="I14" s="154">
        <v>45376</v>
      </c>
      <c r="J14" s="18">
        <v>1</v>
      </c>
      <c r="K14" s="18" t="s">
        <v>691</v>
      </c>
      <c r="L14" s="18">
        <v>14</v>
      </c>
      <c r="M14" s="18"/>
      <c r="N14" s="18" t="s">
        <v>264</v>
      </c>
      <c r="O14" s="18" t="s">
        <v>265</v>
      </c>
      <c r="P14" s="18" t="s">
        <v>128</v>
      </c>
      <c r="Q14"/>
      <c r="R14" t="s">
        <v>673</v>
      </c>
      <c r="S14" s="97">
        <f t="shared" si="0"/>
        <v>2</v>
      </c>
      <c r="T14" s="95" t="str">
        <f t="shared" si="1"/>
        <v>Nimi hosts [Creative Session] Life Drawing at Estorick Collection</v>
      </c>
      <c r="U14" s="96">
        <v>45376</v>
      </c>
      <c r="V14" s="95">
        <v>3</v>
      </c>
      <c r="Y14" s="95"/>
      <c r="Z14">
        <f>VLOOKUP(S14,Sessions!A:K,11,FALSE)</f>
        <v>1</v>
      </c>
    </row>
    <row r="15" spans="1:27" ht="16" x14ac:dyDescent="0.2">
      <c r="A15" t="s">
        <v>693</v>
      </c>
      <c r="B15" s="5" t="s">
        <v>689</v>
      </c>
      <c r="C15" s="5" t="s">
        <v>261</v>
      </c>
      <c r="D15" s="5" t="s">
        <v>262</v>
      </c>
      <c r="E15" s="115" t="s">
        <v>129</v>
      </c>
      <c r="F15" s="80"/>
      <c r="G15" t="s">
        <v>690</v>
      </c>
      <c r="H15" s="115">
        <v>2</v>
      </c>
      <c r="I15" s="154">
        <v>45376</v>
      </c>
      <c r="J15" s="18">
        <v>1</v>
      </c>
      <c r="K15" s="18" t="s">
        <v>691</v>
      </c>
      <c r="L15" s="18">
        <v>14</v>
      </c>
      <c r="M15" s="18"/>
      <c r="N15" s="18" t="s">
        <v>261</v>
      </c>
      <c r="O15" s="18" t="s">
        <v>262</v>
      </c>
      <c r="P15" s="18" t="s">
        <v>129</v>
      </c>
      <c r="Q15"/>
      <c r="R15" t="s">
        <v>673</v>
      </c>
      <c r="S15" s="97">
        <f t="shared" si="0"/>
        <v>2</v>
      </c>
      <c r="T15" s="95" t="str">
        <f t="shared" si="1"/>
        <v>Nimi hosts [Creative Session] Life Drawing at Estorick Collection</v>
      </c>
      <c r="U15" s="96">
        <v>45376</v>
      </c>
      <c r="V15" s="95">
        <v>3</v>
      </c>
      <c r="Y15" s="95"/>
      <c r="Z15">
        <f>VLOOKUP(S15,Sessions!A:K,11,FALSE)</f>
        <v>1</v>
      </c>
    </row>
    <row r="16" spans="1:27" ht="16" x14ac:dyDescent="0.2">
      <c r="A16" t="s">
        <v>694</v>
      </c>
      <c r="B16" s="5" t="s">
        <v>670</v>
      </c>
      <c r="C16" s="5" t="s">
        <v>237</v>
      </c>
      <c r="D16" s="5" t="s">
        <v>238</v>
      </c>
      <c r="E16" s="115" t="s">
        <v>155</v>
      </c>
      <c r="F16" s="80"/>
      <c r="G16" t="s">
        <v>695</v>
      </c>
      <c r="H16" s="115">
        <v>3</v>
      </c>
      <c r="I16" s="154">
        <v>45381</v>
      </c>
      <c r="J16" s="18">
        <v>1</v>
      </c>
      <c r="K16" s="18" t="s">
        <v>691</v>
      </c>
      <c r="L16" s="18">
        <v>0</v>
      </c>
      <c r="M16" s="18"/>
      <c r="N16" s="18" t="s">
        <v>237</v>
      </c>
      <c r="O16" s="18" t="s">
        <v>238</v>
      </c>
      <c r="P16" s="18" t="s">
        <v>155</v>
      </c>
      <c r="Q16"/>
      <c r="R16" t="s">
        <v>673</v>
      </c>
      <c r="S16" s="97">
        <f t="shared" si="0"/>
        <v>3</v>
      </c>
      <c r="T16" s="95" t="str">
        <f t="shared" si="1"/>
        <v>Nimi hosts [Hidden Gem] Serpentine Gallery: Refik Anadol</v>
      </c>
      <c r="U16" s="96">
        <v>45381</v>
      </c>
      <c r="V16" s="95">
        <v>3</v>
      </c>
      <c r="Y16" s="95"/>
      <c r="Z16">
        <f>VLOOKUP(S16,Sessions!A:K,11,FALSE)</f>
        <v>4</v>
      </c>
    </row>
    <row r="17" spans="1:26" ht="16" x14ac:dyDescent="0.2">
      <c r="A17" t="s">
        <v>696</v>
      </c>
      <c r="B17" s="5" t="s">
        <v>670</v>
      </c>
      <c r="C17" s="5" t="s">
        <v>203</v>
      </c>
      <c r="D17" s="5" t="s">
        <v>204</v>
      </c>
      <c r="E17" s="162" t="s">
        <v>120</v>
      </c>
      <c r="F17" s="80"/>
      <c r="G17" t="s">
        <v>695</v>
      </c>
      <c r="H17" s="115">
        <v>3</v>
      </c>
      <c r="I17" s="154">
        <v>45381</v>
      </c>
      <c r="J17" s="18">
        <v>1</v>
      </c>
      <c r="K17" s="18" t="s">
        <v>697</v>
      </c>
      <c r="L17" s="18">
        <v>5</v>
      </c>
      <c r="M17" s="18"/>
      <c r="N17" s="18" t="s">
        <v>203</v>
      </c>
      <c r="O17" s="18" t="s">
        <v>204</v>
      </c>
      <c r="P17" s="18" t="s">
        <v>120</v>
      </c>
      <c r="Q17"/>
      <c r="R17" t="s">
        <v>673</v>
      </c>
      <c r="S17" s="97">
        <f t="shared" si="0"/>
        <v>3</v>
      </c>
      <c r="T17" s="95" t="str">
        <f t="shared" si="1"/>
        <v>Nimi hosts [Hidden Gem] Serpentine Gallery: Refik Anadol</v>
      </c>
      <c r="U17" s="96">
        <v>45381</v>
      </c>
      <c r="V17" s="95">
        <v>3</v>
      </c>
      <c r="Y17" s="95"/>
      <c r="Z17">
        <f>VLOOKUP(S17,Sessions!A:K,11,FALSE)</f>
        <v>4</v>
      </c>
    </row>
    <row r="18" spans="1:26" ht="16" x14ac:dyDescent="0.2">
      <c r="A18" t="s">
        <v>696</v>
      </c>
      <c r="B18" s="5" t="s">
        <v>670</v>
      </c>
      <c r="C18" s="146" t="s">
        <v>226</v>
      </c>
      <c r="D18" s="146" t="s">
        <v>227</v>
      </c>
      <c r="E18" s="163" t="s">
        <v>165</v>
      </c>
      <c r="F18" s="80"/>
      <c r="G18" t="s">
        <v>695</v>
      </c>
      <c r="H18" s="115">
        <v>3</v>
      </c>
      <c r="I18" s="154">
        <v>45381</v>
      </c>
      <c r="J18" s="18">
        <v>1</v>
      </c>
      <c r="K18" s="18" t="s">
        <v>697</v>
      </c>
      <c r="L18" s="18">
        <v>5</v>
      </c>
      <c r="M18" s="18"/>
      <c r="N18" s="64" t="s">
        <v>226</v>
      </c>
      <c r="O18" s="64" t="s">
        <v>227</v>
      </c>
      <c r="P18" s="64" t="s">
        <v>165</v>
      </c>
      <c r="Q18"/>
      <c r="R18" t="s">
        <v>673</v>
      </c>
      <c r="S18" s="97">
        <f t="shared" si="0"/>
        <v>3</v>
      </c>
      <c r="T18" s="95" t="str">
        <f t="shared" si="1"/>
        <v>Nimi hosts [Hidden Gem] Serpentine Gallery: Refik Anadol</v>
      </c>
      <c r="U18" s="96">
        <v>45381</v>
      </c>
      <c r="V18" s="95">
        <v>3</v>
      </c>
      <c r="Y18" s="95"/>
      <c r="Z18">
        <f>VLOOKUP(S18,Sessions!A:K,11,FALSE)</f>
        <v>4</v>
      </c>
    </row>
    <row r="19" spans="1:26" ht="16" x14ac:dyDescent="0.2">
      <c r="A19" t="s">
        <v>698</v>
      </c>
      <c r="B19" s="5" t="s">
        <v>670</v>
      </c>
      <c r="C19" s="5" t="s">
        <v>275</v>
      </c>
      <c r="D19" s="5" t="s">
        <v>276</v>
      </c>
      <c r="E19" s="125" t="s">
        <v>139</v>
      </c>
      <c r="F19" s="80"/>
      <c r="G19" t="s">
        <v>695</v>
      </c>
      <c r="H19" s="115">
        <v>3</v>
      </c>
      <c r="I19" s="154">
        <v>45381</v>
      </c>
      <c r="J19" s="18">
        <v>1</v>
      </c>
      <c r="K19" s="18" t="s">
        <v>697</v>
      </c>
      <c r="L19" s="18">
        <v>5</v>
      </c>
      <c r="M19" s="18"/>
      <c r="N19" s="18" t="s">
        <v>275</v>
      </c>
      <c r="O19" s="18" t="s">
        <v>276</v>
      </c>
      <c r="P19" s="18" t="s">
        <v>140</v>
      </c>
      <c r="Q19"/>
      <c r="R19" t="s">
        <v>673</v>
      </c>
      <c r="S19" s="97">
        <f t="shared" si="0"/>
        <v>3</v>
      </c>
      <c r="T19" s="95" t="str">
        <f t="shared" si="1"/>
        <v>Nimi hosts [Hidden Gem] Serpentine Gallery: Refik Anadol</v>
      </c>
      <c r="U19" s="96">
        <v>45381</v>
      </c>
      <c r="V19" s="95">
        <v>3</v>
      </c>
      <c r="Y19" s="95"/>
      <c r="Z19">
        <f>VLOOKUP(S19,Sessions!A:K,11,FALSE)</f>
        <v>4</v>
      </c>
    </row>
    <row r="20" spans="1:26" ht="16" x14ac:dyDescent="0.2">
      <c r="A20" t="s">
        <v>699</v>
      </c>
      <c r="B20" s="5" t="s">
        <v>670</v>
      </c>
      <c r="C20" s="5" t="s">
        <v>195</v>
      </c>
      <c r="D20" s="5" t="s">
        <v>196</v>
      </c>
      <c r="E20" s="115" t="s">
        <v>157</v>
      </c>
      <c r="F20" s="80"/>
      <c r="G20" t="s">
        <v>695</v>
      </c>
      <c r="H20" s="115">
        <v>3</v>
      </c>
      <c r="I20" s="154">
        <v>45381</v>
      </c>
      <c r="J20" s="18">
        <v>1</v>
      </c>
      <c r="K20" s="18" t="s">
        <v>697</v>
      </c>
      <c r="L20" s="18">
        <v>0</v>
      </c>
      <c r="M20" s="18" t="s">
        <v>700</v>
      </c>
      <c r="N20" s="18" t="s">
        <v>195</v>
      </c>
      <c r="O20" s="18" t="s">
        <v>196</v>
      </c>
      <c r="P20" s="18" t="s">
        <v>157</v>
      </c>
      <c r="Q20"/>
      <c r="R20" t="s">
        <v>673</v>
      </c>
      <c r="S20" s="97">
        <f t="shared" si="0"/>
        <v>3</v>
      </c>
      <c r="T20" s="95" t="str">
        <f t="shared" si="1"/>
        <v>Nimi hosts [Hidden Gem] Serpentine Gallery: Refik Anadol</v>
      </c>
      <c r="U20" s="96">
        <v>45381</v>
      </c>
      <c r="V20" s="95">
        <v>3</v>
      </c>
      <c r="Y20" s="95"/>
      <c r="Z20">
        <f>VLOOKUP(S20,Sessions!A:K,11,FALSE)</f>
        <v>4</v>
      </c>
    </row>
    <row r="21" spans="1:26" ht="16" x14ac:dyDescent="0.2">
      <c r="A21" t="s">
        <v>701</v>
      </c>
      <c r="B21" s="5" t="s">
        <v>670</v>
      </c>
      <c r="C21" s="5" t="s">
        <v>216</v>
      </c>
      <c r="D21" s="5" t="s">
        <v>217</v>
      </c>
      <c r="E21" s="115" t="s">
        <v>127</v>
      </c>
      <c r="F21" s="80"/>
      <c r="G21" t="s">
        <v>695</v>
      </c>
      <c r="H21" s="115">
        <v>3</v>
      </c>
      <c r="I21" s="154">
        <v>45381</v>
      </c>
      <c r="J21" s="18">
        <v>1</v>
      </c>
      <c r="K21" s="18" t="s">
        <v>697</v>
      </c>
      <c r="L21" s="18">
        <v>5</v>
      </c>
      <c r="M21" s="18"/>
      <c r="N21" s="18" t="s">
        <v>216</v>
      </c>
      <c r="O21" s="18" t="s">
        <v>217</v>
      </c>
      <c r="P21" s="18" t="s">
        <v>127</v>
      </c>
      <c r="Q21"/>
      <c r="R21" t="s">
        <v>673</v>
      </c>
      <c r="S21" s="97">
        <f t="shared" si="0"/>
        <v>3</v>
      </c>
      <c r="T21" s="95" t="str">
        <f t="shared" si="1"/>
        <v>Nimi hosts [Hidden Gem] Serpentine Gallery: Refik Anadol</v>
      </c>
      <c r="U21" s="96">
        <v>45381</v>
      </c>
      <c r="V21" s="95">
        <v>3</v>
      </c>
      <c r="Y21" s="95"/>
      <c r="Z21">
        <f>VLOOKUP(S21,Sessions!A:K,11,FALSE)</f>
        <v>4</v>
      </c>
    </row>
    <row r="22" spans="1:26" ht="16" x14ac:dyDescent="0.2">
      <c r="A22" t="s">
        <v>702</v>
      </c>
      <c r="B22" s="5" t="s">
        <v>670</v>
      </c>
      <c r="C22" s="5" t="s">
        <v>303</v>
      </c>
      <c r="D22" s="5" t="s">
        <v>304</v>
      </c>
      <c r="E22" s="115" t="s">
        <v>125</v>
      </c>
      <c r="F22" s="80"/>
      <c r="G22" t="s">
        <v>695</v>
      </c>
      <c r="H22" s="115">
        <v>3</v>
      </c>
      <c r="I22" s="154">
        <v>45381</v>
      </c>
      <c r="J22" s="18">
        <v>1</v>
      </c>
      <c r="K22" s="18" t="s">
        <v>697</v>
      </c>
      <c r="L22" s="18">
        <v>5</v>
      </c>
      <c r="M22" s="18"/>
      <c r="N22" s="18" t="s">
        <v>303</v>
      </c>
      <c r="O22" s="18" t="s">
        <v>304</v>
      </c>
      <c r="P22" s="18" t="s">
        <v>125</v>
      </c>
      <c r="Q22"/>
      <c r="R22" t="s">
        <v>673</v>
      </c>
      <c r="S22" s="97">
        <f t="shared" si="0"/>
        <v>3</v>
      </c>
      <c r="T22" s="95" t="str">
        <f t="shared" si="1"/>
        <v>Nimi hosts [Hidden Gem] Serpentine Gallery: Refik Anadol</v>
      </c>
      <c r="U22" s="96">
        <v>45381</v>
      </c>
      <c r="V22" s="95">
        <v>3</v>
      </c>
      <c r="Y22" s="95"/>
      <c r="Z22">
        <f>VLOOKUP(S22,Sessions!A:K,11,FALSE)</f>
        <v>4</v>
      </c>
    </row>
    <row r="23" spans="1:26" ht="16" x14ac:dyDescent="0.2">
      <c r="A23" t="s">
        <v>702</v>
      </c>
      <c r="B23" s="5" t="s">
        <v>670</v>
      </c>
      <c r="C23" s="146" t="s">
        <v>955</v>
      </c>
      <c r="D23" s="146" t="s">
        <v>304</v>
      </c>
      <c r="E23" s="165" t="s">
        <v>956</v>
      </c>
      <c r="F23" s="80"/>
      <c r="G23" t="s">
        <v>695</v>
      </c>
      <c r="H23" s="115">
        <v>3</v>
      </c>
      <c r="I23" s="154">
        <v>45381</v>
      </c>
      <c r="J23" s="18">
        <v>1</v>
      </c>
      <c r="K23" s="18" t="s">
        <v>697</v>
      </c>
      <c r="L23" s="18">
        <v>5</v>
      </c>
      <c r="M23" s="18"/>
      <c r="N23" s="163" t="s">
        <v>955</v>
      </c>
      <c r="O23" s="163" t="s">
        <v>304</v>
      </c>
      <c r="P23" s="165" t="s">
        <v>956</v>
      </c>
      <c r="Q23"/>
      <c r="R23" t="s">
        <v>673</v>
      </c>
      <c r="S23" s="97">
        <f t="shared" si="0"/>
        <v>3</v>
      </c>
      <c r="T23" s="95" t="str">
        <f t="shared" si="1"/>
        <v>Nimi hosts [Hidden Gem] Serpentine Gallery: Refik Anadol</v>
      </c>
      <c r="U23" s="96">
        <v>45381</v>
      </c>
      <c r="V23" s="95">
        <v>3</v>
      </c>
      <c r="Y23" s="95"/>
      <c r="Z23">
        <f>VLOOKUP(S23,Sessions!A:K,11,FALSE)</f>
        <v>4</v>
      </c>
    </row>
    <row r="24" spans="1:26" ht="16" x14ac:dyDescent="0.2">
      <c r="A24" t="s">
        <v>703</v>
      </c>
      <c r="B24" s="5" t="s">
        <v>670</v>
      </c>
      <c r="C24" s="5" t="s">
        <v>205</v>
      </c>
      <c r="D24" s="5" t="s">
        <v>206</v>
      </c>
      <c r="E24" s="115" t="s">
        <v>115</v>
      </c>
      <c r="F24" s="80"/>
      <c r="G24" t="s">
        <v>695</v>
      </c>
      <c r="H24" s="115">
        <v>3</v>
      </c>
      <c r="I24" s="154">
        <v>45381</v>
      </c>
      <c r="J24" s="18">
        <v>1</v>
      </c>
      <c r="K24" s="18" t="s">
        <v>697</v>
      </c>
      <c r="L24" s="18">
        <v>5</v>
      </c>
      <c r="M24" s="18"/>
      <c r="N24" s="18" t="s">
        <v>205</v>
      </c>
      <c r="O24" s="18" t="s">
        <v>206</v>
      </c>
      <c r="P24" s="18" t="s">
        <v>115</v>
      </c>
      <c r="Q24"/>
      <c r="R24" t="s">
        <v>673</v>
      </c>
      <c r="S24" s="97">
        <f t="shared" si="0"/>
        <v>3</v>
      </c>
      <c r="T24" s="95" t="str">
        <f t="shared" si="1"/>
        <v>Nimi hosts [Hidden Gem] Serpentine Gallery: Refik Anadol</v>
      </c>
      <c r="U24" s="96">
        <v>45381</v>
      </c>
      <c r="V24" s="95">
        <v>3</v>
      </c>
      <c r="Y24" s="95"/>
      <c r="Z24">
        <f>VLOOKUP(S24,Sessions!A:K,11,FALSE)</f>
        <v>4</v>
      </c>
    </row>
    <row r="25" spans="1:26" ht="16" x14ac:dyDescent="0.2">
      <c r="A25" t="s">
        <v>704</v>
      </c>
      <c r="B25" s="5" t="s">
        <v>670</v>
      </c>
      <c r="C25" s="5" t="s">
        <v>312</v>
      </c>
      <c r="D25" s="5" t="s">
        <v>313</v>
      </c>
      <c r="E25" s="115" t="s">
        <v>150</v>
      </c>
      <c r="F25" s="80"/>
      <c r="G25" t="s">
        <v>695</v>
      </c>
      <c r="H25" s="115">
        <v>3</v>
      </c>
      <c r="I25" s="154">
        <v>45381</v>
      </c>
      <c r="J25" s="18">
        <v>1</v>
      </c>
      <c r="K25" s="18" t="s">
        <v>697</v>
      </c>
      <c r="L25" s="18">
        <v>5</v>
      </c>
      <c r="M25" s="18"/>
      <c r="N25" s="18" t="s">
        <v>312</v>
      </c>
      <c r="O25" s="18" t="s">
        <v>313</v>
      </c>
      <c r="P25" s="18" t="s">
        <v>150</v>
      </c>
      <c r="Q25"/>
      <c r="R25" t="s">
        <v>673</v>
      </c>
      <c r="S25" s="97">
        <f t="shared" si="0"/>
        <v>3</v>
      </c>
      <c r="T25" s="95" t="str">
        <f t="shared" si="1"/>
        <v>Nimi hosts [Hidden Gem] Serpentine Gallery: Refik Anadol</v>
      </c>
      <c r="U25" s="96">
        <v>45381</v>
      </c>
      <c r="V25" s="95">
        <v>3</v>
      </c>
      <c r="Y25" s="95"/>
      <c r="Z25">
        <f>VLOOKUP(S25,Sessions!A:K,11,FALSE)</f>
        <v>4</v>
      </c>
    </row>
    <row r="26" spans="1:26" ht="16" x14ac:dyDescent="0.2">
      <c r="A26" t="s">
        <v>705</v>
      </c>
      <c r="B26" s="5" t="s">
        <v>670</v>
      </c>
      <c r="C26" s="5" t="s">
        <v>604</v>
      </c>
      <c r="D26" s="5" t="s">
        <v>269</v>
      </c>
      <c r="E26" s="115" t="s">
        <v>151</v>
      </c>
      <c r="F26" s="80"/>
      <c r="G26" t="s">
        <v>695</v>
      </c>
      <c r="H26" s="115">
        <v>3</v>
      </c>
      <c r="I26" s="154">
        <v>45381</v>
      </c>
      <c r="J26" s="18">
        <v>1</v>
      </c>
      <c r="K26" s="18" t="s">
        <v>697</v>
      </c>
      <c r="L26" s="18">
        <v>5</v>
      </c>
      <c r="M26" s="18"/>
      <c r="N26" s="18" t="s">
        <v>604</v>
      </c>
      <c r="O26" s="18" t="s">
        <v>269</v>
      </c>
      <c r="P26" s="18" t="s">
        <v>151</v>
      </c>
      <c r="Q26"/>
      <c r="R26" t="s">
        <v>673</v>
      </c>
      <c r="S26" s="97">
        <f t="shared" si="0"/>
        <v>3</v>
      </c>
      <c r="T26" s="95" t="str">
        <f t="shared" si="1"/>
        <v>Nimi hosts [Hidden Gem] Serpentine Gallery: Refik Anadol</v>
      </c>
      <c r="U26" s="96">
        <v>45381</v>
      </c>
      <c r="V26" s="95">
        <v>3</v>
      </c>
      <c r="Y26" s="95"/>
      <c r="Z26">
        <f>VLOOKUP(S26,Sessions!A:K,11,FALSE)</f>
        <v>4</v>
      </c>
    </row>
    <row r="27" spans="1:26" ht="16" x14ac:dyDescent="0.2">
      <c r="A27" t="s">
        <v>706</v>
      </c>
      <c r="B27" s="5" t="s">
        <v>689</v>
      </c>
      <c r="C27" s="5" t="s">
        <v>707</v>
      </c>
      <c r="D27" s="5" t="s">
        <v>708</v>
      </c>
      <c r="E27" s="115" t="s">
        <v>152</v>
      </c>
      <c r="F27" s="80"/>
      <c r="G27" t="s">
        <v>695</v>
      </c>
      <c r="H27" s="115">
        <v>3</v>
      </c>
      <c r="I27" s="154">
        <v>45381</v>
      </c>
      <c r="J27" s="18">
        <v>1</v>
      </c>
      <c r="K27" s="18" t="s">
        <v>697</v>
      </c>
      <c r="L27" s="18">
        <v>5</v>
      </c>
      <c r="M27" s="18"/>
      <c r="N27" s="18" t="s">
        <v>707</v>
      </c>
      <c r="O27" s="18" t="s">
        <v>709</v>
      </c>
      <c r="P27" s="18" t="s">
        <v>152</v>
      </c>
      <c r="Q27"/>
      <c r="R27" t="s">
        <v>673</v>
      </c>
      <c r="S27" s="97">
        <f t="shared" si="0"/>
        <v>3</v>
      </c>
      <c r="T27" s="95" t="str">
        <f t="shared" si="1"/>
        <v>Nimi hosts [Hidden Gem] Serpentine Gallery: Refik Anadol</v>
      </c>
      <c r="U27" s="96">
        <v>45381</v>
      </c>
      <c r="V27" s="95">
        <v>3</v>
      </c>
      <c r="Y27" s="95"/>
      <c r="Z27">
        <f>VLOOKUP(S27,Sessions!A:K,11,FALSE)</f>
        <v>4</v>
      </c>
    </row>
    <row r="28" spans="1:26" ht="16" x14ac:dyDescent="0.2">
      <c r="A28" t="s">
        <v>710</v>
      </c>
      <c r="B28" s="5" t="s">
        <v>689</v>
      </c>
      <c r="C28" s="146" t="s">
        <v>957</v>
      </c>
      <c r="D28" s="146" t="s">
        <v>304</v>
      </c>
      <c r="E28" s="165" t="s">
        <v>958</v>
      </c>
      <c r="F28" s="80"/>
      <c r="G28" t="s">
        <v>695</v>
      </c>
      <c r="H28" s="115">
        <v>3</v>
      </c>
      <c r="I28" s="154">
        <v>45381</v>
      </c>
      <c r="J28" s="18">
        <v>1</v>
      </c>
      <c r="K28" s="18" t="s">
        <v>697</v>
      </c>
      <c r="L28" s="18">
        <v>5</v>
      </c>
      <c r="M28" s="18"/>
      <c r="N28" s="146" t="s">
        <v>957</v>
      </c>
      <c r="O28" s="146" t="s">
        <v>304</v>
      </c>
      <c r="P28" s="165" t="s">
        <v>958</v>
      </c>
      <c r="Q28"/>
      <c r="R28" t="s">
        <v>673</v>
      </c>
      <c r="S28" s="97">
        <f t="shared" si="0"/>
        <v>3</v>
      </c>
      <c r="T28" s="95" t="str">
        <f t="shared" si="1"/>
        <v>Nimi hosts [Hidden Gem] Serpentine Gallery: Refik Anadol</v>
      </c>
      <c r="U28" s="96">
        <v>45381</v>
      </c>
      <c r="V28" s="95">
        <v>3</v>
      </c>
      <c r="Y28" s="95"/>
      <c r="Z28">
        <f>VLOOKUP(S28,Sessions!A:K,11,FALSE)</f>
        <v>4</v>
      </c>
    </row>
    <row r="29" spans="1:26" ht="16" x14ac:dyDescent="0.2">
      <c r="A29" t="s">
        <v>711</v>
      </c>
      <c r="B29" s="5" t="s">
        <v>670</v>
      </c>
      <c r="C29" s="5" t="s">
        <v>253</v>
      </c>
      <c r="D29" s="5" t="s">
        <v>254</v>
      </c>
      <c r="E29" s="115" t="s">
        <v>153</v>
      </c>
      <c r="F29" s="80"/>
      <c r="G29" t="s">
        <v>695</v>
      </c>
      <c r="H29" s="115">
        <v>3</v>
      </c>
      <c r="I29" s="154">
        <v>45381</v>
      </c>
      <c r="J29" s="18">
        <v>1</v>
      </c>
      <c r="K29" s="18" t="s">
        <v>697</v>
      </c>
      <c r="L29" s="18">
        <v>5</v>
      </c>
      <c r="M29" s="18"/>
      <c r="N29" s="18" t="s">
        <v>253</v>
      </c>
      <c r="O29" s="18" t="s">
        <v>254</v>
      </c>
      <c r="P29" s="18" t="s">
        <v>153</v>
      </c>
      <c r="Q29"/>
      <c r="R29" t="s">
        <v>673</v>
      </c>
      <c r="S29" s="97">
        <f t="shared" si="0"/>
        <v>3</v>
      </c>
      <c r="T29" s="95" t="str">
        <f t="shared" si="1"/>
        <v>Nimi hosts [Hidden Gem] Serpentine Gallery: Refik Anadol</v>
      </c>
      <c r="U29" s="96">
        <v>45381</v>
      </c>
      <c r="V29" s="95">
        <v>3</v>
      </c>
      <c r="Y29" s="95"/>
      <c r="Z29">
        <f>VLOOKUP(S29,Sessions!A:K,11,FALSE)</f>
        <v>4</v>
      </c>
    </row>
    <row r="30" spans="1:26" ht="16" x14ac:dyDescent="0.2">
      <c r="A30" t="s">
        <v>712</v>
      </c>
      <c r="B30" s="5" t="s">
        <v>689</v>
      </c>
      <c r="C30" s="5" t="s">
        <v>308</v>
      </c>
      <c r="D30" s="5" t="s">
        <v>309</v>
      </c>
      <c r="E30" s="115" t="s">
        <v>154</v>
      </c>
      <c r="F30" s="80"/>
      <c r="G30" t="s">
        <v>695</v>
      </c>
      <c r="H30" s="115">
        <v>3</v>
      </c>
      <c r="I30" s="154">
        <v>45381</v>
      </c>
      <c r="J30" s="18">
        <v>1</v>
      </c>
      <c r="K30" s="18" t="s">
        <v>697</v>
      </c>
      <c r="L30" s="18">
        <v>5</v>
      </c>
      <c r="M30" s="18"/>
      <c r="N30" s="18" t="s">
        <v>308</v>
      </c>
      <c r="O30" s="18" t="s">
        <v>309</v>
      </c>
      <c r="P30" s="18" t="s">
        <v>154</v>
      </c>
      <c r="Q30"/>
      <c r="R30" t="s">
        <v>673</v>
      </c>
      <c r="S30" s="97">
        <f t="shared" si="0"/>
        <v>3</v>
      </c>
      <c r="T30" s="95" t="str">
        <f t="shared" si="1"/>
        <v>Nimi hosts [Hidden Gem] Serpentine Gallery: Refik Anadol</v>
      </c>
      <c r="U30" s="96">
        <v>45381</v>
      </c>
      <c r="V30" s="95">
        <v>3</v>
      </c>
      <c r="Y30" s="95"/>
      <c r="Z30">
        <f>VLOOKUP(S30,Sessions!A:K,11,FALSE)</f>
        <v>4</v>
      </c>
    </row>
    <row r="31" spans="1:26" ht="16" x14ac:dyDescent="0.2">
      <c r="A31" t="s">
        <v>713</v>
      </c>
      <c r="B31" s="5" t="s">
        <v>670</v>
      </c>
      <c r="C31" s="5" t="s">
        <v>216</v>
      </c>
      <c r="D31" s="5" t="s">
        <v>217</v>
      </c>
      <c r="E31" s="115" t="s">
        <v>127</v>
      </c>
      <c r="F31" s="80" t="s">
        <v>472</v>
      </c>
      <c r="G31" t="s">
        <v>714</v>
      </c>
      <c r="H31" s="115">
        <v>4</v>
      </c>
      <c r="I31" s="154">
        <v>45386</v>
      </c>
      <c r="J31" s="18">
        <v>1</v>
      </c>
      <c r="K31" s="18" t="s">
        <v>697</v>
      </c>
      <c r="L31" s="18">
        <v>7.5</v>
      </c>
      <c r="M31" s="18" t="s">
        <v>715</v>
      </c>
      <c r="N31" s="18" t="s">
        <v>216</v>
      </c>
      <c r="O31" s="18" t="s">
        <v>217</v>
      </c>
      <c r="P31" s="18" t="s">
        <v>127</v>
      </c>
      <c r="Q31"/>
      <c r="R31" t="s">
        <v>673</v>
      </c>
      <c r="S31" s="97">
        <f t="shared" si="0"/>
        <v>4</v>
      </c>
      <c r="T31" s="95" t="str">
        <f t="shared" si="1"/>
        <v>Nimi hosts [Hidden Gem] First Thursdays Gallery Stroll in East London</v>
      </c>
      <c r="U31" s="96">
        <v>45386</v>
      </c>
      <c r="V31" s="95">
        <f t="shared" ref="V31:V65" si="2">MONTH(U31)</f>
        <v>4</v>
      </c>
      <c r="Y31" s="95"/>
      <c r="Z31">
        <f>VLOOKUP(S31,Sessions!A:K,11,FALSE)</f>
        <v>4</v>
      </c>
    </row>
    <row r="32" spans="1:26" ht="16" x14ac:dyDescent="0.2">
      <c r="A32" t="s">
        <v>716</v>
      </c>
      <c r="B32" s="5" t="s">
        <v>670</v>
      </c>
      <c r="C32" s="5" t="s">
        <v>211</v>
      </c>
      <c r="D32" s="5" t="s">
        <v>717</v>
      </c>
      <c r="E32" s="115" t="s">
        <v>144</v>
      </c>
      <c r="F32" s="80" t="s">
        <v>481</v>
      </c>
      <c r="G32" t="s">
        <v>714</v>
      </c>
      <c r="H32" s="115">
        <v>4</v>
      </c>
      <c r="I32" s="154">
        <v>45386</v>
      </c>
      <c r="J32" s="18">
        <v>1</v>
      </c>
      <c r="K32" s="18" t="s">
        <v>697</v>
      </c>
      <c r="L32" s="18">
        <v>15</v>
      </c>
      <c r="M32" s="18"/>
      <c r="N32" s="18" t="s">
        <v>211</v>
      </c>
      <c r="O32" s="18" t="s">
        <v>717</v>
      </c>
      <c r="P32" s="18" t="s">
        <v>144</v>
      </c>
      <c r="Q32"/>
      <c r="R32" t="s">
        <v>673</v>
      </c>
      <c r="S32" s="97">
        <f t="shared" si="0"/>
        <v>4</v>
      </c>
      <c r="T32" s="95" t="str">
        <f t="shared" si="1"/>
        <v>Nimi hosts [Hidden Gem] First Thursdays Gallery Stroll in East London</v>
      </c>
      <c r="U32" s="96">
        <v>45386</v>
      </c>
      <c r="V32" s="95">
        <f t="shared" si="2"/>
        <v>4</v>
      </c>
      <c r="Y32" s="95"/>
      <c r="Z32">
        <f>VLOOKUP(S32,Sessions!A:K,11,FALSE)</f>
        <v>4</v>
      </c>
    </row>
    <row r="33" spans="1:26" ht="16" x14ac:dyDescent="0.2">
      <c r="A33" t="s">
        <v>718</v>
      </c>
      <c r="B33" s="5" t="s">
        <v>670</v>
      </c>
      <c r="C33" s="5" t="s">
        <v>301</v>
      </c>
      <c r="D33" s="5" t="s">
        <v>719</v>
      </c>
      <c r="E33" s="115" t="s">
        <v>137</v>
      </c>
      <c r="F33" s="80" t="s">
        <v>578</v>
      </c>
      <c r="G33" t="s">
        <v>714</v>
      </c>
      <c r="H33" s="115">
        <v>4</v>
      </c>
      <c r="I33" s="154">
        <v>45386</v>
      </c>
      <c r="J33" s="18">
        <v>1</v>
      </c>
      <c r="K33" s="18" t="s">
        <v>697</v>
      </c>
      <c r="L33" s="18">
        <v>15</v>
      </c>
      <c r="M33" s="18"/>
      <c r="N33" s="18" t="s">
        <v>301</v>
      </c>
      <c r="O33" s="18" t="s">
        <v>719</v>
      </c>
      <c r="P33" s="18" t="s">
        <v>137</v>
      </c>
      <c r="Q33"/>
      <c r="R33" t="s">
        <v>673</v>
      </c>
      <c r="S33" s="97">
        <f t="shared" si="0"/>
        <v>4</v>
      </c>
      <c r="T33" s="95" t="str">
        <f t="shared" si="1"/>
        <v>Nimi hosts [Hidden Gem] First Thursdays Gallery Stroll in East London</v>
      </c>
      <c r="U33" s="96">
        <v>45386</v>
      </c>
      <c r="V33" s="95">
        <f t="shared" si="2"/>
        <v>4</v>
      </c>
      <c r="Y33" s="95"/>
      <c r="Z33">
        <f>VLOOKUP(S33,Sessions!A:K,11,FALSE)</f>
        <v>4</v>
      </c>
    </row>
    <row r="34" spans="1:26" ht="16" x14ac:dyDescent="0.2">
      <c r="A34" t="s">
        <v>720</v>
      </c>
      <c r="B34" s="5" t="s">
        <v>689</v>
      </c>
      <c r="C34" s="5" t="s">
        <v>213</v>
      </c>
      <c r="D34" s="5" t="s">
        <v>214</v>
      </c>
      <c r="E34" s="115" t="s">
        <v>121</v>
      </c>
      <c r="F34" s="80" t="s">
        <v>595</v>
      </c>
      <c r="G34" t="s">
        <v>714</v>
      </c>
      <c r="H34" s="115">
        <v>4</v>
      </c>
      <c r="I34" s="154">
        <v>45386</v>
      </c>
      <c r="J34" s="18">
        <v>1</v>
      </c>
      <c r="K34" s="18" t="s">
        <v>697</v>
      </c>
      <c r="L34" s="18">
        <v>10</v>
      </c>
      <c r="M34" s="18" t="s">
        <v>721</v>
      </c>
      <c r="N34" s="18" t="s">
        <v>213</v>
      </c>
      <c r="O34" s="18" t="s">
        <v>214</v>
      </c>
      <c r="P34" s="18" t="s">
        <v>121</v>
      </c>
      <c r="Q34"/>
      <c r="R34" t="s">
        <v>673</v>
      </c>
      <c r="S34" s="97">
        <f t="shared" ref="S34:S65" si="3">H34</f>
        <v>4</v>
      </c>
      <c r="T34" s="95" t="str">
        <f t="shared" si="1"/>
        <v>Nimi hosts [Hidden Gem] First Thursdays Gallery Stroll in East London</v>
      </c>
      <c r="U34" s="96">
        <v>45386</v>
      </c>
      <c r="V34" s="95">
        <f t="shared" si="2"/>
        <v>4</v>
      </c>
      <c r="Y34" s="95"/>
      <c r="Z34">
        <f>VLOOKUP(S34,Sessions!A:K,11,FALSE)</f>
        <v>4</v>
      </c>
    </row>
    <row r="35" spans="1:26" ht="16" x14ac:dyDescent="0.2">
      <c r="A35" t="s">
        <v>722</v>
      </c>
      <c r="B35" s="5" t="s">
        <v>689</v>
      </c>
      <c r="C35" s="5" t="s">
        <v>723</v>
      </c>
      <c r="D35" s="5" t="s">
        <v>724</v>
      </c>
      <c r="E35" s="115" t="s">
        <v>145</v>
      </c>
      <c r="F35" s="80" t="s">
        <v>507</v>
      </c>
      <c r="G35" t="s">
        <v>714</v>
      </c>
      <c r="H35" s="115">
        <v>4</v>
      </c>
      <c r="I35" s="154">
        <v>45386</v>
      </c>
      <c r="J35" s="18">
        <v>1</v>
      </c>
      <c r="K35" s="18" t="s">
        <v>697</v>
      </c>
      <c r="L35" s="18">
        <v>15</v>
      </c>
      <c r="M35" s="18"/>
      <c r="N35" s="18" t="s">
        <v>723</v>
      </c>
      <c r="O35" s="18" t="s">
        <v>724</v>
      </c>
      <c r="P35" s="18" t="s">
        <v>145</v>
      </c>
      <c r="Q35"/>
      <c r="R35" t="s">
        <v>673</v>
      </c>
      <c r="S35" s="97">
        <f t="shared" si="3"/>
        <v>4</v>
      </c>
      <c r="T35" s="95" t="str">
        <f t="shared" si="1"/>
        <v>Nimi hosts [Hidden Gem] First Thursdays Gallery Stroll in East London</v>
      </c>
      <c r="U35" s="96">
        <v>45386</v>
      </c>
      <c r="V35" s="95">
        <f t="shared" si="2"/>
        <v>4</v>
      </c>
      <c r="Y35" s="95"/>
      <c r="Z35">
        <f>VLOOKUP(S35,Sessions!A:K,11,FALSE)</f>
        <v>4</v>
      </c>
    </row>
    <row r="36" spans="1:26" ht="16" x14ac:dyDescent="0.2">
      <c r="A36" t="s">
        <v>725</v>
      </c>
      <c r="B36" s="5" t="s">
        <v>670</v>
      </c>
      <c r="C36" s="5" t="s">
        <v>293</v>
      </c>
      <c r="D36" s="5" t="s">
        <v>726</v>
      </c>
      <c r="E36" s="115" t="s">
        <v>147</v>
      </c>
      <c r="F36" s="80" t="s">
        <v>609</v>
      </c>
      <c r="G36" t="s">
        <v>714</v>
      </c>
      <c r="H36" s="115">
        <v>4</v>
      </c>
      <c r="I36" s="154">
        <v>45386</v>
      </c>
      <c r="J36" s="18">
        <v>1</v>
      </c>
      <c r="K36" s="18" t="s">
        <v>697</v>
      </c>
      <c r="L36" s="18">
        <v>15</v>
      </c>
      <c r="M36" s="18"/>
      <c r="N36" s="18" t="s">
        <v>293</v>
      </c>
      <c r="O36" s="18" t="s">
        <v>726</v>
      </c>
      <c r="P36" s="18" t="s">
        <v>147</v>
      </c>
      <c r="Q36"/>
      <c r="R36" t="s">
        <v>673</v>
      </c>
      <c r="S36" s="97">
        <f t="shared" si="3"/>
        <v>4</v>
      </c>
      <c r="T36" s="95" t="str">
        <f t="shared" si="1"/>
        <v>Nimi hosts [Hidden Gem] First Thursdays Gallery Stroll in East London</v>
      </c>
      <c r="U36" s="96">
        <v>45386</v>
      </c>
      <c r="V36" s="95">
        <f t="shared" si="2"/>
        <v>4</v>
      </c>
      <c r="Y36" s="95"/>
      <c r="Z36">
        <f>VLOOKUP(S36,Sessions!A:K,11,FALSE)</f>
        <v>4</v>
      </c>
    </row>
    <row r="37" spans="1:26" ht="16" x14ac:dyDescent="0.2">
      <c r="A37" t="s">
        <v>727</v>
      </c>
      <c r="B37" s="5" t="s">
        <v>670</v>
      </c>
      <c r="C37" s="5" t="s">
        <v>200</v>
      </c>
      <c r="D37" s="5" t="s">
        <v>201</v>
      </c>
      <c r="E37" s="115" t="s">
        <v>119</v>
      </c>
      <c r="F37" s="80" t="s">
        <v>477</v>
      </c>
      <c r="G37" t="s">
        <v>714</v>
      </c>
      <c r="H37" s="115">
        <v>4</v>
      </c>
      <c r="I37" s="154">
        <v>45386</v>
      </c>
      <c r="J37" s="18">
        <v>1</v>
      </c>
      <c r="K37" s="18" t="s">
        <v>697</v>
      </c>
      <c r="L37" s="18">
        <v>10</v>
      </c>
      <c r="M37" s="18" t="s">
        <v>721</v>
      </c>
      <c r="N37" s="18" t="s">
        <v>200</v>
      </c>
      <c r="O37" s="18" t="s">
        <v>201</v>
      </c>
      <c r="P37" s="18" t="s">
        <v>119</v>
      </c>
      <c r="Q37"/>
      <c r="R37" t="s">
        <v>673</v>
      </c>
      <c r="S37" s="97">
        <f t="shared" si="3"/>
        <v>4</v>
      </c>
      <c r="T37" s="95" t="str">
        <f t="shared" si="1"/>
        <v>Nimi hosts [Hidden Gem] First Thursdays Gallery Stroll in East London</v>
      </c>
      <c r="U37" s="96">
        <v>45386</v>
      </c>
      <c r="V37" s="95">
        <f t="shared" si="2"/>
        <v>4</v>
      </c>
      <c r="Y37" s="95"/>
      <c r="Z37">
        <f>VLOOKUP(S37,Sessions!A:K,11,FALSE)</f>
        <v>4</v>
      </c>
    </row>
    <row r="38" spans="1:26" ht="16" x14ac:dyDescent="0.2">
      <c r="A38" t="s">
        <v>728</v>
      </c>
      <c r="B38" s="5" t="s">
        <v>670</v>
      </c>
      <c r="C38" s="5" t="s">
        <v>303</v>
      </c>
      <c r="D38" s="5" t="s">
        <v>304</v>
      </c>
      <c r="E38" s="114" t="s">
        <v>125</v>
      </c>
      <c r="F38" s="80" t="s">
        <v>587</v>
      </c>
      <c r="G38" t="s">
        <v>714</v>
      </c>
      <c r="H38" s="115">
        <v>4</v>
      </c>
      <c r="I38" s="154">
        <v>45386</v>
      </c>
      <c r="J38" s="18">
        <v>1</v>
      </c>
      <c r="K38" s="18" t="s">
        <v>697</v>
      </c>
      <c r="L38" s="18">
        <v>7.5</v>
      </c>
      <c r="M38" s="18" t="s">
        <v>715</v>
      </c>
      <c r="N38" s="18" t="s">
        <v>303</v>
      </c>
      <c r="O38" s="18" t="s">
        <v>304</v>
      </c>
      <c r="P38" s="18" t="s">
        <v>149</v>
      </c>
      <c r="Q38"/>
      <c r="R38" t="s">
        <v>673</v>
      </c>
      <c r="S38" s="97">
        <f t="shared" si="3"/>
        <v>4</v>
      </c>
      <c r="T38" s="95" t="str">
        <f t="shared" si="1"/>
        <v>Nimi hosts [Hidden Gem] First Thursdays Gallery Stroll in East London</v>
      </c>
      <c r="U38" s="96">
        <v>45386</v>
      </c>
      <c r="V38" s="95">
        <f t="shared" si="2"/>
        <v>4</v>
      </c>
      <c r="Y38" s="95"/>
      <c r="Z38">
        <f>VLOOKUP(S38,Sessions!A:K,11,FALSE)</f>
        <v>4</v>
      </c>
    </row>
    <row r="39" spans="1:26" ht="16" x14ac:dyDescent="0.2">
      <c r="A39" t="s">
        <v>729</v>
      </c>
      <c r="B39" s="5" t="s">
        <v>670</v>
      </c>
      <c r="C39" s="5" t="s">
        <v>200</v>
      </c>
      <c r="D39" s="5" t="s">
        <v>201</v>
      </c>
      <c r="E39" s="115" t="s">
        <v>119</v>
      </c>
      <c r="F39" s="80" t="s">
        <v>477</v>
      </c>
      <c r="G39" t="s">
        <v>730</v>
      </c>
      <c r="H39" s="115">
        <v>5</v>
      </c>
      <c r="I39" s="154">
        <v>45388</v>
      </c>
      <c r="J39" s="18">
        <v>1</v>
      </c>
      <c r="K39" s="18" t="s">
        <v>697</v>
      </c>
      <c r="L39" s="18">
        <v>10</v>
      </c>
      <c r="M39" s="18" t="s">
        <v>721</v>
      </c>
      <c r="N39" s="18" t="s">
        <v>200</v>
      </c>
      <c r="O39" s="18" t="s">
        <v>201</v>
      </c>
      <c r="P39" s="18" t="s">
        <v>119</v>
      </c>
      <c r="Q39" t="s">
        <v>731</v>
      </c>
      <c r="R39" t="s">
        <v>673</v>
      </c>
      <c r="S39" s="97">
        <f t="shared" si="3"/>
        <v>5</v>
      </c>
      <c r="T39" s="95" t="str">
        <f t="shared" si="1"/>
        <v>Nimi hosts [Hidden Gem] Galleries Stroll in Mayfair</v>
      </c>
      <c r="U39" s="96">
        <v>45388</v>
      </c>
      <c r="V39" s="95">
        <f t="shared" si="2"/>
        <v>4</v>
      </c>
      <c r="W39" s="95" t="str">
        <f t="shared" ref="W39:W70" si="4">Q39</f>
        <v>oddtdtdirect</v>
      </c>
      <c r="Y39" s="95"/>
      <c r="Z39">
        <f>VLOOKUP(S39,Sessions!A:K,11,FALSE)</f>
        <v>4</v>
      </c>
    </row>
    <row r="40" spans="1:26" ht="16" x14ac:dyDescent="0.2">
      <c r="A40" t="s">
        <v>732</v>
      </c>
      <c r="B40" s="5" t="s">
        <v>670</v>
      </c>
      <c r="C40" s="5" t="s">
        <v>239</v>
      </c>
      <c r="D40" s="5" t="s">
        <v>240</v>
      </c>
      <c r="E40" s="115" t="s">
        <v>148</v>
      </c>
      <c r="F40" s="80" t="s">
        <v>467</v>
      </c>
      <c r="G40" t="s">
        <v>730</v>
      </c>
      <c r="H40" s="115">
        <v>5</v>
      </c>
      <c r="I40" s="154">
        <v>45388</v>
      </c>
      <c r="J40" s="18">
        <v>1</v>
      </c>
      <c r="K40" s="18" t="s">
        <v>697</v>
      </c>
      <c r="L40" s="18">
        <v>10</v>
      </c>
      <c r="M40" s="18" t="s">
        <v>721</v>
      </c>
      <c r="N40" s="18" t="s">
        <v>239</v>
      </c>
      <c r="O40" s="18" t="s">
        <v>240</v>
      </c>
      <c r="P40" s="18" t="s">
        <v>148</v>
      </c>
      <c r="Q40" t="s">
        <v>731</v>
      </c>
      <c r="R40" t="s">
        <v>673</v>
      </c>
      <c r="S40" s="97">
        <f t="shared" si="3"/>
        <v>5</v>
      </c>
      <c r="T40" s="95" t="str">
        <f t="shared" si="1"/>
        <v>Nimi hosts [Hidden Gem] Galleries Stroll in Mayfair</v>
      </c>
      <c r="U40" s="96">
        <v>45388</v>
      </c>
      <c r="V40" s="95">
        <f t="shared" si="2"/>
        <v>4</v>
      </c>
      <c r="W40" s="95" t="str">
        <f t="shared" si="4"/>
        <v>oddtdtdirect</v>
      </c>
      <c r="Y40" s="95"/>
      <c r="Z40">
        <f>VLOOKUP(S40,Sessions!A:K,11,FALSE)</f>
        <v>4</v>
      </c>
    </row>
    <row r="41" spans="1:26" ht="16" x14ac:dyDescent="0.2">
      <c r="A41" t="s">
        <v>733</v>
      </c>
      <c r="B41" s="5" t="s">
        <v>670</v>
      </c>
      <c r="C41" s="5" t="s">
        <v>203</v>
      </c>
      <c r="D41" s="5" t="s">
        <v>204</v>
      </c>
      <c r="E41" s="115" t="s">
        <v>120</v>
      </c>
      <c r="F41" s="80" t="s">
        <v>588</v>
      </c>
      <c r="G41" t="s">
        <v>730</v>
      </c>
      <c r="H41" s="115">
        <v>5</v>
      </c>
      <c r="I41" s="154">
        <v>45388</v>
      </c>
      <c r="J41" s="18">
        <v>1</v>
      </c>
      <c r="K41" s="18" t="s">
        <v>697</v>
      </c>
      <c r="L41" s="18">
        <v>15</v>
      </c>
      <c r="M41" s="18"/>
      <c r="N41" s="18" t="s">
        <v>203</v>
      </c>
      <c r="O41" s="18" t="s">
        <v>204</v>
      </c>
      <c r="P41" s="18" t="s">
        <v>120</v>
      </c>
      <c r="Q41" t="s">
        <v>734</v>
      </c>
      <c r="R41" t="s">
        <v>673</v>
      </c>
      <c r="S41" s="97">
        <f t="shared" si="3"/>
        <v>5</v>
      </c>
      <c r="T41" s="95" t="str">
        <f t="shared" si="1"/>
        <v>Nimi hosts [Hidden Gem] Galleries Stroll in Mayfair</v>
      </c>
      <c r="U41" s="96">
        <v>45388</v>
      </c>
      <c r="V41" s="95">
        <f t="shared" si="2"/>
        <v>4</v>
      </c>
      <c r="W41" s="95" t="str">
        <f t="shared" si="4"/>
        <v>ebesesdeeplink</v>
      </c>
      <c r="Y41" s="95"/>
      <c r="Z41">
        <f>VLOOKUP(S41,Sessions!A:K,11,FALSE)</f>
        <v>4</v>
      </c>
    </row>
    <row r="42" spans="1:26" ht="16" x14ac:dyDescent="0.2">
      <c r="A42" t="s">
        <v>735</v>
      </c>
      <c r="B42" s="5" t="s">
        <v>670</v>
      </c>
      <c r="C42" s="5" t="s">
        <v>288</v>
      </c>
      <c r="D42" s="5" t="s">
        <v>289</v>
      </c>
      <c r="E42" s="115" t="s">
        <v>159</v>
      </c>
      <c r="F42" s="80" t="s">
        <v>447</v>
      </c>
      <c r="G42" t="s">
        <v>730</v>
      </c>
      <c r="H42" s="115">
        <v>5</v>
      </c>
      <c r="I42" s="154">
        <v>45388</v>
      </c>
      <c r="J42" s="18">
        <v>1</v>
      </c>
      <c r="K42" s="18" t="s">
        <v>697</v>
      </c>
      <c r="L42" s="18">
        <v>15</v>
      </c>
      <c r="M42" s="18"/>
      <c r="N42" s="18" t="s">
        <v>288</v>
      </c>
      <c r="O42" s="18" t="s">
        <v>289</v>
      </c>
      <c r="P42" s="18" t="s">
        <v>159</v>
      </c>
      <c r="Q42" t="s">
        <v>731</v>
      </c>
      <c r="R42" t="s">
        <v>673</v>
      </c>
      <c r="S42" s="97">
        <f t="shared" si="3"/>
        <v>5</v>
      </c>
      <c r="T42" s="95" t="str">
        <f t="shared" si="1"/>
        <v>Nimi hosts [Hidden Gem] Galleries Stroll in Mayfair</v>
      </c>
      <c r="U42" s="96">
        <v>45388</v>
      </c>
      <c r="V42" s="95">
        <f t="shared" si="2"/>
        <v>4</v>
      </c>
      <c r="W42" s="95" t="str">
        <f t="shared" si="4"/>
        <v>oddtdtdirect</v>
      </c>
      <c r="Y42" s="95"/>
      <c r="Z42">
        <f>VLOOKUP(S42,Sessions!A:K,11,FALSE)</f>
        <v>4</v>
      </c>
    </row>
    <row r="43" spans="1:26" ht="16" x14ac:dyDescent="0.2">
      <c r="A43" t="s">
        <v>736</v>
      </c>
      <c r="B43" s="5" t="s">
        <v>670</v>
      </c>
      <c r="C43" s="5" t="s">
        <v>229</v>
      </c>
      <c r="D43" s="5" t="s">
        <v>229</v>
      </c>
      <c r="E43" s="115" t="s">
        <v>138</v>
      </c>
      <c r="F43" s="80" t="s">
        <v>473</v>
      </c>
      <c r="G43" t="s">
        <v>730</v>
      </c>
      <c r="H43" s="115">
        <v>5</v>
      </c>
      <c r="I43" s="154">
        <v>45388</v>
      </c>
      <c r="J43" s="18">
        <v>1</v>
      </c>
      <c r="K43" s="18" t="s">
        <v>697</v>
      </c>
      <c r="L43" s="18">
        <v>15</v>
      </c>
      <c r="M43" s="18"/>
      <c r="N43" s="18" t="s">
        <v>229</v>
      </c>
      <c r="O43" s="18" t="s">
        <v>229</v>
      </c>
      <c r="P43" s="18" t="s">
        <v>138</v>
      </c>
      <c r="Q43" t="s">
        <v>737</v>
      </c>
      <c r="R43" t="s">
        <v>673</v>
      </c>
      <c r="S43" s="97">
        <f t="shared" si="3"/>
        <v>5</v>
      </c>
      <c r="T43" s="95" t="str">
        <f t="shared" si="1"/>
        <v>Nimi hosts [Hidden Gem] Galleries Stroll in Mayfair</v>
      </c>
      <c r="U43" s="96">
        <v>45388</v>
      </c>
      <c r="V43" s="95">
        <f t="shared" si="2"/>
        <v>4</v>
      </c>
      <c r="W43" s="95" t="str">
        <f t="shared" si="4"/>
        <v>ebdsshios</v>
      </c>
      <c r="Y43" s="95"/>
      <c r="Z43">
        <f>VLOOKUP(S43,Sessions!A:K,11,FALSE)</f>
        <v>4</v>
      </c>
    </row>
    <row r="44" spans="1:26" ht="16" x14ac:dyDescent="0.2">
      <c r="A44" t="s">
        <v>738</v>
      </c>
      <c r="B44" s="5" t="s">
        <v>670</v>
      </c>
      <c r="C44" s="5" t="s">
        <v>266</v>
      </c>
      <c r="D44" s="5" t="s">
        <v>267</v>
      </c>
      <c r="E44" s="115" t="s">
        <v>131</v>
      </c>
      <c r="F44" s="80" t="s">
        <v>594</v>
      </c>
      <c r="G44" t="s">
        <v>730</v>
      </c>
      <c r="H44" s="115">
        <v>5</v>
      </c>
      <c r="I44" s="154">
        <v>45388</v>
      </c>
      <c r="J44" s="18">
        <v>1</v>
      </c>
      <c r="K44" s="18" t="s">
        <v>697</v>
      </c>
      <c r="L44" s="18">
        <v>7.5</v>
      </c>
      <c r="M44" s="18" t="s">
        <v>715</v>
      </c>
      <c r="N44" s="18" t="s">
        <v>266</v>
      </c>
      <c r="O44" s="18" t="s">
        <v>267</v>
      </c>
      <c r="P44" s="18" t="s">
        <v>131</v>
      </c>
      <c r="Q44" t="s">
        <v>739</v>
      </c>
      <c r="R44" t="s">
        <v>673</v>
      </c>
      <c r="S44" s="97">
        <f t="shared" si="3"/>
        <v>5</v>
      </c>
      <c r="T44" s="95" t="str">
        <f t="shared" si="1"/>
        <v>Nimi hosts [Hidden Gem] Galleries Stroll in Mayfair</v>
      </c>
      <c r="U44" s="96">
        <v>45388</v>
      </c>
      <c r="V44" s="95">
        <f t="shared" si="2"/>
        <v>4</v>
      </c>
      <c r="W44" s="95" t="str">
        <f t="shared" si="4"/>
        <v>WhatsApp</v>
      </c>
      <c r="Y44" s="95"/>
      <c r="Z44">
        <f>VLOOKUP(S44,Sessions!A:K,11,FALSE)</f>
        <v>4</v>
      </c>
    </row>
    <row r="45" spans="1:26" ht="16" x14ac:dyDescent="0.2">
      <c r="A45" t="s">
        <v>740</v>
      </c>
      <c r="B45" s="5" t="s">
        <v>670</v>
      </c>
      <c r="C45" s="5" t="s">
        <v>275</v>
      </c>
      <c r="D45" s="5" t="s">
        <v>276</v>
      </c>
      <c r="E45" s="115" t="s">
        <v>139</v>
      </c>
      <c r="F45" s="80" t="s">
        <v>558</v>
      </c>
      <c r="G45" t="s">
        <v>730</v>
      </c>
      <c r="H45" s="115">
        <v>5</v>
      </c>
      <c r="I45" s="154">
        <v>45388</v>
      </c>
      <c r="J45" s="18">
        <v>1</v>
      </c>
      <c r="K45" s="18" t="s">
        <v>697</v>
      </c>
      <c r="L45" s="18">
        <v>10</v>
      </c>
      <c r="M45" s="18" t="s">
        <v>721</v>
      </c>
      <c r="N45" s="18" t="s">
        <v>275</v>
      </c>
      <c r="O45" s="18" t="s">
        <v>276</v>
      </c>
      <c r="P45" s="18" t="s">
        <v>139</v>
      </c>
      <c r="Q45" t="s">
        <v>741</v>
      </c>
      <c r="R45" t="s">
        <v>673</v>
      </c>
      <c r="S45" s="97">
        <f t="shared" si="3"/>
        <v>5</v>
      </c>
      <c r="T45" s="95" t="str">
        <f t="shared" si="1"/>
        <v>Nimi hosts [Hidden Gem] Galleries Stroll in Mayfair</v>
      </c>
      <c r="U45" s="96">
        <v>45388</v>
      </c>
      <c r="V45" s="95">
        <f t="shared" si="2"/>
        <v>4</v>
      </c>
      <c r="W45" s="95" t="str">
        <f t="shared" si="4"/>
        <v>odcleoeventsincollection</v>
      </c>
      <c r="Y45" s="95"/>
      <c r="Z45">
        <f>VLOOKUP(S45,Sessions!A:K,11,FALSE)</f>
        <v>4</v>
      </c>
    </row>
    <row r="46" spans="1:26" ht="16" x14ac:dyDescent="0.2">
      <c r="A46" t="s">
        <v>742</v>
      </c>
      <c r="B46" s="5" t="s">
        <v>670</v>
      </c>
      <c r="C46" s="5" t="s">
        <v>290</v>
      </c>
      <c r="D46" s="5" t="s">
        <v>743</v>
      </c>
      <c r="E46" s="115" t="s">
        <v>158</v>
      </c>
      <c r="F46" s="80" t="s">
        <v>744</v>
      </c>
      <c r="G46" t="s">
        <v>730</v>
      </c>
      <c r="H46" s="115">
        <v>5</v>
      </c>
      <c r="I46" s="154">
        <v>45388</v>
      </c>
      <c r="J46" s="18">
        <v>1</v>
      </c>
      <c r="K46" s="18" t="s">
        <v>697</v>
      </c>
      <c r="L46" s="18">
        <v>15</v>
      </c>
      <c r="M46" s="18"/>
      <c r="N46" s="18" t="s">
        <v>290</v>
      </c>
      <c r="O46" s="18" t="s">
        <v>743</v>
      </c>
      <c r="P46" s="18" t="s">
        <v>158</v>
      </c>
      <c r="Q46" t="s">
        <v>745</v>
      </c>
      <c r="R46" t="s">
        <v>673</v>
      </c>
      <c r="S46" s="97">
        <f t="shared" si="3"/>
        <v>5</v>
      </c>
      <c r="T46" s="95" t="str">
        <f t="shared" si="1"/>
        <v>Nimi hosts [Hidden Gem] Galleries Stroll in Mayfair</v>
      </c>
      <c r="U46" s="96">
        <v>45388</v>
      </c>
      <c r="V46" s="95">
        <f t="shared" si="2"/>
        <v>4</v>
      </c>
      <c r="W46" s="95" t="str">
        <f t="shared" si="4"/>
        <v>Locals</v>
      </c>
      <c r="Y46" s="95"/>
      <c r="Z46">
        <f>VLOOKUP(S46,Sessions!A:K,11,FALSE)</f>
        <v>4</v>
      </c>
    </row>
    <row r="47" spans="1:26" ht="16" x14ac:dyDescent="0.2">
      <c r="A47" t="s">
        <v>746</v>
      </c>
      <c r="B47" s="5" t="s">
        <v>670</v>
      </c>
      <c r="C47" s="5" t="s">
        <v>247</v>
      </c>
      <c r="D47" s="5" t="s">
        <v>248</v>
      </c>
      <c r="E47" s="115" t="s">
        <v>160</v>
      </c>
      <c r="F47" s="80" t="s">
        <v>536</v>
      </c>
      <c r="G47" t="s">
        <v>730</v>
      </c>
      <c r="H47" s="115">
        <v>5</v>
      </c>
      <c r="I47" s="154">
        <v>45388</v>
      </c>
      <c r="J47" s="18">
        <v>1</v>
      </c>
      <c r="K47" s="18" t="s">
        <v>697</v>
      </c>
      <c r="L47" s="18">
        <v>15</v>
      </c>
      <c r="M47" s="18"/>
      <c r="N47" s="18" t="s">
        <v>247</v>
      </c>
      <c r="O47" s="18" t="s">
        <v>248</v>
      </c>
      <c r="P47" s="18" t="s">
        <v>160</v>
      </c>
      <c r="Q47" t="s">
        <v>745</v>
      </c>
      <c r="R47" t="s">
        <v>673</v>
      </c>
      <c r="S47" s="97">
        <f t="shared" si="3"/>
        <v>5</v>
      </c>
      <c r="T47" s="95" t="str">
        <f t="shared" si="1"/>
        <v>Nimi hosts [Hidden Gem] Galleries Stroll in Mayfair</v>
      </c>
      <c r="U47" s="96">
        <v>45388</v>
      </c>
      <c r="V47" s="95">
        <f t="shared" si="2"/>
        <v>4</v>
      </c>
      <c r="W47" s="95" t="str">
        <f t="shared" si="4"/>
        <v>Locals</v>
      </c>
      <c r="Y47" s="95"/>
      <c r="Z47">
        <f>VLOOKUP(S47,Sessions!A:K,11,FALSE)</f>
        <v>4</v>
      </c>
    </row>
    <row r="48" spans="1:26" ht="16" x14ac:dyDescent="0.2">
      <c r="A48" t="s">
        <v>747</v>
      </c>
      <c r="B48" s="5" t="s">
        <v>670</v>
      </c>
      <c r="C48" s="5" t="s">
        <v>211</v>
      </c>
      <c r="D48" s="5" t="s">
        <v>748</v>
      </c>
      <c r="E48" s="115" t="s">
        <v>144</v>
      </c>
      <c r="F48" s="80" t="s">
        <v>481</v>
      </c>
      <c r="G48" t="s">
        <v>730</v>
      </c>
      <c r="H48" s="115">
        <v>5</v>
      </c>
      <c r="I48" s="154">
        <v>45388</v>
      </c>
      <c r="J48" s="18">
        <v>1</v>
      </c>
      <c r="K48" s="18" t="s">
        <v>697</v>
      </c>
      <c r="L48" s="18">
        <v>15</v>
      </c>
      <c r="M48" s="18"/>
      <c r="N48" s="18" t="s">
        <v>211</v>
      </c>
      <c r="O48" s="18" t="s">
        <v>748</v>
      </c>
      <c r="P48" s="18" t="s">
        <v>144</v>
      </c>
      <c r="Q48" t="s">
        <v>749</v>
      </c>
      <c r="R48" t="s">
        <v>673</v>
      </c>
      <c r="S48" s="97">
        <f t="shared" si="3"/>
        <v>5</v>
      </c>
      <c r="T48" s="95" t="str">
        <f t="shared" si="1"/>
        <v>Nimi hosts [Hidden Gem] Galleries Stroll in Mayfair</v>
      </c>
      <c r="U48" s="96">
        <v>45388</v>
      </c>
      <c r="V48" s="95">
        <f t="shared" si="2"/>
        <v>4</v>
      </c>
      <c r="W48" s="95" t="str">
        <f t="shared" si="4"/>
        <v>eand</v>
      </c>
      <c r="Y48" s="95"/>
      <c r="Z48">
        <f>VLOOKUP(S48,Sessions!A:K,11,FALSE)</f>
        <v>4</v>
      </c>
    </row>
    <row r="49" spans="1:28" ht="16" x14ac:dyDescent="0.2">
      <c r="A49" t="s">
        <v>750</v>
      </c>
      <c r="B49" s="5" t="s">
        <v>670</v>
      </c>
      <c r="C49" s="5" t="s">
        <v>237</v>
      </c>
      <c r="D49" s="5" t="s">
        <v>238</v>
      </c>
      <c r="E49" s="125" t="s">
        <v>155</v>
      </c>
      <c r="F49" s="80" t="s">
        <v>458</v>
      </c>
      <c r="G49" t="s">
        <v>730</v>
      </c>
      <c r="H49" s="115">
        <v>5</v>
      </c>
      <c r="I49" s="154">
        <v>45388</v>
      </c>
      <c r="J49" s="18">
        <v>1</v>
      </c>
      <c r="K49" s="18" t="s">
        <v>697</v>
      </c>
      <c r="L49" s="18">
        <v>15</v>
      </c>
      <c r="M49" s="18"/>
      <c r="N49" s="18" t="s">
        <v>237</v>
      </c>
      <c r="O49" s="18" t="s">
        <v>238</v>
      </c>
      <c r="P49" s="18" t="s">
        <v>156</v>
      </c>
      <c r="Q49" t="s">
        <v>731</v>
      </c>
      <c r="R49" t="s">
        <v>673</v>
      </c>
      <c r="S49" s="97">
        <f t="shared" si="3"/>
        <v>5</v>
      </c>
      <c r="T49" s="95" t="str">
        <f t="shared" si="1"/>
        <v>Nimi hosts [Hidden Gem] Galleries Stroll in Mayfair</v>
      </c>
      <c r="U49" s="96">
        <v>45388</v>
      </c>
      <c r="V49" s="95">
        <f t="shared" si="2"/>
        <v>4</v>
      </c>
      <c r="W49" s="95" t="str">
        <f t="shared" si="4"/>
        <v>oddtdtdirect</v>
      </c>
      <c r="Y49" s="95"/>
      <c r="Z49">
        <f>VLOOKUP(S49,Sessions!A:K,11,FALSE)</f>
        <v>4</v>
      </c>
    </row>
    <row r="50" spans="1:28" ht="16" x14ac:dyDescent="0.2">
      <c r="A50" t="s">
        <v>751</v>
      </c>
      <c r="B50" s="5" t="s">
        <v>670</v>
      </c>
      <c r="C50" s="5" t="s">
        <v>259</v>
      </c>
      <c r="D50" s="5" t="s">
        <v>260</v>
      </c>
      <c r="E50" s="115" t="s">
        <v>161</v>
      </c>
      <c r="F50" s="80" t="s">
        <v>589</v>
      </c>
      <c r="G50" t="s">
        <v>730</v>
      </c>
      <c r="H50" s="115">
        <v>5</v>
      </c>
      <c r="I50" s="154">
        <v>45388</v>
      </c>
      <c r="J50" s="18">
        <v>1</v>
      </c>
      <c r="K50" s="18" t="s">
        <v>697</v>
      </c>
      <c r="L50" s="18">
        <v>15</v>
      </c>
      <c r="M50" s="18"/>
      <c r="N50" s="18" t="s">
        <v>259</v>
      </c>
      <c r="O50" s="18" t="s">
        <v>260</v>
      </c>
      <c r="P50" s="18" t="s">
        <v>161</v>
      </c>
      <c r="Q50" t="s">
        <v>745</v>
      </c>
      <c r="R50" t="s">
        <v>673</v>
      </c>
      <c r="S50" s="97">
        <f t="shared" si="3"/>
        <v>5</v>
      </c>
      <c r="T50" s="95" t="str">
        <f t="shared" si="1"/>
        <v>Nimi hosts [Hidden Gem] Galleries Stroll in Mayfair</v>
      </c>
      <c r="U50" s="96">
        <v>45388</v>
      </c>
      <c r="V50" s="95">
        <f t="shared" si="2"/>
        <v>4</v>
      </c>
      <c r="W50" s="95" t="str">
        <f t="shared" si="4"/>
        <v>Locals</v>
      </c>
      <c r="Y50" s="95"/>
      <c r="Z50">
        <f>VLOOKUP(S50,Sessions!A:K,11,FALSE)</f>
        <v>4</v>
      </c>
    </row>
    <row r="51" spans="1:28" ht="16" x14ac:dyDescent="0.2">
      <c r="A51" t="s">
        <v>752</v>
      </c>
      <c r="B51" s="5" t="s">
        <v>670</v>
      </c>
      <c r="C51" s="64" t="s">
        <v>301</v>
      </c>
      <c r="D51" s="64" t="s">
        <v>302</v>
      </c>
      <c r="E51" s="64" t="s">
        <v>137</v>
      </c>
      <c r="F51" s="80" t="s">
        <v>594</v>
      </c>
      <c r="G51" t="s">
        <v>730</v>
      </c>
      <c r="H51" s="115">
        <v>5</v>
      </c>
      <c r="I51" s="154">
        <v>45388</v>
      </c>
      <c r="J51" s="18">
        <v>1</v>
      </c>
      <c r="K51" s="18" t="s">
        <v>697</v>
      </c>
      <c r="L51" s="18">
        <v>7.5</v>
      </c>
      <c r="M51" s="18" t="s">
        <v>715</v>
      </c>
      <c r="N51" s="64" t="s">
        <v>301</v>
      </c>
      <c r="O51" s="64" t="s">
        <v>302</v>
      </c>
      <c r="P51" s="64" t="s">
        <v>137</v>
      </c>
      <c r="Q51" t="s">
        <v>739</v>
      </c>
      <c r="R51" t="s">
        <v>673</v>
      </c>
      <c r="S51" s="97">
        <f t="shared" si="3"/>
        <v>5</v>
      </c>
      <c r="T51" s="95" t="str">
        <f t="shared" si="1"/>
        <v>Nimi hosts [Hidden Gem] Galleries Stroll in Mayfair</v>
      </c>
      <c r="U51" s="96">
        <v>45388</v>
      </c>
      <c r="V51" s="95">
        <f t="shared" si="2"/>
        <v>4</v>
      </c>
      <c r="W51" s="95" t="str">
        <f t="shared" si="4"/>
        <v>WhatsApp</v>
      </c>
      <c r="Y51" s="95"/>
      <c r="Z51">
        <f>VLOOKUP(S51,Sessions!A:K,11,FALSE)</f>
        <v>4</v>
      </c>
    </row>
    <row r="52" spans="1:28" ht="16" x14ac:dyDescent="0.2">
      <c r="A52" t="s">
        <v>753</v>
      </c>
      <c r="B52" s="5" t="s">
        <v>670</v>
      </c>
      <c r="C52" s="5" t="s">
        <v>305</v>
      </c>
      <c r="D52" s="5" t="s">
        <v>306</v>
      </c>
      <c r="E52" s="115" t="s">
        <v>135</v>
      </c>
      <c r="F52" s="80" t="s">
        <v>610</v>
      </c>
      <c r="G52" t="s">
        <v>730</v>
      </c>
      <c r="H52" s="115">
        <v>5</v>
      </c>
      <c r="I52" s="154">
        <v>45388</v>
      </c>
      <c r="J52" s="18">
        <v>1</v>
      </c>
      <c r="K52" s="18" t="s">
        <v>697</v>
      </c>
      <c r="L52" s="18">
        <v>10</v>
      </c>
      <c r="M52" s="18" t="s">
        <v>721</v>
      </c>
      <c r="N52" s="18" t="s">
        <v>305</v>
      </c>
      <c r="O52" s="18" t="s">
        <v>306</v>
      </c>
      <c r="P52" s="18" t="s">
        <v>135</v>
      </c>
      <c r="Q52" t="s">
        <v>739</v>
      </c>
      <c r="R52" t="s">
        <v>673</v>
      </c>
      <c r="S52" s="97">
        <f t="shared" si="3"/>
        <v>5</v>
      </c>
      <c r="T52" s="95" t="str">
        <f t="shared" si="1"/>
        <v>Nimi hosts [Hidden Gem] Galleries Stroll in Mayfair</v>
      </c>
      <c r="U52" s="96">
        <v>45388</v>
      </c>
      <c r="V52" s="95">
        <f t="shared" si="2"/>
        <v>4</v>
      </c>
      <c r="W52" s="95" t="str">
        <f t="shared" si="4"/>
        <v>WhatsApp</v>
      </c>
      <c r="Y52" s="95"/>
      <c r="Z52">
        <f>VLOOKUP(S52,Sessions!A:K,11,FALSE)</f>
        <v>4</v>
      </c>
    </row>
    <row r="53" spans="1:28" ht="16" x14ac:dyDescent="0.2">
      <c r="A53" t="s">
        <v>754</v>
      </c>
      <c r="B53" s="5" t="s">
        <v>670</v>
      </c>
      <c r="C53" s="5" t="s">
        <v>303</v>
      </c>
      <c r="D53" s="5" t="s">
        <v>304</v>
      </c>
      <c r="E53" s="115" t="s">
        <v>125</v>
      </c>
      <c r="F53" s="80" t="s">
        <v>587</v>
      </c>
      <c r="G53" t="s">
        <v>730</v>
      </c>
      <c r="H53" s="115">
        <v>5</v>
      </c>
      <c r="I53" s="154">
        <v>45388</v>
      </c>
      <c r="J53" s="18">
        <v>1</v>
      </c>
      <c r="K53" s="18" t="s">
        <v>697</v>
      </c>
      <c r="L53" s="18">
        <v>7.5</v>
      </c>
      <c r="M53" s="18" t="s">
        <v>715</v>
      </c>
      <c r="N53" s="18" t="s">
        <v>303</v>
      </c>
      <c r="O53" s="18" t="s">
        <v>304</v>
      </c>
      <c r="P53" s="18" t="s">
        <v>125</v>
      </c>
      <c r="Q53" t="s">
        <v>739</v>
      </c>
      <c r="R53" t="s">
        <v>673</v>
      </c>
      <c r="S53" s="97">
        <f t="shared" si="3"/>
        <v>5</v>
      </c>
      <c r="T53" s="95" t="str">
        <f t="shared" si="1"/>
        <v>Nimi hosts [Hidden Gem] Galleries Stroll in Mayfair</v>
      </c>
      <c r="U53" s="96">
        <v>45388</v>
      </c>
      <c r="V53" s="95">
        <f t="shared" si="2"/>
        <v>4</v>
      </c>
      <c r="W53" s="95" t="str">
        <f t="shared" si="4"/>
        <v>WhatsApp</v>
      </c>
      <c r="Y53" s="95"/>
      <c r="Z53">
        <f>VLOOKUP(S53,Sessions!A:K,11,FALSE)</f>
        <v>4</v>
      </c>
    </row>
    <row r="54" spans="1:28" ht="16" x14ac:dyDescent="0.2">
      <c r="A54" t="s">
        <v>755</v>
      </c>
      <c r="B54" s="5" t="s">
        <v>670</v>
      </c>
      <c r="C54" s="5" t="s">
        <v>233</v>
      </c>
      <c r="D54" s="5" t="s">
        <v>234</v>
      </c>
      <c r="E54" s="115" t="s">
        <v>162</v>
      </c>
      <c r="F54" s="80" t="s">
        <v>446</v>
      </c>
      <c r="G54" t="s">
        <v>730</v>
      </c>
      <c r="H54" s="115">
        <v>5</v>
      </c>
      <c r="I54" s="154">
        <v>45388</v>
      </c>
      <c r="J54" s="18">
        <v>1</v>
      </c>
      <c r="K54" s="18" t="s">
        <v>697</v>
      </c>
      <c r="L54" s="18">
        <v>15</v>
      </c>
      <c r="M54" s="18"/>
      <c r="N54" s="18" t="s">
        <v>233</v>
      </c>
      <c r="O54" s="18" t="s">
        <v>234</v>
      </c>
      <c r="P54" s="18" t="s">
        <v>162</v>
      </c>
      <c r="Q54" t="s">
        <v>737</v>
      </c>
      <c r="R54" t="s">
        <v>673</v>
      </c>
      <c r="S54" s="97">
        <f t="shared" si="3"/>
        <v>5</v>
      </c>
      <c r="T54" s="95" t="str">
        <f t="shared" si="1"/>
        <v>Nimi hosts [Hidden Gem] Galleries Stroll in Mayfair</v>
      </c>
      <c r="U54" s="96">
        <v>45388</v>
      </c>
      <c r="V54" s="95">
        <f t="shared" si="2"/>
        <v>4</v>
      </c>
      <c r="W54" s="95" t="str">
        <f t="shared" si="4"/>
        <v>ebdsshios</v>
      </c>
      <c r="Y54" s="95"/>
      <c r="Z54">
        <f>VLOOKUP(S54,Sessions!A:K,11,FALSE)</f>
        <v>4</v>
      </c>
    </row>
    <row r="55" spans="1:28" ht="16" x14ac:dyDescent="0.2">
      <c r="A55" t="s">
        <v>756</v>
      </c>
      <c r="B55" s="5" t="s">
        <v>670</v>
      </c>
      <c r="C55" s="5" t="s">
        <v>213</v>
      </c>
      <c r="D55" s="5" t="s">
        <v>214</v>
      </c>
      <c r="E55" s="115" t="s">
        <v>121</v>
      </c>
      <c r="F55" s="80" t="s">
        <v>595</v>
      </c>
      <c r="G55" t="s">
        <v>730</v>
      </c>
      <c r="H55" s="115">
        <v>5</v>
      </c>
      <c r="I55" s="154">
        <v>45388</v>
      </c>
      <c r="J55" s="18">
        <v>1</v>
      </c>
      <c r="K55" s="18" t="s">
        <v>697</v>
      </c>
      <c r="L55" s="18">
        <v>15</v>
      </c>
      <c r="M55" s="18"/>
      <c r="N55" s="18" t="s">
        <v>213</v>
      </c>
      <c r="O55" s="18" t="s">
        <v>214</v>
      </c>
      <c r="P55" s="18" t="s">
        <v>121</v>
      </c>
      <c r="Q55" t="s">
        <v>739</v>
      </c>
      <c r="R55" t="s">
        <v>673</v>
      </c>
      <c r="S55" s="97">
        <f t="shared" si="3"/>
        <v>5</v>
      </c>
      <c r="T55" s="95" t="str">
        <f t="shared" si="1"/>
        <v>Nimi hosts [Hidden Gem] Galleries Stroll in Mayfair</v>
      </c>
      <c r="U55" s="96">
        <v>45388</v>
      </c>
      <c r="V55" s="95">
        <f t="shared" si="2"/>
        <v>4</v>
      </c>
      <c r="W55" s="95" t="str">
        <f t="shared" si="4"/>
        <v>WhatsApp</v>
      </c>
      <c r="Y55" s="95"/>
      <c r="Z55">
        <f>VLOOKUP(S55,Sessions!A:K,11,FALSE)</f>
        <v>4</v>
      </c>
    </row>
    <row r="56" spans="1:28" ht="16" x14ac:dyDescent="0.2">
      <c r="A56" t="s">
        <v>757</v>
      </c>
      <c r="B56" s="5" t="s">
        <v>670</v>
      </c>
      <c r="C56" s="5" t="s">
        <v>271</v>
      </c>
      <c r="D56" s="5" t="s">
        <v>272</v>
      </c>
      <c r="E56" s="115" t="s">
        <v>163</v>
      </c>
      <c r="F56" s="80" t="s">
        <v>485</v>
      </c>
      <c r="G56" t="s">
        <v>730</v>
      </c>
      <c r="H56" s="115">
        <v>5</v>
      </c>
      <c r="I56" s="154">
        <v>45388</v>
      </c>
      <c r="J56" s="18">
        <v>1</v>
      </c>
      <c r="K56" s="18" t="s">
        <v>697</v>
      </c>
      <c r="L56" s="18">
        <v>15</v>
      </c>
      <c r="M56" s="18"/>
      <c r="N56" s="18" t="s">
        <v>271</v>
      </c>
      <c r="O56" s="18" t="s">
        <v>272</v>
      </c>
      <c r="P56" s="18" t="s">
        <v>163</v>
      </c>
      <c r="Q56" t="s">
        <v>745</v>
      </c>
      <c r="R56" t="s">
        <v>673</v>
      </c>
      <c r="S56" s="97">
        <f t="shared" si="3"/>
        <v>5</v>
      </c>
      <c r="T56" s="95" t="str">
        <f t="shared" si="1"/>
        <v>Nimi hosts [Hidden Gem] Galleries Stroll in Mayfair</v>
      </c>
      <c r="U56" s="96">
        <v>45388</v>
      </c>
      <c r="V56" s="95">
        <f t="shared" si="2"/>
        <v>4</v>
      </c>
      <c r="W56" s="95" t="str">
        <f t="shared" si="4"/>
        <v>Locals</v>
      </c>
      <c r="Y56" s="95"/>
      <c r="Z56">
        <f>VLOOKUP(S56,Sessions!A:K,11,FALSE)</f>
        <v>4</v>
      </c>
    </row>
    <row r="57" spans="1:28" ht="16" x14ac:dyDescent="0.2">
      <c r="A57" t="s">
        <v>758</v>
      </c>
      <c r="B57" s="5" t="s">
        <v>670</v>
      </c>
      <c r="C57" s="5" t="s">
        <v>273</v>
      </c>
      <c r="D57" s="5" t="s">
        <v>274</v>
      </c>
      <c r="E57" s="115" t="s">
        <v>164</v>
      </c>
      <c r="F57" s="80" t="s">
        <v>759</v>
      </c>
      <c r="G57" t="s">
        <v>730</v>
      </c>
      <c r="H57" s="115">
        <v>5</v>
      </c>
      <c r="I57" s="154">
        <v>45388</v>
      </c>
      <c r="J57" s="18">
        <v>1</v>
      </c>
      <c r="K57" s="18" t="s">
        <v>697</v>
      </c>
      <c r="L57" s="18">
        <v>15</v>
      </c>
      <c r="M57" s="18"/>
      <c r="N57" s="18" t="s">
        <v>273</v>
      </c>
      <c r="O57" s="18" t="s">
        <v>274</v>
      </c>
      <c r="P57" s="18" t="s">
        <v>164</v>
      </c>
      <c r="Q57" t="s">
        <v>745</v>
      </c>
      <c r="R57" t="s">
        <v>673</v>
      </c>
      <c r="S57" s="97">
        <f t="shared" si="3"/>
        <v>5</v>
      </c>
      <c r="T57" s="95" t="str">
        <f t="shared" si="1"/>
        <v>Nimi hosts [Hidden Gem] Galleries Stroll in Mayfair</v>
      </c>
      <c r="U57" s="96">
        <v>45388</v>
      </c>
      <c r="V57" s="95">
        <f t="shared" si="2"/>
        <v>4</v>
      </c>
      <c r="W57" s="95" t="str">
        <f t="shared" si="4"/>
        <v>Locals</v>
      </c>
      <c r="Y57" s="95"/>
      <c r="Z57">
        <f>VLOOKUP(S57,Sessions!A:K,11,FALSE)</f>
        <v>4</v>
      </c>
    </row>
    <row r="58" spans="1:28" ht="16" x14ac:dyDescent="0.2">
      <c r="A58" t="s">
        <v>760</v>
      </c>
      <c r="B58" s="5" t="s">
        <v>670</v>
      </c>
      <c r="C58" s="5" t="s">
        <v>226</v>
      </c>
      <c r="D58" s="5" t="s">
        <v>227</v>
      </c>
      <c r="E58" s="115" t="s">
        <v>165</v>
      </c>
      <c r="F58" s="80" t="s">
        <v>617</v>
      </c>
      <c r="G58" t="s">
        <v>730</v>
      </c>
      <c r="H58" s="115">
        <v>5</v>
      </c>
      <c r="I58" s="154">
        <v>45388</v>
      </c>
      <c r="J58" s="18">
        <v>1</v>
      </c>
      <c r="K58" s="18" t="s">
        <v>697</v>
      </c>
      <c r="L58" s="18">
        <v>15</v>
      </c>
      <c r="M58" s="18"/>
      <c r="N58" s="18" t="s">
        <v>226</v>
      </c>
      <c r="O58" s="18" t="s">
        <v>227</v>
      </c>
      <c r="P58" s="18" t="s">
        <v>165</v>
      </c>
      <c r="Q58" t="s">
        <v>739</v>
      </c>
      <c r="R58" t="s">
        <v>673</v>
      </c>
      <c r="S58" s="97">
        <f t="shared" si="3"/>
        <v>5</v>
      </c>
      <c r="T58" s="95" t="str">
        <f t="shared" si="1"/>
        <v>Nimi hosts [Hidden Gem] Galleries Stroll in Mayfair</v>
      </c>
      <c r="U58" s="96">
        <v>45388</v>
      </c>
      <c r="V58" s="95">
        <f t="shared" si="2"/>
        <v>4</v>
      </c>
      <c r="W58" s="95" t="str">
        <f t="shared" si="4"/>
        <v>WhatsApp</v>
      </c>
      <c r="Y58" s="95"/>
      <c r="Z58">
        <f>VLOOKUP(S58,Sessions!A:K,11,FALSE)</f>
        <v>4</v>
      </c>
    </row>
    <row r="59" spans="1:28" ht="16" x14ac:dyDescent="0.2">
      <c r="A59" t="s">
        <v>761</v>
      </c>
      <c r="B59" s="5" t="s">
        <v>670</v>
      </c>
      <c r="C59" s="5" t="s">
        <v>216</v>
      </c>
      <c r="D59" s="5" t="s">
        <v>217</v>
      </c>
      <c r="E59" s="115" t="s">
        <v>127</v>
      </c>
      <c r="F59" s="80" t="s">
        <v>472</v>
      </c>
      <c r="G59" t="s">
        <v>762</v>
      </c>
      <c r="H59" s="115">
        <v>6</v>
      </c>
      <c r="I59" s="154">
        <v>45393</v>
      </c>
      <c r="J59" s="18">
        <v>1</v>
      </c>
      <c r="K59" s="18" t="s">
        <v>697</v>
      </c>
      <c r="L59" s="18">
        <v>7.5</v>
      </c>
      <c r="M59" s="18" t="s">
        <v>715</v>
      </c>
      <c r="N59" s="18" t="s">
        <v>216</v>
      </c>
      <c r="O59" s="18" t="s">
        <v>217</v>
      </c>
      <c r="P59" s="18" t="s">
        <v>127</v>
      </c>
      <c r="Q59" t="s">
        <v>731</v>
      </c>
      <c r="R59" t="s">
        <v>673</v>
      </c>
      <c r="S59" s="97">
        <f t="shared" si="3"/>
        <v>6</v>
      </c>
      <c r="T59" s="95" t="str">
        <f t="shared" si="1"/>
        <v>Nimi hosts [Hidden Gem] Private View at Art Galleries in Central London</v>
      </c>
      <c r="U59" s="96">
        <v>45389</v>
      </c>
      <c r="V59" s="95">
        <f t="shared" si="2"/>
        <v>4</v>
      </c>
      <c r="W59" s="95" t="str">
        <f t="shared" si="4"/>
        <v>oddtdtdirect</v>
      </c>
      <c r="Y59" s="95"/>
      <c r="Z59">
        <f>VLOOKUP(S59,Sessions!A:K,11,FALSE)</f>
        <v>4</v>
      </c>
    </row>
    <row r="60" spans="1:28" ht="16" x14ac:dyDescent="0.2">
      <c r="A60" t="s">
        <v>763</v>
      </c>
      <c r="B60" s="5" t="s">
        <v>670</v>
      </c>
      <c r="C60" s="5" t="s">
        <v>203</v>
      </c>
      <c r="D60" s="5" t="s">
        <v>204</v>
      </c>
      <c r="E60" s="115" t="s">
        <v>120</v>
      </c>
      <c r="F60" s="80" t="s">
        <v>588</v>
      </c>
      <c r="G60" t="s">
        <v>762</v>
      </c>
      <c r="H60" s="115">
        <v>6</v>
      </c>
      <c r="I60" s="154">
        <v>45393</v>
      </c>
      <c r="J60" s="18">
        <v>1</v>
      </c>
      <c r="K60" s="18" t="s">
        <v>697</v>
      </c>
      <c r="L60" s="18">
        <v>15</v>
      </c>
      <c r="M60" s="18"/>
      <c r="N60" s="18" t="s">
        <v>203</v>
      </c>
      <c r="O60" s="18" t="s">
        <v>204</v>
      </c>
      <c r="P60" s="18" t="s">
        <v>120</v>
      </c>
      <c r="Q60" t="s">
        <v>734</v>
      </c>
      <c r="R60" t="s">
        <v>673</v>
      </c>
      <c r="S60" s="97">
        <f t="shared" si="3"/>
        <v>6</v>
      </c>
      <c r="T60" s="95" t="str">
        <f t="shared" si="1"/>
        <v>Nimi hosts [Hidden Gem] Private View at Art Galleries in Central London</v>
      </c>
      <c r="U60" s="96">
        <v>45390</v>
      </c>
      <c r="V60" s="95">
        <f t="shared" si="2"/>
        <v>4</v>
      </c>
      <c r="W60" s="95" t="str">
        <f t="shared" si="4"/>
        <v>ebesesdeeplink</v>
      </c>
      <c r="Y60" s="95"/>
      <c r="Z60">
        <f>VLOOKUP(S60,Sessions!A:K,11,FALSE)</f>
        <v>4</v>
      </c>
    </row>
    <row r="61" spans="1:28" ht="16" x14ac:dyDescent="0.2">
      <c r="A61" t="s">
        <v>764</v>
      </c>
      <c r="B61" s="5" t="s">
        <v>689</v>
      </c>
      <c r="C61" s="5" t="s">
        <v>765</v>
      </c>
      <c r="D61" s="5" t="s">
        <v>766</v>
      </c>
      <c r="E61" s="115" t="s">
        <v>166</v>
      </c>
      <c r="F61" s="80" t="s">
        <v>637</v>
      </c>
      <c r="G61" t="s">
        <v>762</v>
      </c>
      <c r="H61" s="115">
        <v>6</v>
      </c>
      <c r="I61" s="154">
        <v>45393</v>
      </c>
      <c r="J61" s="18">
        <v>1</v>
      </c>
      <c r="K61" s="18" t="s">
        <v>697</v>
      </c>
      <c r="L61" s="18">
        <v>15</v>
      </c>
      <c r="M61" s="18"/>
      <c r="N61" s="18" t="s">
        <v>765</v>
      </c>
      <c r="O61" s="18" t="s">
        <v>766</v>
      </c>
      <c r="P61" s="18" t="s">
        <v>166</v>
      </c>
      <c r="Q61" t="s">
        <v>741</v>
      </c>
      <c r="R61" t="s">
        <v>673</v>
      </c>
      <c r="S61" s="97">
        <f t="shared" si="3"/>
        <v>6</v>
      </c>
      <c r="T61" s="95" t="str">
        <f t="shared" si="1"/>
        <v>Nimi hosts [Hidden Gem] Private View at Art Galleries in Central London</v>
      </c>
      <c r="U61" s="96" t="e">
        <f t="shared" ref="U61:U92" si="5">DATE(20&amp;_xlfn.TEXTBEFORE(_xlfn.TEXTAFTER(I61,"/",2)," "), _xlfn.TEXTBEFORE(I61,"/",1), _xlfn.TEXTBEFORE(_xlfn.TEXTAFTER(I61,"/"),"/"))</f>
        <v>#N/A</v>
      </c>
      <c r="V61" s="95" t="e">
        <f t="shared" si="2"/>
        <v>#N/A</v>
      </c>
      <c r="W61" s="95" t="str">
        <f t="shared" si="4"/>
        <v>odcleoeventsincollection</v>
      </c>
      <c r="Y61" s="95"/>
      <c r="Z61">
        <f>VLOOKUP(S61,Sessions!A:K,11,FALSE)</f>
        <v>4</v>
      </c>
      <c r="AB61" s="1"/>
    </row>
    <row r="62" spans="1:28" ht="16" x14ac:dyDescent="0.2">
      <c r="A62" t="s">
        <v>767</v>
      </c>
      <c r="B62" s="5" t="s">
        <v>670</v>
      </c>
      <c r="C62" s="5" t="s">
        <v>295</v>
      </c>
      <c r="D62" s="5" t="s">
        <v>296</v>
      </c>
      <c r="E62" s="115" t="s">
        <v>167</v>
      </c>
      <c r="F62" s="80" t="s">
        <v>631</v>
      </c>
      <c r="G62" t="s">
        <v>762</v>
      </c>
      <c r="H62" s="115">
        <v>6</v>
      </c>
      <c r="I62" s="154">
        <v>45393</v>
      </c>
      <c r="J62" s="18">
        <v>1</v>
      </c>
      <c r="K62" s="18" t="s">
        <v>697</v>
      </c>
      <c r="L62" s="18">
        <v>15</v>
      </c>
      <c r="M62" s="18"/>
      <c r="N62" s="18" t="s">
        <v>295</v>
      </c>
      <c r="O62" s="18" t="s">
        <v>296</v>
      </c>
      <c r="P62" s="18" t="s">
        <v>167</v>
      </c>
      <c r="Q62" t="s">
        <v>768</v>
      </c>
      <c r="R62" t="s">
        <v>673</v>
      </c>
      <c r="S62" s="97">
        <f t="shared" si="3"/>
        <v>6</v>
      </c>
      <c r="T62" s="95" t="str">
        <f t="shared" si="1"/>
        <v>Nimi hosts [Hidden Gem] Private View at Art Galleries in Central London</v>
      </c>
      <c r="U62" s="96" t="e">
        <f t="shared" si="5"/>
        <v>#N/A</v>
      </c>
      <c r="V62" s="95" t="e">
        <f t="shared" si="2"/>
        <v>#N/A</v>
      </c>
      <c r="W62" s="95" t="str">
        <f t="shared" si="4"/>
        <v>oddtdtcreator</v>
      </c>
      <c r="Y62" s="95"/>
      <c r="Z62">
        <f>VLOOKUP(S62,Sessions!A:K,11,FALSE)</f>
        <v>4</v>
      </c>
    </row>
    <row r="63" spans="1:28" ht="16" x14ac:dyDescent="0.2">
      <c r="A63" t="s">
        <v>769</v>
      </c>
      <c r="B63" s="5" t="s">
        <v>670</v>
      </c>
      <c r="C63" s="5" t="s">
        <v>231</v>
      </c>
      <c r="D63" s="5" t="s">
        <v>232</v>
      </c>
      <c r="E63" s="115" t="s">
        <v>170</v>
      </c>
      <c r="F63" s="80" t="s">
        <v>438</v>
      </c>
      <c r="G63" t="s">
        <v>762</v>
      </c>
      <c r="H63" s="115">
        <v>6</v>
      </c>
      <c r="I63" s="154">
        <v>45393</v>
      </c>
      <c r="J63" s="18">
        <v>1</v>
      </c>
      <c r="K63" s="18" t="s">
        <v>697</v>
      </c>
      <c r="L63" s="18">
        <v>10</v>
      </c>
      <c r="M63" s="18" t="s">
        <v>721</v>
      </c>
      <c r="N63" s="18" t="s">
        <v>231</v>
      </c>
      <c r="O63" s="18" t="s">
        <v>232</v>
      </c>
      <c r="P63" s="18" t="s">
        <v>170</v>
      </c>
      <c r="Q63" t="s">
        <v>739</v>
      </c>
      <c r="R63" t="s">
        <v>673</v>
      </c>
      <c r="S63" s="97">
        <f t="shared" si="3"/>
        <v>6</v>
      </c>
      <c r="T63" s="95" t="str">
        <f t="shared" si="1"/>
        <v>Nimi hosts [Hidden Gem] Private View at Art Galleries in Central London</v>
      </c>
      <c r="U63" s="96" t="e">
        <f t="shared" si="5"/>
        <v>#N/A</v>
      </c>
      <c r="V63" s="95" t="e">
        <f t="shared" si="2"/>
        <v>#N/A</v>
      </c>
      <c r="W63" s="95" t="str">
        <f t="shared" si="4"/>
        <v>WhatsApp</v>
      </c>
      <c r="Y63" s="95"/>
      <c r="Z63">
        <f>VLOOKUP(S63,Sessions!A:K,11,FALSE)</f>
        <v>4</v>
      </c>
    </row>
    <row r="64" spans="1:28" ht="16" x14ac:dyDescent="0.2">
      <c r="A64" t="s">
        <v>770</v>
      </c>
      <c r="B64" s="5" t="s">
        <v>670</v>
      </c>
      <c r="C64" s="5" t="s">
        <v>213</v>
      </c>
      <c r="D64" s="5" t="s">
        <v>214</v>
      </c>
      <c r="E64" s="115" t="s">
        <v>121</v>
      </c>
      <c r="F64" s="80" t="s">
        <v>595</v>
      </c>
      <c r="G64" t="s">
        <v>762</v>
      </c>
      <c r="H64" s="115">
        <v>6</v>
      </c>
      <c r="I64" s="154">
        <v>45393</v>
      </c>
      <c r="J64" s="18">
        <v>1</v>
      </c>
      <c r="K64" s="18" t="s">
        <v>697</v>
      </c>
      <c r="L64" s="18">
        <v>10</v>
      </c>
      <c r="M64" s="18" t="s">
        <v>721</v>
      </c>
      <c r="N64" s="18" t="s">
        <v>213</v>
      </c>
      <c r="O64" s="18" t="s">
        <v>214</v>
      </c>
      <c r="P64" s="18" t="s">
        <v>121</v>
      </c>
      <c r="Q64" t="s">
        <v>739</v>
      </c>
      <c r="R64" t="s">
        <v>673</v>
      </c>
      <c r="S64" s="97">
        <f t="shared" si="3"/>
        <v>6</v>
      </c>
      <c r="T64" s="95" t="str">
        <f t="shared" si="1"/>
        <v>Nimi hosts [Hidden Gem] Private View at Art Galleries in Central London</v>
      </c>
      <c r="U64" s="96" t="e">
        <f t="shared" si="5"/>
        <v>#N/A</v>
      </c>
      <c r="V64" s="95" t="e">
        <f t="shared" si="2"/>
        <v>#N/A</v>
      </c>
      <c r="W64" s="95" t="str">
        <f t="shared" si="4"/>
        <v>WhatsApp</v>
      </c>
      <c r="Y64" s="95"/>
      <c r="Z64">
        <f>VLOOKUP(S64,Sessions!A:K,11,FALSE)</f>
        <v>4</v>
      </c>
    </row>
    <row r="65" spans="1:26" ht="16" x14ac:dyDescent="0.2">
      <c r="A65" t="s">
        <v>771</v>
      </c>
      <c r="B65" s="5" t="s">
        <v>670</v>
      </c>
      <c r="C65" s="5" t="s">
        <v>198</v>
      </c>
      <c r="D65" s="5" t="s">
        <v>199</v>
      </c>
      <c r="E65" s="115" t="s">
        <v>122</v>
      </c>
      <c r="F65" s="80" t="s">
        <v>772</v>
      </c>
      <c r="G65" t="s">
        <v>773</v>
      </c>
      <c r="H65" s="115">
        <v>7</v>
      </c>
      <c r="I65" s="154">
        <v>45395</v>
      </c>
      <c r="J65" s="18">
        <v>1</v>
      </c>
      <c r="K65" s="18" t="s">
        <v>697</v>
      </c>
      <c r="L65" s="18">
        <v>7.5</v>
      </c>
      <c r="M65" s="18" t="s">
        <v>715</v>
      </c>
      <c r="N65" s="18" t="s">
        <v>198</v>
      </c>
      <c r="O65" s="18" t="s">
        <v>199</v>
      </c>
      <c r="P65" s="18" t="s">
        <v>122</v>
      </c>
      <c r="Q65" t="s">
        <v>734</v>
      </c>
      <c r="R65" t="s">
        <v>673</v>
      </c>
      <c r="S65" s="97">
        <f t="shared" si="3"/>
        <v>7</v>
      </c>
      <c r="T65" s="95" t="str">
        <f t="shared" si="1"/>
        <v>Nimi hosts [Hidden Gem] Gallery Stroll in South Kensington</v>
      </c>
      <c r="U65" s="96" t="e">
        <f t="shared" si="5"/>
        <v>#N/A</v>
      </c>
      <c r="V65" s="95" t="e">
        <f t="shared" si="2"/>
        <v>#N/A</v>
      </c>
      <c r="W65" s="95" t="str">
        <f t="shared" si="4"/>
        <v>ebesesdeeplink</v>
      </c>
      <c r="Y65" s="95"/>
      <c r="Z65">
        <f>VLOOKUP(S65,Sessions!A:K,11,FALSE)</f>
        <v>4</v>
      </c>
    </row>
    <row r="66" spans="1:26" ht="16" x14ac:dyDescent="0.2">
      <c r="A66" t="s">
        <v>774</v>
      </c>
      <c r="B66" s="5" t="s">
        <v>670</v>
      </c>
      <c r="C66" s="5" t="s">
        <v>190</v>
      </c>
      <c r="D66" s="5" t="s">
        <v>191</v>
      </c>
      <c r="E66" s="115" t="s">
        <v>132</v>
      </c>
      <c r="F66" s="80" t="s">
        <v>775</v>
      </c>
      <c r="G66" t="s">
        <v>773</v>
      </c>
      <c r="H66" s="115">
        <v>7</v>
      </c>
      <c r="I66" s="154">
        <v>45395</v>
      </c>
      <c r="J66" s="18">
        <v>1</v>
      </c>
      <c r="K66" s="18" t="s">
        <v>697</v>
      </c>
      <c r="L66" s="18">
        <v>7.5</v>
      </c>
      <c r="M66" s="18" t="s">
        <v>715</v>
      </c>
      <c r="N66" s="18" t="s">
        <v>190</v>
      </c>
      <c r="O66" s="18" t="s">
        <v>191</v>
      </c>
      <c r="P66" s="18" t="s">
        <v>132</v>
      </c>
      <c r="Q66" t="s">
        <v>731</v>
      </c>
      <c r="R66" t="s">
        <v>673</v>
      </c>
      <c r="S66" s="97">
        <f t="shared" ref="S66:S97" si="6">H66</f>
        <v>7</v>
      </c>
      <c r="T66" s="95" t="str">
        <f t="shared" ref="T66:T129" si="7">G66</f>
        <v>Nimi hosts [Hidden Gem] Gallery Stroll in South Kensington</v>
      </c>
      <c r="U66" s="96" t="e">
        <f t="shared" si="5"/>
        <v>#N/A</v>
      </c>
      <c r="V66" s="95" t="e">
        <f t="shared" ref="V66:V129" si="8">MONTH(U66)</f>
        <v>#N/A</v>
      </c>
      <c r="W66" s="95" t="str">
        <f t="shared" si="4"/>
        <v>oddtdtdirect</v>
      </c>
      <c r="Y66" s="95"/>
      <c r="Z66">
        <f>VLOOKUP(S66,Sessions!A:K,11,FALSE)</f>
        <v>4</v>
      </c>
    </row>
    <row r="67" spans="1:26" ht="16" x14ac:dyDescent="0.2">
      <c r="A67" t="s">
        <v>776</v>
      </c>
      <c r="B67" s="5" t="s">
        <v>670</v>
      </c>
      <c r="C67" s="5" t="s">
        <v>200</v>
      </c>
      <c r="D67" s="5" t="s">
        <v>201</v>
      </c>
      <c r="E67" s="115" t="s">
        <v>119</v>
      </c>
      <c r="F67" s="80" t="s">
        <v>477</v>
      </c>
      <c r="G67" t="s">
        <v>773</v>
      </c>
      <c r="H67" s="115">
        <v>7</v>
      </c>
      <c r="I67" s="154">
        <v>45395</v>
      </c>
      <c r="J67" s="18">
        <v>1</v>
      </c>
      <c r="K67" s="18" t="s">
        <v>697</v>
      </c>
      <c r="L67" s="18">
        <v>10</v>
      </c>
      <c r="M67" s="18" t="s">
        <v>721</v>
      </c>
      <c r="N67" s="18" t="s">
        <v>200</v>
      </c>
      <c r="O67" s="18" t="s">
        <v>201</v>
      </c>
      <c r="P67" s="18" t="s">
        <v>119</v>
      </c>
      <c r="Q67" t="s">
        <v>731</v>
      </c>
      <c r="R67" t="s">
        <v>673</v>
      </c>
      <c r="S67" s="97">
        <f t="shared" si="6"/>
        <v>7</v>
      </c>
      <c r="T67" s="95" t="str">
        <f t="shared" si="7"/>
        <v>Nimi hosts [Hidden Gem] Gallery Stroll in South Kensington</v>
      </c>
      <c r="U67" s="96" t="e">
        <f t="shared" si="5"/>
        <v>#N/A</v>
      </c>
      <c r="V67" s="95" t="e">
        <f t="shared" si="8"/>
        <v>#N/A</v>
      </c>
      <c r="W67" s="95" t="str">
        <f t="shared" si="4"/>
        <v>oddtdtdirect</v>
      </c>
      <c r="Y67" s="95"/>
      <c r="Z67">
        <f>VLOOKUP(S67,Sessions!A:K,11,FALSE)</f>
        <v>4</v>
      </c>
    </row>
    <row r="68" spans="1:26" ht="16" x14ac:dyDescent="0.2">
      <c r="A68" t="s">
        <v>777</v>
      </c>
      <c r="B68" s="5" t="s">
        <v>670</v>
      </c>
      <c r="C68" s="5" t="s">
        <v>241</v>
      </c>
      <c r="D68" s="5" t="s">
        <v>242</v>
      </c>
      <c r="E68" s="115" t="s">
        <v>168</v>
      </c>
      <c r="F68" s="80" t="s">
        <v>778</v>
      </c>
      <c r="G68" t="s">
        <v>773</v>
      </c>
      <c r="H68" s="115">
        <v>7</v>
      </c>
      <c r="I68" s="154">
        <v>45395</v>
      </c>
      <c r="J68" s="18">
        <v>1</v>
      </c>
      <c r="K68" s="18" t="s">
        <v>697</v>
      </c>
      <c r="L68" s="18">
        <v>15</v>
      </c>
      <c r="M68" s="18"/>
      <c r="N68" s="18" t="s">
        <v>241</v>
      </c>
      <c r="O68" s="18" t="s">
        <v>242</v>
      </c>
      <c r="P68" s="18" t="s">
        <v>168</v>
      </c>
      <c r="Q68" t="s">
        <v>745</v>
      </c>
      <c r="R68" t="s">
        <v>673</v>
      </c>
      <c r="S68" s="97">
        <f t="shared" si="6"/>
        <v>7</v>
      </c>
      <c r="T68" s="95" t="str">
        <f t="shared" si="7"/>
        <v>Nimi hosts [Hidden Gem] Gallery Stroll in South Kensington</v>
      </c>
      <c r="U68" s="96" t="e">
        <f t="shared" si="5"/>
        <v>#N/A</v>
      </c>
      <c r="V68" s="95" t="e">
        <f t="shared" si="8"/>
        <v>#N/A</v>
      </c>
      <c r="W68" s="95" t="str">
        <f t="shared" si="4"/>
        <v>Locals</v>
      </c>
      <c r="Y68" s="95"/>
      <c r="Z68">
        <f>VLOOKUP(S68,Sessions!A:K,11,FALSE)</f>
        <v>4</v>
      </c>
    </row>
    <row r="69" spans="1:26" ht="16" x14ac:dyDescent="0.2">
      <c r="A69" t="s">
        <v>779</v>
      </c>
      <c r="B69" s="5" t="s">
        <v>670</v>
      </c>
      <c r="C69" s="5" t="s">
        <v>685</v>
      </c>
      <c r="D69" s="5" t="s">
        <v>686</v>
      </c>
      <c r="E69" s="115" t="s">
        <v>136</v>
      </c>
      <c r="F69" s="80" t="s">
        <v>581</v>
      </c>
      <c r="G69" t="s">
        <v>773</v>
      </c>
      <c r="H69" s="115">
        <v>7</v>
      </c>
      <c r="I69" s="154">
        <v>45395</v>
      </c>
      <c r="J69" s="18">
        <v>1</v>
      </c>
      <c r="K69" s="18" t="s">
        <v>697</v>
      </c>
      <c r="L69" s="18">
        <v>10</v>
      </c>
      <c r="M69" s="18" t="s">
        <v>721</v>
      </c>
      <c r="N69" s="18" t="s">
        <v>685</v>
      </c>
      <c r="O69" s="18" t="s">
        <v>686</v>
      </c>
      <c r="P69" s="18" t="s">
        <v>136</v>
      </c>
      <c r="Q69" t="s">
        <v>739</v>
      </c>
      <c r="R69" t="s">
        <v>673</v>
      </c>
      <c r="S69" s="97">
        <f t="shared" si="6"/>
        <v>7</v>
      </c>
      <c r="T69" s="95" t="str">
        <f t="shared" si="7"/>
        <v>Nimi hosts [Hidden Gem] Gallery Stroll in South Kensington</v>
      </c>
      <c r="U69" s="96" t="e">
        <f t="shared" si="5"/>
        <v>#N/A</v>
      </c>
      <c r="V69" s="95" t="e">
        <f t="shared" si="8"/>
        <v>#N/A</v>
      </c>
      <c r="W69" s="95" t="str">
        <f t="shared" si="4"/>
        <v>WhatsApp</v>
      </c>
      <c r="Y69" s="95"/>
      <c r="Z69">
        <f>VLOOKUP(S69,Sessions!A:K,11,FALSE)</f>
        <v>4</v>
      </c>
    </row>
    <row r="70" spans="1:26" ht="16" x14ac:dyDescent="0.2">
      <c r="A70" t="s">
        <v>780</v>
      </c>
      <c r="B70" s="5" t="s">
        <v>670</v>
      </c>
      <c r="C70" s="5" t="s">
        <v>303</v>
      </c>
      <c r="D70" s="5" t="s">
        <v>304</v>
      </c>
      <c r="E70" s="115" t="s">
        <v>125</v>
      </c>
      <c r="F70" s="80" t="s">
        <v>587</v>
      </c>
      <c r="G70" t="s">
        <v>773</v>
      </c>
      <c r="H70" s="115">
        <v>7</v>
      </c>
      <c r="I70" s="154">
        <v>45395</v>
      </c>
      <c r="J70" s="18">
        <v>1</v>
      </c>
      <c r="K70" s="18" t="s">
        <v>697</v>
      </c>
      <c r="L70" s="18">
        <v>7.5</v>
      </c>
      <c r="M70" s="18" t="s">
        <v>715</v>
      </c>
      <c r="N70" s="18" t="s">
        <v>303</v>
      </c>
      <c r="O70" s="18" t="s">
        <v>304</v>
      </c>
      <c r="P70" s="18" t="s">
        <v>125</v>
      </c>
      <c r="Q70" t="s">
        <v>739</v>
      </c>
      <c r="R70" t="s">
        <v>673</v>
      </c>
      <c r="S70" s="97">
        <f t="shared" si="6"/>
        <v>7</v>
      </c>
      <c r="T70" s="95" t="str">
        <f t="shared" si="7"/>
        <v>Nimi hosts [Hidden Gem] Gallery Stroll in South Kensington</v>
      </c>
      <c r="U70" s="96" t="e">
        <f t="shared" si="5"/>
        <v>#N/A</v>
      </c>
      <c r="V70" s="95" t="e">
        <f t="shared" si="8"/>
        <v>#N/A</v>
      </c>
      <c r="W70" s="95" t="str">
        <f t="shared" si="4"/>
        <v>WhatsApp</v>
      </c>
      <c r="Y70" s="95"/>
      <c r="Z70">
        <f>VLOOKUP(S70,Sessions!A:K,11,FALSE)</f>
        <v>4</v>
      </c>
    </row>
    <row r="71" spans="1:26" ht="16" x14ac:dyDescent="0.2">
      <c r="A71" t="s">
        <v>781</v>
      </c>
      <c r="B71" s="5" t="s">
        <v>670</v>
      </c>
      <c r="C71" s="5" t="s">
        <v>205</v>
      </c>
      <c r="D71" s="5" t="s">
        <v>206</v>
      </c>
      <c r="E71" s="125" t="s">
        <v>115</v>
      </c>
      <c r="F71" s="80" t="s">
        <v>559</v>
      </c>
      <c r="G71" t="s">
        <v>773</v>
      </c>
      <c r="H71" s="115">
        <v>7</v>
      </c>
      <c r="I71" s="154">
        <v>45395</v>
      </c>
      <c r="J71" s="18">
        <v>1</v>
      </c>
      <c r="K71" s="18" t="s">
        <v>697</v>
      </c>
      <c r="L71" s="18">
        <v>10</v>
      </c>
      <c r="M71" s="18" t="s">
        <v>721</v>
      </c>
      <c r="N71" s="18" t="s">
        <v>205</v>
      </c>
      <c r="O71" s="18" t="s">
        <v>206</v>
      </c>
      <c r="P71" s="18" t="s">
        <v>116</v>
      </c>
      <c r="Q71" t="s">
        <v>782</v>
      </c>
      <c r="R71" t="s">
        <v>673</v>
      </c>
      <c r="S71" s="97">
        <f t="shared" si="6"/>
        <v>7</v>
      </c>
      <c r="T71" s="95" t="str">
        <f t="shared" si="7"/>
        <v>Nimi hosts [Hidden Gem] Gallery Stroll in South Kensington</v>
      </c>
      <c r="U71" s="96" t="e">
        <f t="shared" si="5"/>
        <v>#N/A</v>
      </c>
      <c r="V71" s="95" t="e">
        <f t="shared" si="8"/>
        <v>#N/A</v>
      </c>
      <c r="W71" s="95" t="str">
        <f t="shared" ref="W71:W102" si="9">Q71</f>
        <v>ebesesorganizerprofile</v>
      </c>
      <c r="Y71" s="95"/>
      <c r="Z71">
        <f>VLOOKUP(S71,Sessions!A:K,11,FALSE)</f>
        <v>4</v>
      </c>
    </row>
    <row r="72" spans="1:26" ht="16" x14ac:dyDescent="0.2">
      <c r="A72" t="s">
        <v>783</v>
      </c>
      <c r="B72" s="5" t="s">
        <v>670</v>
      </c>
      <c r="C72" s="5" t="s">
        <v>257</v>
      </c>
      <c r="D72" s="5" t="s">
        <v>258</v>
      </c>
      <c r="E72" s="115" t="s">
        <v>171</v>
      </c>
      <c r="F72" s="80" t="s">
        <v>494</v>
      </c>
      <c r="G72" t="s">
        <v>773</v>
      </c>
      <c r="H72" s="115">
        <v>7</v>
      </c>
      <c r="I72" s="154">
        <v>45395</v>
      </c>
      <c r="J72" s="18">
        <v>1</v>
      </c>
      <c r="K72" s="18" t="s">
        <v>697</v>
      </c>
      <c r="L72" s="18">
        <v>10</v>
      </c>
      <c r="M72" s="18" t="s">
        <v>721</v>
      </c>
      <c r="N72" s="18" t="s">
        <v>257</v>
      </c>
      <c r="O72" s="18" t="s">
        <v>258</v>
      </c>
      <c r="P72" s="18" t="s">
        <v>171</v>
      </c>
      <c r="Q72" t="s">
        <v>739</v>
      </c>
      <c r="R72" t="s">
        <v>673</v>
      </c>
      <c r="S72" s="97">
        <f t="shared" si="6"/>
        <v>7</v>
      </c>
      <c r="T72" s="95" t="str">
        <f t="shared" si="7"/>
        <v>Nimi hosts [Hidden Gem] Gallery Stroll in South Kensington</v>
      </c>
      <c r="U72" s="96" t="e">
        <f t="shared" si="5"/>
        <v>#N/A</v>
      </c>
      <c r="V72" s="95" t="e">
        <f t="shared" si="8"/>
        <v>#N/A</v>
      </c>
      <c r="W72" s="95" t="str">
        <f t="shared" si="9"/>
        <v>WhatsApp</v>
      </c>
      <c r="Y72" s="95"/>
      <c r="Z72">
        <f>VLOOKUP(S72,Sessions!A:K,11,FALSE)</f>
        <v>4</v>
      </c>
    </row>
    <row r="73" spans="1:26" ht="16" x14ac:dyDescent="0.2">
      <c r="A73" t="s">
        <v>784</v>
      </c>
      <c r="B73" s="5" t="s">
        <v>670</v>
      </c>
      <c r="C73" s="5" t="s">
        <v>297</v>
      </c>
      <c r="D73" s="5" t="s">
        <v>298</v>
      </c>
      <c r="E73" s="115" t="s">
        <v>169</v>
      </c>
      <c r="F73" s="80" t="s">
        <v>785</v>
      </c>
      <c r="G73" t="s">
        <v>773</v>
      </c>
      <c r="H73" s="115">
        <v>7</v>
      </c>
      <c r="I73" s="154">
        <v>45395</v>
      </c>
      <c r="J73" s="18">
        <v>1</v>
      </c>
      <c r="K73" s="18" t="s">
        <v>697</v>
      </c>
      <c r="L73" s="18">
        <v>15</v>
      </c>
      <c r="M73" s="18"/>
      <c r="N73" s="18" t="s">
        <v>297</v>
      </c>
      <c r="O73" s="18" t="s">
        <v>298</v>
      </c>
      <c r="P73" s="18" t="s">
        <v>169</v>
      </c>
      <c r="Q73" t="s">
        <v>739</v>
      </c>
      <c r="R73" t="s">
        <v>673</v>
      </c>
      <c r="S73" s="97">
        <f t="shared" si="6"/>
        <v>7</v>
      </c>
      <c r="T73" s="95" t="str">
        <f t="shared" si="7"/>
        <v>Nimi hosts [Hidden Gem] Gallery Stroll in South Kensington</v>
      </c>
      <c r="U73" s="96" t="e">
        <f t="shared" si="5"/>
        <v>#N/A</v>
      </c>
      <c r="V73" s="95" t="e">
        <f t="shared" si="8"/>
        <v>#N/A</v>
      </c>
      <c r="W73" s="95" t="str">
        <f t="shared" si="9"/>
        <v>WhatsApp</v>
      </c>
      <c r="Y73" s="95"/>
      <c r="Z73">
        <f>VLOOKUP(S73,Sessions!A:K,11,FALSE)</f>
        <v>4</v>
      </c>
    </row>
    <row r="74" spans="1:26" ht="16" x14ac:dyDescent="0.2">
      <c r="A74" t="s">
        <v>786</v>
      </c>
      <c r="B74" s="5" t="s">
        <v>670</v>
      </c>
      <c r="C74" s="5" t="s">
        <v>235</v>
      </c>
      <c r="D74" s="5" t="s">
        <v>236</v>
      </c>
      <c r="E74" s="115" t="s">
        <v>172</v>
      </c>
      <c r="F74" s="80" t="s">
        <v>448</v>
      </c>
      <c r="G74" t="s">
        <v>787</v>
      </c>
      <c r="H74" s="115">
        <v>8</v>
      </c>
      <c r="I74" s="154">
        <v>45403</v>
      </c>
      <c r="J74" s="18">
        <v>1</v>
      </c>
      <c r="K74" s="18" t="s">
        <v>788</v>
      </c>
      <c r="L74" s="18">
        <v>27</v>
      </c>
      <c r="M74" s="18"/>
      <c r="N74" s="18" t="s">
        <v>235</v>
      </c>
      <c r="O74" s="18" t="s">
        <v>236</v>
      </c>
      <c r="P74" s="18" t="s">
        <v>172</v>
      </c>
      <c r="Q74" t="s">
        <v>731</v>
      </c>
      <c r="R74" t="s">
        <v>673</v>
      </c>
      <c r="S74" s="97">
        <f t="shared" si="6"/>
        <v>8</v>
      </c>
      <c r="T74" s="95" t="str">
        <f t="shared" si="7"/>
        <v>Nimi hosts [Blockbuster] Visit Yoko Ono at Tate Modern</v>
      </c>
      <c r="U74" s="96" t="e">
        <f t="shared" si="5"/>
        <v>#N/A</v>
      </c>
      <c r="V74" s="95" t="e">
        <f t="shared" si="8"/>
        <v>#N/A</v>
      </c>
      <c r="W74" s="95" t="str">
        <f t="shared" si="9"/>
        <v>oddtdtdirect</v>
      </c>
      <c r="Y74" s="95"/>
      <c r="Z74">
        <f>VLOOKUP(S74,Sessions!A:K,11,FALSE)</f>
        <v>1</v>
      </c>
    </row>
    <row r="75" spans="1:26" ht="16" x14ac:dyDescent="0.2">
      <c r="A75" t="s">
        <v>789</v>
      </c>
      <c r="B75" s="5" t="s">
        <v>670</v>
      </c>
      <c r="C75" s="5" t="s">
        <v>203</v>
      </c>
      <c r="D75" s="5" t="s">
        <v>204</v>
      </c>
      <c r="E75" s="115" t="s">
        <v>120</v>
      </c>
      <c r="F75" s="80" t="s">
        <v>588</v>
      </c>
      <c r="G75" t="s">
        <v>787</v>
      </c>
      <c r="H75" s="115">
        <v>8</v>
      </c>
      <c r="I75" s="154">
        <v>45403</v>
      </c>
      <c r="J75" s="18">
        <v>1</v>
      </c>
      <c r="K75" s="18" t="s">
        <v>788</v>
      </c>
      <c r="L75" s="18">
        <v>0</v>
      </c>
      <c r="M75" s="18" t="s">
        <v>790</v>
      </c>
      <c r="N75" s="18" t="s">
        <v>203</v>
      </c>
      <c r="O75" s="18" t="s">
        <v>204</v>
      </c>
      <c r="P75" s="18" t="s">
        <v>120</v>
      </c>
      <c r="Q75" t="s">
        <v>791</v>
      </c>
      <c r="R75" t="s">
        <v>673</v>
      </c>
      <c r="S75" s="97">
        <f t="shared" si="6"/>
        <v>8</v>
      </c>
      <c r="T75" s="95" t="str">
        <f t="shared" si="7"/>
        <v>Nimi hosts [Blockbuster] Visit Yoko Ono at Tate Modern</v>
      </c>
      <c r="U75" s="96" t="e">
        <f t="shared" si="5"/>
        <v>#N/A</v>
      </c>
      <c r="V75" s="95" t="e">
        <f t="shared" si="8"/>
        <v>#N/A</v>
      </c>
      <c r="W75" s="95" t="str">
        <f t="shared" si="9"/>
        <v>ebesessearch</v>
      </c>
      <c r="Y75" s="95"/>
      <c r="Z75">
        <f>VLOOKUP(S75,Sessions!A:K,11,FALSE)</f>
        <v>1</v>
      </c>
    </row>
    <row r="76" spans="1:26" ht="16" x14ac:dyDescent="0.2">
      <c r="A76" t="s">
        <v>792</v>
      </c>
      <c r="B76" s="5" t="s">
        <v>670</v>
      </c>
      <c r="C76" s="5" t="s">
        <v>793</v>
      </c>
      <c r="D76" s="5" t="s">
        <v>284</v>
      </c>
      <c r="E76" s="115" t="s">
        <v>173</v>
      </c>
      <c r="F76" s="80" t="s">
        <v>626</v>
      </c>
      <c r="G76" t="s">
        <v>787</v>
      </c>
      <c r="H76" s="115">
        <v>8</v>
      </c>
      <c r="I76" s="154">
        <v>45403</v>
      </c>
      <c r="J76" s="18">
        <v>1</v>
      </c>
      <c r="K76" s="18" t="s">
        <v>788</v>
      </c>
      <c r="L76" s="18">
        <v>27</v>
      </c>
      <c r="M76" s="18"/>
      <c r="N76" s="18" t="s">
        <v>793</v>
      </c>
      <c r="O76" s="18" t="s">
        <v>284</v>
      </c>
      <c r="P76" s="18" t="s">
        <v>173</v>
      </c>
      <c r="Q76" t="s">
        <v>739</v>
      </c>
      <c r="R76" t="s">
        <v>673</v>
      </c>
      <c r="S76" s="97">
        <f t="shared" si="6"/>
        <v>8</v>
      </c>
      <c r="T76" s="95" t="str">
        <f t="shared" si="7"/>
        <v>Nimi hosts [Blockbuster] Visit Yoko Ono at Tate Modern</v>
      </c>
      <c r="U76" s="96" t="e">
        <f t="shared" si="5"/>
        <v>#N/A</v>
      </c>
      <c r="V76" s="95" t="e">
        <f t="shared" si="8"/>
        <v>#N/A</v>
      </c>
      <c r="W76" s="95" t="str">
        <f t="shared" si="9"/>
        <v>WhatsApp</v>
      </c>
      <c r="Y76" s="95"/>
      <c r="Z76">
        <f>VLOOKUP(S76,Sessions!A:K,11,FALSE)</f>
        <v>1</v>
      </c>
    </row>
    <row r="77" spans="1:26" ht="16" x14ac:dyDescent="0.2">
      <c r="A77" t="s">
        <v>794</v>
      </c>
      <c r="B77" s="5" t="s">
        <v>670</v>
      </c>
      <c r="C77" s="5" t="s">
        <v>251</v>
      </c>
      <c r="D77" s="5" t="s">
        <v>252</v>
      </c>
      <c r="E77" s="115" t="s">
        <v>174</v>
      </c>
      <c r="F77" s="80" t="s">
        <v>582</v>
      </c>
      <c r="G77" t="s">
        <v>787</v>
      </c>
      <c r="H77" s="115">
        <v>8</v>
      </c>
      <c r="I77" s="154">
        <v>45403</v>
      </c>
      <c r="J77" s="18">
        <v>1</v>
      </c>
      <c r="K77" s="18" t="s">
        <v>788</v>
      </c>
      <c r="L77" s="18">
        <v>27</v>
      </c>
      <c r="M77" s="18"/>
      <c r="N77" s="18" t="s">
        <v>251</v>
      </c>
      <c r="O77" s="18" t="s">
        <v>252</v>
      </c>
      <c r="P77" s="18" t="s">
        <v>174</v>
      </c>
      <c r="Q77" t="s">
        <v>734</v>
      </c>
      <c r="R77" t="s">
        <v>673</v>
      </c>
      <c r="S77" s="97">
        <f t="shared" si="6"/>
        <v>8</v>
      </c>
      <c r="T77" s="95" t="str">
        <f t="shared" si="7"/>
        <v>Nimi hosts [Blockbuster] Visit Yoko Ono at Tate Modern</v>
      </c>
      <c r="U77" s="96" t="e">
        <f t="shared" si="5"/>
        <v>#N/A</v>
      </c>
      <c r="V77" s="95" t="e">
        <f t="shared" si="8"/>
        <v>#N/A</v>
      </c>
      <c r="W77" s="95" t="str">
        <f t="shared" si="9"/>
        <v>ebesesdeeplink</v>
      </c>
      <c r="Y77" s="95"/>
      <c r="Z77">
        <f>VLOOKUP(S77,Sessions!A:K,11,FALSE)</f>
        <v>1</v>
      </c>
    </row>
    <row r="78" spans="1:26" ht="16" x14ac:dyDescent="0.2">
      <c r="A78" t="s">
        <v>795</v>
      </c>
      <c r="B78" s="5" t="s">
        <v>670</v>
      </c>
      <c r="C78" s="5" t="s">
        <v>279</v>
      </c>
      <c r="D78" s="5" t="s">
        <v>280</v>
      </c>
      <c r="E78" s="115" t="s">
        <v>178</v>
      </c>
      <c r="F78" s="80" t="s">
        <v>600</v>
      </c>
      <c r="G78" t="s">
        <v>787</v>
      </c>
      <c r="H78" s="115">
        <v>8</v>
      </c>
      <c r="I78" s="154">
        <v>45403</v>
      </c>
      <c r="J78" s="18">
        <v>1</v>
      </c>
      <c r="K78" s="18" t="s">
        <v>796</v>
      </c>
      <c r="L78" s="18">
        <v>5</v>
      </c>
      <c r="M78" s="18"/>
      <c r="N78" s="18" t="s">
        <v>279</v>
      </c>
      <c r="O78" s="18" t="s">
        <v>280</v>
      </c>
      <c r="P78" s="18" t="s">
        <v>178</v>
      </c>
      <c r="Q78" t="s">
        <v>739</v>
      </c>
      <c r="R78" t="s">
        <v>673</v>
      </c>
      <c r="S78" s="97">
        <f t="shared" si="6"/>
        <v>8</v>
      </c>
      <c r="T78" s="95" t="str">
        <f t="shared" si="7"/>
        <v>Nimi hosts [Blockbuster] Visit Yoko Ono at Tate Modern</v>
      </c>
      <c r="U78" s="96" t="e">
        <f t="shared" si="5"/>
        <v>#N/A</v>
      </c>
      <c r="V78" s="95" t="e">
        <f t="shared" si="8"/>
        <v>#N/A</v>
      </c>
      <c r="W78" s="95" t="str">
        <f t="shared" si="9"/>
        <v>WhatsApp</v>
      </c>
      <c r="Y78" s="95"/>
      <c r="Z78">
        <f>VLOOKUP(S78,Sessions!A:K,11,FALSE)</f>
        <v>1</v>
      </c>
    </row>
    <row r="79" spans="1:26" ht="16" x14ac:dyDescent="0.2">
      <c r="A79" t="s">
        <v>797</v>
      </c>
      <c r="B79" s="5" t="s">
        <v>670</v>
      </c>
      <c r="C79" s="5" t="s">
        <v>277</v>
      </c>
      <c r="D79" s="5" t="s">
        <v>278</v>
      </c>
      <c r="E79" s="115" t="s">
        <v>175</v>
      </c>
      <c r="F79" s="80" t="s">
        <v>569</v>
      </c>
      <c r="G79" t="s">
        <v>773</v>
      </c>
      <c r="H79" s="115">
        <v>9</v>
      </c>
      <c r="I79" s="154">
        <v>45402</v>
      </c>
      <c r="J79" s="18">
        <v>1</v>
      </c>
      <c r="K79" s="18" t="s">
        <v>697</v>
      </c>
      <c r="L79" s="18">
        <v>15</v>
      </c>
      <c r="M79" s="18"/>
      <c r="N79" s="18" t="s">
        <v>277</v>
      </c>
      <c r="O79" s="18" t="s">
        <v>278</v>
      </c>
      <c r="P79" s="18" t="s">
        <v>175</v>
      </c>
      <c r="Q79" t="s">
        <v>739</v>
      </c>
      <c r="R79" t="s">
        <v>673</v>
      </c>
      <c r="S79" s="97">
        <f t="shared" si="6"/>
        <v>9</v>
      </c>
      <c r="T79" s="95" t="str">
        <f t="shared" si="7"/>
        <v>Nimi hosts [Hidden Gem] Gallery Stroll in South Kensington</v>
      </c>
      <c r="U79" s="96" t="e">
        <f t="shared" si="5"/>
        <v>#N/A</v>
      </c>
      <c r="V79" s="95" t="e">
        <f t="shared" si="8"/>
        <v>#N/A</v>
      </c>
      <c r="W79" s="95" t="str">
        <f t="shared" si="9"/>
        <v>WhatsApp</v>
      </c>
      <c r="Y79" s="95"/>
      <c r="Z79">
        <f>VLOOKUP(S79,Sessions!A:K,11,FALSE)</f>
        <v>4</v>
      </c>
    </row>
    <row r="80" spans="1:26" ht="16" x14ac:dyDescent="0.2">
      <c r="A80" t="s">
        <v>798</v>
      </c>
      <c r="B80" s="5" t="s">
        <v>670</v>
      </c>
      <c r="C80" s="5" t="s">
        <v>264</v>
      </c>
      <c r="D80" s="5" t="s">
        <v>265</v>
      </c>
      <c r="E80" s="115" t="s">
        <v>128</v>
      </c>
      <c r="F80" s="80" t="s">
        <v>548</v>
      </c>
      <c r="G80" t="s">
        <v>773</v>
      </c>
      <c r="H80" s="115">
        <v>9</v>
      </c>
      <c r="I80" s="154">
        <v>45402</v>
      </c>
      <c r="J80" s="18">
        <v>1</v>
      </c>
      <c r="K80" s="18" t="s">
        <v>697</v>
      </c>
      <c r="L80" s="18">
        <v>7.5</v>
      </c>
      <c r="M80" s="18" t="s">
        <v>715</v>
      </c>
      <c r="N80" s="18" t="s">
        <v>264</v>
      </c>
      <c r="O80" s="18" t="s">
        <v>265</v>
      </c>
      <c r="P80" s="18" t="s">
        <v>128</v>
      </c>
      <c r="Q80" t="s">
        <v>739</v>
      </c>
      <c r="R80" t="s">
        <v>673</v>
      </c>
      <c r="S80" s="97">
        <f t="shared" si="6"/>
        <v>9</v>
      </c>
      <c r="T80" s="95" t="str">
        <f t="shared" si="7"/>
        <v>Nimi hosts [Hidden Gem] Gallery Stroll in South Kensington</v>
      </c>
      <c r="U80" s="96" t="e">
        <f t="shared" si="5"/>
        <v>#N/A</v>
      </c>
      <c r="V80" s="95" t="e">
        <f t="shared" si="8"/>
        <v>#N/A</v>
      </c>
      <c r="W80" s="95" t="str">
        <f t="shared" si="9"/>
        <v>WhatsApp</v>
      </c>
      <c r="Y80" s="95"/>
      <c r="Z80">
        <f>VLOOKUP(S80,Sessions!A:K,11,FALSE)</f>
        <v>4</v>
      </c>
    </row>
    <row r="81" spans="1:26" ht="16" x14ac:dyDescent="0.2">
      <c r="A81" t="s">
        <v>799</v>
      </c>
      <c r="B81" s="5" t="s">
        <v>670</v>
      </c>
      <c r="C81" s="5" t="s">
        <v>290</v>
      </c>
      <c r="D81" s="5" t="s">
        <v>743</v>
      </c>
      <c r="E81" s="115" t="s">
        <v>158</v>
      </c>
      <c r="F81" s="80" t="s">
        <v>800</v>
      </c>
      <c r="G81" t="s">
        <v>773</v>
      </c>
      <c r="H81" s="115">
        <v>9</v>
      </c>
      <c r="I81" s="154">
        <v>45402</v>
      </c>
      <c r="J81" s="18">
        <v>1</v>
      </c>
      <c r="K81" s="18" t="s">
        <v>697</v>
      </c>
      <c r="L81" s="18">
        <v>15</v>
      </c>
      <c r="M81" s="18"/>
      <c r="N81" s="18" t="s">
        <v>290</v>
      </c>
      <c r="O81" s="18" t="s">
        <v>743</v>
      </c>
      <c r="P81" s="18" t="s">
        <v>158</v>
      </c>
      <c r="Q81" t="s">
        <v>739</v>
      </c>
      <c r="R81" t="s">
        <v>673</v>
      </c>
      <c r="S81" s="97">
        <f t="shared" si="6"/>
        <v>9</v>
      </c>
      <c r="T81" s="95" t="str">
        <f t="shared" si="7"/>
        <v>Nimi hosts [Hidden Gem] Gallery Stroll in South Kensington</v>
      </c>
      <c r="U81" s="96" t="e">
        <f t="shared" si="5"/>
        <v>#N/A</v>
      </c>
      <c r="V81" s="95" t="e">
        <f t="shared" si="8"/>
        <v>#N/A</v>
      </c>
      <c r="W81" s="95" t="str">
        <f t="shared" si="9"/>
        <v>WhatsApp</v>
      </c>
      <c r="Y81" s="95"/>
      <c r="Z81">
        <f>VLOOKUP(S81,Sessions!A:K,11,FALSE)</f>
        <v>4</v>
      </c>
    </row>
    <row r="82" spans="1:26" ht="16" x14ac:dyDescent="0.2">
      <c r="A82" t="s">
        <v>801</v>
      </c>
      <c r="B82" s="5" t="s">
        <v>670</v>
      </c>
      <c r="C82" s="5" t="s">
        <v>209</v>
      </c>
      <c r="D82" s="5" t="s">
        <v>210</v>
      </c>
      <c r="E82" s="115" t="s">
        <v>133</v>
      </c>
      <c r="F82" s="80" t="s">
        <v>553</v>
      </c>
      <c r="G82" t="s">
        <v>773</v>
      </c>
      <c r="H82" s="115">
        <v>9</v>
      </c>
      <c r="I82" s="154">
        <v>45402</v>
      </c>
      <c r="J82" s="18">
        <v>1</v>
      </c>
      <c r="K82" s="18" t="s">
        <v>697</v>
      </c>
      <c r="L82" s="18">
        <v>15</v>
      </c>
      <c r="M82" s="18"/>
      <c r="N82" s="18" t="s">
        <v>209</v>
      </c>
      <c r="O82" s="18" t="s">
        <v>210</v>
      </c>
      <c r="P82" s="18" t="s">
        <v>133</v>
      </c>
      <c r="Q82" t="s">
        <v>739</v>
      </c>
      <c r="R82" t="s">
        <v>673</v>
      </c>
      <c r="S82" s="97">
        <f t="shared" si="6"/>
        <v>9</v>
      </c>
      <c r="T82" s="95" t="str">
        <f t="shared" si="7"/>
        <v>Nimi hosts [Hidden Gem] Gallery Stroll in South Kensington</v>
      </c>
      <c r="U82" s="96" t="e">
        <f t="shared" si="5"/>
        <v>#N/A</v>
      </c>
      <c r="V82" s="95" t="e">
        <f t="shared" si="8"/>
        <v>#N/A</v>
      </c>
      <c r="W82" s="95" t="str">
        <f t="shared" si="9"/>
        <v>WhatsApp</v>
      </c>
      <c r="Y82" s="95"/>
      <c r="Z82">
        <f>VLOOKUP(S82,Sessions!A:K,11,FALSE)</f>
        <v>4</v>
      </c>
    </row>
    <row r="83" spans="1:26" ht="16" x14ac:dyDescent="0.2">
      <c r="A83" t="s">
        <v>802</v>
      </c>
      <c r="B83" s="5" t="s">
        <v>670</v>
      </c>
      <c r="C83" s="5" t="s">
        <v>243</v>
      </c>
      <c r="D83" s="5" t="s">
        <v>244</v>
      </c>
      <c r="E83" s="115" t="s">
        <v>177</v>
      </c>
      <c r="F83" s="80" t="s">
        <v>534</v>
      </c>
      <c r="G83" t="s">
        <v>773</v>
      </c>
      <c r="H83" s="115">
        <v>9</v>
      </c>
      <c r="I83" s="154">
        <v>45402</v>
      </c>
      <c r="J83" s="18">
        <v>1</v>
      </c>
      <c r="K83" s="18" t="s">
        <v>697</v>
      </c>
      <c r="L83" s="18">
        <v>10</v>
      </c>
      <c r="M83" s="18" t="s">
        <v>721</v>
      </c>
      <c r="N83" s="18" t="s">
        <v>243</v>
      </c>
      <c r="O83" s="18" t="s">
        <v>244</v>
      </c>
      <c r="P83" s="18" t="s">
        <v>177</v>
      </c>
      <c r="Q83" t="s">
        <v>739</v>
      </c>
      <c r="R83" t="s">
        <v>673</v>
      </c>
      <c r="S83" s="97">
        <f t="shared" si="6"/>
        <v>9</v>
      </c>
      <c r="T83" s="95" t="str">
        <f t="shared" si="7"/>
        <v>Nimi hosts [Hidden Gem] Gallery Stroll in South Kensington</v>
      </c>
      <c r="U83" s="96" t="e">
        <f t="shared" si="5"/>
        <v>#N/A</v>
      </c>
      <c r="V83" s="95" t="e">
        <f t="shared" si="8"/>
        <v>#N/A</v>
      </c>
      <c r="W83" s="95" t="str">
        <f t="shared" si="9"/>
        <v>WhatsApp</v>
      </c>
      <c r="Y83" s="95"/>
      <c r="Z83">
        <f>VLOOKUP(S83,Sessions!A:K,11,FALSE)</f>
        <v>4</v>
      </c>
    </row>
    <row r="84" spans="1:26" ht="16" x14ac:dyDescent="0.2">
      <c r="A84" t="s">
        <v>803</v>
      </c>
      <c r="B84" s="5" t="s">
        <v>670</v>
      </c>
      <c r="C84" s="5" t="s">
        <v>200</v>
      </c>
      <c r="D84" s="5" t="s">
        <v>201</v>
      </c>
      <c r="E84" s="115" t="s">
        <v>119</v>
      </c>
      <c r="F84" s="80" t="s">
        <v>477</v>
      </c>
      <c r="G84" t="s">
        <v>773</v>
      </c>
      <c r="H84" s="115">
        <v>9</v>
      </c>
      <c r="I84" s="154">
        <v>45402</v>
      </c>
      <c r="J84" s="18">
        <v>1</v>
      </c>
      <c r="K84" s="18" t="s">
        <v>697</v>
      </c>
      <c r="L84" s="18">
        <v>0</v>
      </c>
      <c r="M84" s="18"/>
      <c r="N84" s="18" t="s">
        <v>200</v>
      </c>
      <c r="O84" s="18" t="s">
        <v>201</v>
      </c>
      <c r="P84" s="18" t="s">
        <v>119</v>
      </c>
      <c r="Q84"/>
      <c r="R84" t="s">
        <v>673</v>
      </c>
      <c r="S84" s="97">
        <f t="shared" si="6"/>
        <v>9</v>
      </c>
      <c r="T84" s="95" t="str">
        <f t="shared" si="7"/>
        <v>Nimi hosts [Hidden Gem] Gallery Stroll in South Kensington</v>
      </c>
      <c r="U84" s="96" t="e">
        <f t="shared" si="5"/>
        <v>#N/A</v>
      </c>
      <c r="V84" s="95" t="e">
        <f t="shared" si="8"/>
        <v>#N/A</v>
      </c>
      <c r="W84" s="95">
        <f t="shared" si="9"/>
        <v>0</v>
      </c>
      <c r="Y84" s="95"/>
      <c r="Z84">
        <f>VLOOKUP(S84,Sessions!A:K,11,FALSE)</f>
        <v>4</v>
      </c>
    </row>
    <row r="85" spans="1:26" ht="16" x14ac:dyDescent="0.2">
      <c r="A85" t="s">
        <v>804</v>
      </c>
      <c r="B85" s="5" t="s">
        <v>670</v>
      </c>
      <c r="C85" s="5" t="s">
        <v>255</v>
      </c>
      <c r="D85" s="5" t="s">
        <v>256</v>
      </c>
      <c r="E85" s="115" t="s">
        <v>166</v>
      </c>
      <c r="F85" s="80" t="s">
        <v>637</v>
      </c>
      <c r="G85" t="s">
        <v>773</v>
      </c>
      <c r="H85" s="115">
        <v>9</v>
      </c>
      <c r="I85" s="154">
        <v>45402</v>
      </c>
      <c r="J85" s="18">
        <v>1</v>
      </c>
      <c r="K85" s="18" t="s">
        <v>697</v>
      </c>
      <c r="L85" s="18">
        <v>0</v>
      </c>
      <c r="M85" s="18"/>
      <c r="N85" s="18" t="s">
        <v>255</v>
      </c>
      <c r="O85" s="18" t="s">
        <v>256</v>
      </c>
      <c r="P85" s="18" t="s">
        <v>166</v>
      </c>
      <c r="Q85"/>
      <c r="R85" t="s">
        <v>673</v>
      </c>
      <c r="S85" s="97">
        <f t="shared" si="6"/>
        <v>9</v>
      </c>
      <c r="T85" s="95" t="str">
        <f t="shared" si="7"/>
        <v>Nimi hosts [Hidden Gem] Gallery Stroll in South Kensington</v>
      </c>
      <c r="U85" s="96" t="e">
        <f t="shared" si="5"/>
        <v>#N/A</v>
      </c>
      <c r="V85" s="95" t="e">
        <f t="shared" si="8"/>
        <v>#N/A</v>
      </c>
      <c r="W85" s="95">
        <f t="shared" si="9"/>
        <v>0</v>
      </c>
      <c r="Y85" s="95"/>
      <c r="Z85">
        <f>VLOOKUP(S85,Sessions!A:K,11,FALSE)</f>
        <v>4</v>
      </c>
    </row>
    <row r="86" spans="1:26" ht="16" x14ac:dyDescent="0.2">
      <c r="A86" t="s">
        <v>805</v>
      </c>
      <c r="B86" s="5" t="s">
        <v>670</v>
      </c>
      <c r="C86" s="5" t="s">
        <v>229</v>
      </c>
      <c r="D86" s="5" t="s">
        <v>229</v>
      </c>
      <c r="E86" s="115" t="s">
        <v>138</v>
      </c>
      <c r="F86" s="80" t="s">
        <v>473</v>
      </c>
      <c r="G86" t="s">
        <v>773</v>
      </c>
      <c r="H86" s="115">
        <v>9</v>
      </c>
      <c r="I86" s="154">
        <v>45402</v>
      </c>
      <c r="J86" s="18">
        <v>1</v>
      </c>
      <c r="K86" s="18" t="s">
        <v>697</v>
      </c>
      <c r="L86" s="18">
        <v>0</v>
      </c>
      <c r="M86" s="18"/>
      <c r="N86" s="18" t="s">
        <v>229</v>
      </c>
      <c r="O86" s="18" t="s">
        <v>229</v>
      </c>
      <c r="P86" s="18" t="s">
        <v>138</v>
      </c>
      <c r="Q86"/>
      <c r="R86" t="s">
        <v>673</v>
      </c>
      <c r="S86" s="97">
        <f t="shared" si="6"/>
        <v>9</v>
      </c>
      <c r="T86" s="95" t="str">
        <f t="shared" si="7"/>
        <v>Nimi hosts [Hidden Gem] Gallery Stroll in South Kensington</v>
      </c>
      <c r="U86" s="96" t="e">
        <f t="shared" si="5"/>
        <v>#N/A</v>
      </c>
      <c r="V86" s="95" t="e">
        <f t="shared" si="8"/>
        <v>#N/A</v>
      </c>
      <c r="W86" s="95">
        <f t="shared" si="9"/>
        <v>0</v>
      </c>
      <c r="Y86" s="95"/>
      <c r="Z86">
        <f>VLOOKUP(S86,Sessions!A:K,11,FALSE)</f>
        <v>4</v>
      </c>
    </row>
    <row r="87" spans="1:26" ht="16" x14ac:dyDescent="0.2">
      <c r="A87" t="s">
        <v>806</v>
      </c>
      <c r="B87" s="5" t="s">
        <v>670</v>
      </c>
      <c r="C87" s="5" t="s">
        <v>218</v>
      </c>
      <c r="D87" s="5" t="s">
        <v>219</v>
      </c>
      <c r="E87" s="115" t="s">
        <v>145</v>
      </c>
      <c r="F87" s="80" t="s">
        <v>507</v>
      </c>
      <c r="G87" t="s">
        <v>773</v>
      </c>
      <c r="H87" s="115">
        <v>9</v>
      </c>
      <c r="I87" s="154">
        <v>45402</v>
      </c>
      <c r="J87" s="18">
        <v>1</v>
      </c>
      <c r="K87" s="18" t="s">
        <v>697</v>
      </c>
      <c r="L87" s="18">
        <v>0</v>
      </c>
      <c r="M87" s="18"/>
      <c r="N87" s="18" t="s">
        <v>218</v>
      </c>
      <c r="O87" s="18" t="s">
        <v>219</v>
      </c>
      <c r="P87" s="18" t="s">
        <v>145</v>
      </c>
      <c r="Q87"/>
      <c r="R87" t="s">
        <v>673</v>
      </c>
      <c r="S87" s="97">
        <f t="shared" si="6"/>
        <v>9</v>
      </c>
      <c r="T87" s="95" t="str">
        <f t="shared" si="7"/>
        <v>Nimi hosts [Hidden Gem] Gallery Stroll in South Kensington</v>
      </c>
      <c r="U87" s="96" t="e">
        <f t="shared" si="5"/>
        <v>#N/A</v>
      </c>
      <c r="V87" s="95" t="e">
        <f t="shared" si="8"/>
        <v>#N/A</v>
      </c>
      <c r="W87" s="95">
        <f t="shared" si="9"/>
        <v>0</v>
      </c>
      <c r="Y87" s="95"/>
      <c r="Z87">
        <f>VLOOKUP(S87,Sessions!A:K,11,FALSE)</f>
        <v>4</v>
      </c>
    </row>
    <row r="88" spans="1:26" ht="16" x14ac:dyDescent="0.2">
      <c r="A88" t="s">
        <v>807</v>
      </c>
      <c r="B88" s="5" t="s">
        <v>670</v>
      </c>
      <c r="C88" s="5" t="s">
        <v>190</v>
      </c>
      <c r="D88" s="5" t="s">
        <v>191</v>
      </c>
      <c r="E88" s="115" t="s">
        <v>132</v>
      </c>
      <c r="F88" s="80" t="s">
        <v>601</v>
      </c>
      <c r="G88" t="s">
        <v>773</v>
      </c>
      <c r="H88" s="115">
        <v>9</v>
      </c>
      <c r="I88" s="154">
        <v>45402</v>
      </c>
      <c r="J88" s="18">
        <v>1</v>
      </c>
      <c r="K88" s="18" t="s">
        <v>697</v>
      </c>
      <c r="L88" s="18">
        <v>0</v>
      </c>
      <c r="M88" s="18"/>
      <c r="N88" s="18" t="s">
        <v>190</v>
      </c>
      <c r="O88" s="18" t="s">
        <v>191</v>
      </c>
      <c r="P88" s="18" t="s">
        <v>132</v>
      </c>
      <c r="Q88"/>
      <c r="R88" t="s">
        <v>673</v>
      </c>
      <c r="S88" s="97">
        <f t="shared" si="6"/>
        <v>9</v>
      </c>
      <c r="T88" s="95" t="str">
        <f t="shared" si="7"/>
        <v>Nimi hosts [Hidden Gem] Gallery Stroll in South Kensington</v>
      </c>
      <c r="U88" s="96" t="e">
        <f t="shared" si="5"/>
        <v>#N/A</v>
      </c>
      <c r="V88" s="95" t="e">
        <f t="shared" si="8"/>
        <v>#N/A</v>
      </c>
      <c r="W88" s="95">
        <f t="shared" si="9"/>
        <v>0</v>
      </c>
      <c r="Y88" s="95"/>
      <c r="Z88">
        <f>VLOOKUP(S88,Sessions!A:K,11,FALSE)</f>
        <v>4</v>
      </c>
    </row>
    <row r="89" spans="1:26" ht="16" x14ac:dyDescent="0.2">
      <c r="A89" t="s">
        <v>808</v>
      </c>
      <c r="B89" s="5" t="s">
        <v>670</v>
      </c>
      <c r="C89" s="5" t="s">
        <v>245</v>
      </c>
      <c r="D89" s="5" t="s">
        <v>246</v>
      </c>
      <c r="E89" s="115" t="s">
        <v>176</v>
      </c>
      <c r="F89" s="80" t="s">
        <v>535</v>
      </c>
      <c r="G89" t="s">
        <v>773</v>
      </c>
      <c r="H89" s="115">
        <v>9</v>
      </c>
      <c r="I89" s="154">
        <v>45402</v>
      </c>
      <c r="J89" s="18">
        <v>1</v>
      </c>
      <c r="K89" s="18" t="s">
        <v>697</v>
      </c>
      <c r="L89" s="18">
        <v>15</v>
      </c>
      <c r="M89" s="18"/>
      <c r="N89" s="18" t="s">
        <v>245</v>
      </c>
      <c r="O89" s="18" t="s">
        <v>246</v>
      </c>
      <c r="P89" s="18" t="s">
        <v>176</v>
      </c>
      <c r="Q89" t="s">
        <v>809</v>
      </c>
      <c r="R89" t="s">
        <v>673</v>
      </c>
      <c r="S89" s="97">
        <f t="shared" si="6"/>
        <v>9</v>
      </c>
      <c r="T89" s="95" t="str">
        <f t="shared" si="7"/>
        <v>Nimi hosts [Hidden Gem] Gallery Stroll in South Kensington</v>
      </c>
      <c r="U89" s="96" t="e">
        <f t="shared" si="5"/>
        <v>#N/A</v>
      </c>
      <c r="V89" s="95" t="e">
        <f t="shared" si="8"/>
        <v>#N/A</v>
      </c>
      <c r="W89" s="95" t="str">
        <f t="shared" si="9"/>
        <v>ebeseaorganizationprofile</v>
      </c>
      <c r="Y89" s="95"/>
      <c r="Z89">
        <f>VLOOKUP(S89,Sessions!A:K,11,FALSE)</f>
        <v>4</v>
      </c>
    </row>
    <row r="90" spans="1:26" ht="16" x14ac:dyDescent="0.2">
      <c r="A90" t="s">
        <v>810</v>
      </c>
      <c r="B90" t="s">
        <v>670</v>
      </c>
      <c r="C90" t="s">
        <v>216</v>
      </c>
      <c r="D90" t="s">
        <v>217</v>
      </c>
      <c r="E90" s="125" t="s">
        <v>127</v>
      </c>
      <c r="F90" s="80" t="s">
        <v>472</v>
      </c>
      <c r="G90" t="s">
        <v>811</v>
      </c>
      <c r="H90" s="114">
        <v>10</v>
      </c>
      <c r="I90" s="154">
        <v>45414</v>
      </c>
      <c r="J90" s="18">
        <v>1</v>
      </c>
      <c r="K90" s="18" t="s">
        <v>691</v>
      </c>
      <c r="L90" s="18">
        <v>7.5</v>
      </c>
      <c r="M90" s="18" t="s">
        <v>715</v>
      </c>
      <c r="N90" s="18" t="s">
        <v>216</v>
      </c>
      <c r="O90" s="18" t="s">
        <v>217</v>
      </c>
      <c r="P90" s="18" t="s">
        <v>127</v>
      </c>
      <c r="Q90" t="s">
        <v>739</v>
      </c>
      <c r="R90" t="s">
        <v>673</v>
      </c>
      <c r="S90" s="97">
        <f t="shared" si="6"/>
        <v>10</v>
      </c>
      <c r="T90" s="95" t="str">
        <f t="shared" si="7"/>
        <v>[Hidden Gem] First Thursdays Gallery Stroll in East London</v>
      </c>
      <c r="U90" s="96" t="e">
        <f t="shared" si="5"/>
        <v>#N/A</v>
      </c>
      <c r="V90" s="95">
        <v>5</v>
      </c>
      <c r="W90" s="95" t="str">
        <f t="shared" si="9"/>
        <v>WhatsApp</v>
      </c>
      <c r="Y90" s="95"/>
      <c r="Z90">
        <f>VLOOKUP(S90,Sessions!A:K,11,FALSE)</f>
        <v>4</v>
      </c>
    </row>
    <row r="91" spans="1:26" ht="16" x14ac:dyDescent="0.2">
      <c r="A91" t="s">
        <v>812</v>
      </c>
      <c r="B91" t="s">
        <v>670</v>
      </c>
      <c r="C91" t="s">
        <v>301</v>
      </c>
      <c r="D91" t="s">
        <v>302</v>
      </c>
      <c r="E91" s="125" t="s">
        <v>137</v>
      </c>
      <c r="F91" s="80"/>
      <c r="G91" t="s">
        <v>811</v>
      </c>
      <c r="H91" s="114">
        <v>10</v>
      </c>
      <c r="I91" s="154">
        <v>45414</v>
      </c>
      <c r="J91" s="18">
        <v>1</v>
      </c>
      <c r="K91" s="18" t="s">
        <v>691</v>
      </c>
      <c r="L91" s="18">
        <v>7.5</v>
      </c>
      <c r="M91" s="18" t="s">
        <v>715</v>
      </c>
      <c r="N91" s="18" t="s">
        <v>301</v>
      </c>
      <c r="O91" s="18" t="s">
        <v>302</v>
      </c>
      <c r="P91" s="18" t="s">
        <v>137</v>
      </c>
      <c r="Q91" t="s">
        <v>739</v>
      </c>
      <c r="R91" t="s">
        <v>673</v>
      </c>
      <c r="S91" s="97">
        <f t="shared" si="6"/>
        <v>10</v>
      </c>
      <c r="T91" s="95" t="str">
        <f t="shared" si="7"/>
        <v>[Hidden Gem] First Thursdays Gallery Stroll in East London</v>
      </c>
      <c r="U91" s="96" t="e">
        <f t="shared" si="5"/>
        <v>#N/A</v>
      </c>
      <c r="V91" s="95" t="e">
        <f t="shared" si="8"/>
        <v>#N/A</v>
      </c>
      <c r="W91" s="95" t="str">
        <f t="shared" si="9"/>
        <v>WhatsApp</v>
      </c>
      <c r="Y91" s="95"/>
      <c r="Z91">
        <f>VLOOKUP(S91,Sessions!A:K,11,FALSE)</f>
        <v>4</v>
      </c>
    </row>
    <row r="92" spans="1:26" ht="16" x14ac:dyDescent="0.2">
      <c r="A92" t="s">
        <v>813</v>
      </c>
      <c r="B92" t="s">
        <v>670</v>
      </c>
      <c r="C92" t="s">
        <v>487</v>
      </c>
      <c r="D92" t="s">
        <v>488</v>
      </c>
      <c r="E92" s="125" t="s">
        <v>486</v>
      </c>
      <c r="F92" s="80" t="s">
        <v>489</v>
      </c>
      <c r="G92" t="s">
        <v>811</v>
      </c>
      <c r="H92" s="114">
        <v>10</v>
      </c>
      <c r="I92" s="154">
        <v>45414</v>
      </c>
      <c r="J92" s="18">
        <v>1</v>
      </c>
      <c r="K92" s="18" t="s">
        <v>691</v>
      </c>
      <c r="L92" s="18">
        <v>15</v>
      </c>
      <c r="M92" s="18"/>
      <c r="N92" s="18" t="s">
        <v>487</v>
      </c>
      <c r="O92" s="18" t="s">
        <v>488</v>
      </c>
      <c r="P92" s="18" t="s">
        <v>486</v>
      </c>
      <c r="Q92" t="s">
        <v>739</v>
      </c>
      <c r="R92" t="s">
        <v>673</v>
      </c>
      <c r="S92" s="97">
        <f t="shared" si="6"/>
        <v>10</v>
      </c>
      <c r="T92" s="95" t="str">
        <f t="shared" si="7"/>
        <v>[Hidden Gem] First Thursdays Gallery Stroll in East London</v>
      </c>
      <c r="U92" s="96" t="e">
        <f t="shared" si="5"/>
        <v>#N/A</v>
      </c>
      <c r="V92" s="95" t="e">
        <f t="shared" si="8"/>
        <v>#N/A</v>
      </c>
      <c r="W92" s="95" t="str">
        <f t="shared" si="9"/>
        <v>WhatsApp</v>
      </c>
      <c r="Y92" s="95"/>
      <c r="Z92">
        <f>VLOOKUP(S92,Sessions!A:K,11,FALSE)</f>
        <v>4</v>
      </c>
    </row>
    <row r="93" spans="1:26" ht="16" x14ac:dyDescent="0.2">
      <c r="A93" t="s">
        <v>814</v>
      </c>
      <c r="B93" t="s">
        <v>670</v>
      </c>
      <c r="C93" t="s">
        <v>213</v>
      </c>
      <c r="D93" t="s">
        <v>214</v>
      </c>
      <c r="E93" s="125" t="s">
        <v>121</v>
      </c>
      <c r="F93" s="80" t="s">
        <v>595</v>
      </c>
      <c r="G93" t="s">
        <v>815</v>
      </c>
      <c r="H93" s="114">
        <v>11</v>
      </c>
      <c r="I93" s="154">
        <v>45416</v>
      </c>
      <c r="J93" s="18">
        <v>1</v>
      </c>
      <c r="K93" s="18" t="s">
        <v>788</v>
      </c>
      <c r="L93" s="18">
        <v>25</v>
      </c>
      <c r="M93" s="18"/>
      <c r="N93" s="18" t="s">
        <v>213</v>
      </c>
      <c r="O93" s="18" t="s">
        <v>214</v>
      </c>
      <c r="P93" s="18" t="s">
        <v>121</v>
      </c>
      <c r="Q93" t="s">
        <v>816</v>
      </c>
      <c r="R93" t="s">
        <v>673</v>
      </c>
      <c r="S93" s="97">
        <f t="shared" si="6"/>
        <v>11</v>
      </c>
      <c r="T93" s="95" t="str">
        <f t="shared" si="7"/>
        <v>[Blockbuster] When Forms Come Alive @ Hayward Gallery</v>
      </c>
      <c r="U93" s="96" t="e">
        <f t="shared" ref="U93:U110" si="10">DATE(20&amp;_xlfn.TEXTBEFORE(_xlfn.TEXTAFTER(I93,"/",2)," "), _xlfn.TEXTBEFORE(I93,"/",1), _xlfn.TEXTBEFORE(_xlfn.TEXTAFTER(I93,"/"),"/"))</f>
        <v>#N/A</v>
      </c>
      <c r="V93" s="95" t="e">
        <f t="shared" si="8"/>
        <v>#N/A</v>
      </c>
      <c r="W93" s="95" t="str">
        <f t="shared" si="9"/>
        <v>Whatsapp</v>
      </c>
      <c r="Y93" s="95"/>
      <c r="Z93">
        <f>VLOOKUP(S93,Sessions!A:K,11,FALSE)</f>
        <v>1</v>
      </c>
    </row>
    <row r="94" spans="1:26" ht="16" x14ac:dyDescent="0.2">
      <c r="A94" t="s">
        <v>817</v>
      </c>
      <c r="B94" t="s">
        <v>670</v>
      </c>
      <c r="C94" t="s">
        <v>305</v>
      </c>
      <c r="D94" t="s">
        <v>306</v>
      </c>
      <c r="E94" s="125" t="s">
        <v>135</v>
      </c>
      <c r="F94" s="80" t="s">
        <v>610</v>
      </c>
      <c r="G94" t="s">
        <v>815</v>
      </c>
      <c r="H94" s="114">
        <v>11</v>
      </c>
      <c r="I94" s="154">
        <v>45416</v>
      </c>
      <c r="J94" s="18">
        <v>1</v>
      </c>
      <c r="K94" s="18" t="s">
        <v>788</v>
      </c>
      <c r="L94" s="18">
        <v>25</v>
      </c>
      <c r="M94" s="18"/>
      <c r="N94" s="18" t="s">
        <v>305</v>
      </c>
      <c r="O94" s="18" t="s">
        <v>306</v>
      </c>
      <c r="P94" s="18" t="s">
        <v>135</v>
      </c>
      <c r="Q94" t="s">
        <v>816</v>
      </c>
      <c r="R94" t="s">
        <v>673</v>
      </c>
      <c r="S94" s="97">
        <f t="shared" si="6"/>
        <v>11</v>
      </c>
      <c r="T94" s="95" t="str">
        <f t="shared" si="7"/>
        <v>[Blockbuster] When Forms Come Alive @ Hayward Gallery</v>
      </c>
      <c r="U94" s="96" t="e">
        <f t="shared" si="10"/>
        <v>#N/A</v>
      </c>
      <c r="V94" s="95" t="e">
        <f t="shared" si="8"/>
        <v>#N/A</v>
      </c>
      <c r="W94" s="95" t="str">
        <f t="shared" si="9"/>
        <v>Whatsapp</v>
      </c>
      <c r="Y94" s="95"/>
      <c r="Z94">
        <f>VLOOKUP(S94,Sessions!A:K,11,FALSE)</f>
        <v>1</v>
      </c>
    </row>
    <row r="95" spans="1:26" ht="16" x14ac:dyDescent="0.2">
      <c r="A95" t="s">
        <v>818</v>
      </c>
      <c r="B95" t="s">
        <v>670</v>
      </c>
      <c r="C95" t="s">
        <v>303</v>
      </c>
      <c r="D95" t="s">
        <v>304</v>
      </c>
      <c r="E95" s="114" t="s">
        <v>125</v>
      </c>
      <c r="F95" s="80" t="s">
        <v>587</v>
      </c>
      <c r="G95" t="s">
        <v>815</v>
      </c>
      <c r="H95" s="114">
        <v>11</v>
      </c>
      <c r="I95" s="154">
        <v>45416</v>
      </c>
      <c r="J95" s="18">
        <v>1</v>
      </c>
      <c r="K95" s="18" t="s">
        <v>788</v>
      </c>
      <c r="L95" s="18">
        <v>25</v>
      </c>
      <c r="M95" s="18"/>
      <c r="N95" s="18" t="s">
        <v>303</v>
      </c>
      <c r="O95" s="18" t="s">
        <v>304</v>
      </c>
      <c r="P95" s="18" t="s">
        <v>125</v>
      </c>
      <c r="Q95" t="s">
        <v>819</v>
      </c>
      <c r="R95" t="s">
        <v>673</v>
      </c>
      <c r="S95" s="97">
        <f t="shared" si="6"/>
        <v>11</v>
      </c>
      <c r="T95" s="95" t="str">
        <f t="shared" si="7"/>
        <v>[Blockbuster] When Forms Come Alive @ Hayward Gallery</v>
      </c>
      <c r="U95" s="96" t="e">
        <f t="shared" si="10"/>
        <v>#N/A</v>
      </c>
      <c r="V95" s="95" t="e">
        <f t="shared" si="8"/>
        <v>#N/A</v>
      </c>
      <c r="W95" s="95" t="str">
        <f t="shared" si="9"/>
        <v>echckt</v>
      </c>
      <c r="Y95" s="95"/>
      <c r="Z95">
        <f>VLOOKUP(S95,Sessions!A:K,11,FALSE)</f>
        <v>1</v>
      </c>
    </row>
    <row r="96" spans="1:26" ht="16" x14ac:dyDescent="0.2">
      <c r="A96" t="s">
        <v>820</v>
      </c>
      <c r="B96" t="s">
        <v>670</v>
      </c>
      <c r="C96" t="s">
        <v>512</v>
      </c>
      <c r="D96" t="s">
        <v>513</v>
      </c>
      <c r="E96" s="125" t="s">
        <v>511</v>
      </c>
      <c r="F96" s="80" t="s">
        <v>821</v>
      </c>
      <c r="G96" t="s">
        <v>815</v>
      </c>
      <c r="H96" s="114">
        <v>11</v>
      </c>
      <c r="I96" s="154">
        <v>45416</v>
      </c>
      <c r="J96" s="18">
        <v>1</v>
      </c>
      <c r="K96" s="18" t="s">
        <v>788</v>
      </c>
      <c r="L96" s="18">
        <v>25</v>
      </c>
      <c r="M96" s="18"/>
      <c r="N96" s="18" t="s">
        <v>512</v>
      </c>
      <c r="O96" s="18" t="s">
        <v>513</v>
      </c>
      <c r="P96" s="18" t="s">
        <v>511</v>
      </c>
      <c r="Q96" t="s">
        <v>816</v>
      </c>
      <c r="R96" t="s">
        <v>673</v>
      </c>
      <c r="S96" s="97">
        <f t="shared" si="6"/>
        <v>11</v>
      </c>
      <c r="T96" s="95" t="str">
        <f t="shared" si="7"/>
        <v>[Blockbuster] When Forms Come Alive @ Hayward Gallery</v>
      </c>
      <c r="U96" s="96" t="e">
        <f t="shared" si="10"/>
        <v>#N/A</v>
      </c>
      <c r="V96" s="95" t="e">
        <f t="shared" si="8"/>
        <v>#N/A</v>
      </c>
      <c r="W96" s="95" t="str">
        <f t="shared" si="9"/>
        <v>Whatsapp</v>
      </c>
      <c r="Y96" s="95"/>
      <c r="Z96">
        <f>VLOOKUP(S96,Sessions!A:K,11,FALSE)</f>
        <v>1</v>
      </c>
    </row>
    <row r="97" spans="1:26" ht="16" x14ac:dyDescent="0.2">
      <c r="A97" t="s">
        <v>822</v>
      </c>
      <c r="B97" t="s">
        <v>670</v>
      </c>
      <c r="C97" t="s">
        <v>287</v>
      </c>
      <c r="D97" t="s">
        <v>823</v>
      </c>
      <c r="E97" s="125" t="s">
        <v>611</v>
      </c>
      <c r="F97" s="80" t="s">
        <v>824</v>
      </c>
      <c r="G97" t="s">
        <v>815</v>
      </c>
      <c r="H97" s="114">
        <v>11</v>
      </c>
      <c r="I97" s="154">
        <v>45416</v>
      </c>
      <c r="J97" s="18">
        <v>1</v>
      </c>
      <c r="K97" s="18" t="s">
        <v>788</v>
      </c>
      <c r="L97" s="18">
        <v>25</v>
      </c>
      <c r="M97" s="18"/>
      <c r="N97" s="18" t="s">
        <v>287</v>
      </c>
      <c r="O97" s="18" t="s">
        <v>612</v>
      </c>
      <c r="P97" s="18" t="s">
        <v>611</v>
      </c>
      <c r="Q97" t="s">
        <v>816</v>
      </c>
      <c r="R97" t="s">
        <v>673</v>
      </c>
      <c r="S97" s="97">
        <f t="shared" si="6"/>
        <v>11</v>
      </c>
      <c r="T97" s="95" t="str">
        <f t="shared" si="7"/>
        <v>[Blockbuster] When Forms Come Alive @ Hayward Gallery</v>
      </c>
      <c r="U97" s="96" t="e">
        <f t="shared" si="10"/>
        <v>#N/A</v>
      </c>
      <c r="V97" s="95" t="e">
        <f t="shared" si="8"/>
        <v>#N/A</v>
      </c>
      <c r="W97" s="95" t="str">
        <f t="shared" si="9"/>
        <v>Whatsapp</v>
      </c>
      <c r="Y97" s="95"/>
      <c r="Z97">
        <f>VLOOKUP(S97,Sessions!A:K,11,FALSE)</f>
        <v>1</v>
      </c>
    </row>
    <row r="98" spans="1:26" ht="16" x14ac:dyDescent="0.2">
      <c r="A98" t="s">
        <v>825</v>
      </c>
      <c r="B98" t="s">
        <v>670</v>
      </c>
      <c r="C98" t="s">
        <v>723</v>
      </c>
      <c r="D98" t="s">
        <v>724</v>
      </c>
      <c r="E98" s="125" t="s">
        <v>145</v>
      </c>
      <c r="F98" s="80" t="s">
        <v>826</v>
      </c>
      <c r="G98" t="s">
        <v>815</v>
      </c>
      <c r="H98" s="114">
        <v>11</v>
      </c>
      <c r="I98" s="154">
        <v>45416</v>
      </c>
      <c r="J98" s="18">
        <v>1</v>
      </c>
      <c r="K98" s="18" t="s">
        <v>788</v>
      </c>
      <c r="L98" s="18">
        <v>25</v>
      </c>
      <c r="M98" s="18"/>
      <c r="N98" s="18" t="s">
        <v>723</v>
      </c>
      <c r="O98" s="18" t="s">
        <v>724</v>
      </c>
      <c r="P98" s="18" t="s">
        <v>145</v>
      </c>
      <c r="Q98" t="s">
        <v>816</v>
      </c>
      <c r="R98" t="s">
        <v>673</v>
      </c>
      <c r="S98" s="97">
        <f t="shared" ref="S98:S118" si="11">H98</f>
        <v>11</v>
      </c>
      <c r="T98" s="95" t="str">
        <f t="shared" si="7"/>
        <v>[Blockbuster] When Forms Come Alive @ Hayward Gallery</v>
      </c>
      <c r="U98" s="96" t="e">
        <f t="shared" si="10"/>
        <v>#N/A</v>
      </c>
      <c r="V98" s="95" t="e">
        <f t="shared" si="8"/>
        <v>#N/A</v>
      </c>
      <c r="W98" s="95" t="str">
        <f t="shared" si="9"/>
        <v>Whatsapp</v>
      </c>
      <c r="Y98" s="95"/>
      <c r="Z98">
        <f>VLOOKUP(S98,Sessions!A:K,11,FALSE)</f>
        <v>1</v>
      </c>
    </row>
    <row r="99" spans="1:26" ht="16" x14ac:dyDescent="0.2">
      <c r="A99" t="s">
        <v>827</v>
      </c>
      <c r="B99" t="s">
        <v>670</v>
      </c>
      <c r="C99" t="s">
        <v>622</v>
      </c>
      <c r="D99" t="s">
        <v>623</v>
      </c>
      <c r="E99" s="125" t="s">
        <v>621</v>
      </c>
      <c r="F99" s="80" t="s">
        <v>624</v>
      </c>
      <c r="G99" t="s">
        <v>828</v>
      </c>
      <c r="H99" s="115">
        <v>13</v>
      </c>
      <c r="I99" s="154">
        <v>45410</v>
      </c>
      <c r="J99" s="18">
        <v>1</v>
      </c>
      <c r="K99" s="18" t="s">
        <v>788</v>
      </c>
      <c r="L99" s="18">
        <v>20</v>
      </c>
      <c r="M99" s="18"/>
      <c r="N99" s="18" t="s">
        <v>622</v>
      </c>
      <c r="O99" s="18" t="s">
        <v>623</v>
      </c>
      <c r="P99" s="18" t="s">
        <v>621</v>
      </c>
      <c r="Q99" t="s">
        <v>829</v>
      </c>
      <c r="R99" t="s">
        <v>673</v>
      </c>
      <c r="S99" s="97">
        <f t="shared" si="11"/>
        <v>13</v>
      </c>
      <c r="T99" s="95" t="str">
        <f t="shared" si="7"/>
        <v>Nimi hosts [Hidden Gem] Dreams Have No Titles Exhibition and Tango</v>
      </c>
      <c r="U99" s="96" t="e">
        <f t="shared" si="10"/>
        <v>#N/A</v>
      </c>
      <c r="V99" s="95" t="e">
        <f t="shared" si="8"/>
        <v>#N/A</v>
      </c>
      <c r="W99" s="95" t="str">
        <f t="shared" si="9"/>
        <v>ebdssbdestsearch</v>
      </c>
      <c r="Y99" s="95"/>
      <c r="Z99">
        <f>VLOOKUP(S99,Sessions!A:K,11,FALSE)</f>
        <v>4</v>
      </c>
    </row>
    <row r="100" spans="1:26" ht="16" x14ac:dyDescent="0.2">
      <c r="A100" t="s">
        <v>830</v>
      </c>
      <c r="B100" t="s">
        <v>670</v>
      </c>
      <c r="C100" t="s">
        <v>203</v>
      </c>
      <c r="D100" t="s">
        <v>204</v>
      </c>
      <c r="E100" s="125" t="s">
        <v>120</v>
      </c>
      <c r="F100" s="80" t="s">
        <v>588</v>
      </c>
      <c r="G100" t="s">
        <v>828</v>
      </c>
      <c r="H100" s="115">
        <v>13</v>
      </c>
      <c r="I100" s="154">
        <v>45410</v>
      </c>
      <c r="J100" s="18">
        <v>1</v>
      </c>
      <c r="K100" s="18" t="s">
        <v>788</v>
      </c>
      <c r="L100" s="18">
        <v>20</v>
      </c>
      <c r="M100" s="18"/>
      <c r="N100" s="18" t="s">
        <v>203</v>
      </c>
      <c r="O100" s="18" t="s">
        <v>204</v>
      </c>
      <c r="P100" s="18" t="s">
        <v>120</v>
      </c>
      <c r="Q100" t="s">
        <v>734</v>
      </c>
      <c r="R100" t="s">
        <v>673</v>
      </c>
      <c r="S100" s="97">
        <f t="shared" si="11"/>
        <v>13</v>
      </c>
      <c r="T100" s="95" t="str">
        <f t="shared" si="7"/>
        <v>Nimi hosts [Hidden Gem] Dreams Have No Titles Exhibition and Tango</v>
      </c>
      <c r="U100" s="96" t="e">
        <f t="shared" si="10"/>
        <v>#N/A</v>
      </c>
      <c r="V100" s="95" t="e">
        <f t="shared" si="8"/>
        <v>#N/A</v>
      </c>
      <c r="W100" s="95" t="str">
        <f t="shared" si="9"/>
        <v>ebesesdeeplink</v>
      </c>
      <c r="Y100" s="95"/>
      <c r="Z100">
        <f>VLOOKUP(S100,Sessions!A:K,11,FALSE)</f>
        <v>4</v>
      </c>
    </row>
    <row r="101" spans="1:26" ht="16" x14ac:dyDescent="0.2">
      <c r="A101" t="s">
        <v>831</v>
      </c>
      <c r="B101" t="s">
        <v>689</v>
      </c>
      <c r="C101" t="s">
        <v>516</v>
      </c>
      <c r="D101" t="s">
        <v>517</v>
      </c>
      <c r="E101" s="125" t="s">
        <v>515</v>
      </c>
      <c r="F101" s="80" t="s">
        <v>832</v>
      </c>
      <c r="G101" t="s">
        <v>833</v>
      </c>
      <c r="H101" s="115">
        <v>12</v>
      </c>
      <c r="I101" s="154">
        <v>45408</v>
      </c>
      <c r="J101" s="18">
        <v>1</v>
      </c>
      <c r="K101" s="18" t="s">
        <v>697</v>
      </c>
      <c r="L101" s="18">
        <v>0</v>
      </c>
      <c r="M101" s="18"/>
      <c r="N101" s="18" t="s">
        <v>516</v>
      </c>
      <c r="O101" s="18" t="s">
        <v>517</v>
      </c>
      <c r="P101" s="18" t="s">
        <v>515</v>
      </c>
      <c r="Q101" t="s">
        <v>734</v>
      </c>
      <c r="R101" t="s">
        <v>673</v>
      </c>
      <c r="S101" s="97">
        <f t="shared" si="11"/>
        <v>12</v>
      </c>
      <c r="T101" s="95" t="str">
        <f t="shared" si="7"/>
        <v>Nimi hosts  [Artist Talk] Unexpected Views at the National Gallery Late</v>
      </c>
      <c r="U101" s="96" t="e">
        <f t="shared" si="10"/>
        <v>#N/A</v>
      </c>
      <c r="V101" s="95" t="e">
        <f t="shared" si="8"/>
        <v>#N/A</v>
      </c>
      <c r="W101" s="95" t="str">
        <f t="shared" si="9"/>
        <v>ebesesdeeplink</v>
      </c>
      <c r="Y101" s="95"/>
      <c r="Z101">
        <f>VLOOKUP(S101,Sessions!A:K,11,FALSE)</f>
        <v>1</v>
      </c>
    </row>
    <row r="102" spans="1:26" ht="16" x14ac:dyDescent="0.2">
      <c r="A102" t="s">
        <v>834</v>
      </c>
      <c r="B102" t="s">
        <v>670</v>
      </c>
      <c r="C102" t="s">
        <v>213</v>
      </c>
      <c r="D102" t="s">
        <v>214</v>
      </c>
      <c r="E102" s="125" t="s">
        <v>121</v>
      </c>
      <c r="F102" s="80" t="s">
        <v>595</v>
      </c>
      <c r="G102" t="s">
        <v>828</v>
      </c>
      <c r="H102" s="115">
        <v>13</v>
      </c>
      <c r="I102" s="154">
        <v>45410</v>
      </c>
      <c r="J102" s="18">
        <v>1</v>
      </c>
      <c r="K102" s="18" t="s">
        <v>788</v>
      </c>
      <c r="L102" s="18">
        <v>20</v>
      </c>
      <c r="M102" s="18"/>
      <c r="N102" s="18" t="s">
        <v>213</v>
      </c>
      <c r="O102" s="18" t="s">
        <v>214</v>
      </c>
      <c r="P102" s="18" t="s">
        <v>121</v>
      </c>
      <c r="Q102" t="s">
        <v>737</v>
      </c>
      <c r="R102" t="s">
        <v>673</v>
      </c>
      <c r="S102" s="97">
        <f t="shared" si="11"/>
        <v>13</v>
      </c>
      <c r="T102" s="95" t="str">
        <f t="shared" si="7"/>
        <v>Nimi hosts [Hidden Gem] Dreams Have No Titles Exhibition and Tango</v>
      </c>
      <c r="U102" s="96" t="e">
        <f t="shared" si="10"/>
        <v>#N/A</v>
      </c>
      <c r="V102" s="95" t="e">
        <f t="shared" si="8"/>
        <v>#N/A</v>
      </c>
      <c r="W102" s="95" t="str">
        <f t="shared" si="9"/>
        <v>ebdsshios</v>
      </c>
      <c r="Y102" s="95"/>
      <c r="Z102">
        <f>VLOOKUP(S102,Sessions!A:K,11,FALSE)</f>
        <v>4</v>
      </c>
    </row>
    <row r="103" spans="1:26" ht="16" x14ac:dyDescent="0.2">
      <c r="A103" t="s">
        <v>835</v>
      </c>
      <c r="B103" t="s">
        <v>670</v>
      </c>
      <c r="C103" t="s">
        <v>277</v>
      </c>
      <c r="D103" t="s">
        <v>278</v>
      </c>
      <c r="E103" s="125" t="s">
        <v>175</v>
      </c>
      <c r="F103" s="80" t="s">
        <v>569</v>
      </c>
      <c r="G103" t="s">
        <v>828</v>
      </c>
      <c r="H103" s="115">
        <v>13</v>
      </c>
      <c r="I103" s="154">
        <v>45410</v>
      </c>
      <c r="J103" s="18">
        <v>1</v>
      </c>
      <c r="K103" s="18" t="s">
        <v>788</v>
      </c>
      <c r="L103" s="18">
        <v>20</v>
      </c>
      <c r="M103" s="18"/>
      <c r="N103" s="18" t="s">
        <v>277</v>
      </c>
      <c r="O103" s="18" t="s">
        <v>278</v>
      </c>
      <c r="P103" s="18" t="s">
        <v>175</v>
      </c>
      <c r="Q103" t="s">
        <v>739</v>
      </c>
      <c r="R103" t="s">
        <v>673</v>
      </c>
      <c r="S103" s="97">
        <f t="shared" si="11"/>
        <v>13</v>
      </c>
      <c r="T103" s="95" t="str">
        <f t="shared" si="7"/>
        <v>Nimi hosts [Hidden Gem] Dreams Have No Titles Exhibition and Tango</v>
      </c>
      <c r="U103" s="96" t="e">
        <f t="shared" si="10"/>
        <v>#N/A</v>
      </c>
      <c r="V103" s="95" t="e">
        <f t="shared" si="8"/>
        <v>#N/A</v>
      </c>
      <c r="W103" s="95" t="str">
        <f t="shared" ref="W103:W118" si="12">Q103</f>
        <v>WhatsApp</v>
      </c>
      <c r="Y103" s="95"/>
      <c r="Z103">
        <f>VLOOKUP(S103,Sessions!A:K,11,FALSE)</f>
        <v>4</v>
      </c>
    </row>
    <row r="104" spans="1:26" ht="16" x14ac:dyDescent="0.2">
      <c r="A104" t="s">
        <v>836</v>
      </c>
      <c r="B104" t="s">
        <v>670</v>
      </c>
      <c r="C104" t="s">
        <v>303</v>
      </c>
      <c r="D104" t="s">
        <v>304</v>
      </c>
      <c r="E104" s="114" t="s">
        <v>125</v>
      </c>
      <c r="F104" s="80" t="s">
        <v>587</v>
      </c>
      <c r="G104" t="s">
        <v>828</v>
      </c>
      <c r="H104" s="115">
        <v>13</v>
      </c>
      <c r="I104" s="154">
        <v>45410</v>
      </c>
      <c r="J104" s="18">
        <v>1</v>
      </c>
      <c r="K104" s="18" t="s">
        <v>788</v>
      </c>
      <c r="L104" s="18">
        <v>20</v>
      </c>
      <c r="M104" s="18"/>
      <c r="N104" s="18" t="s">
        <v>303</v>
      </c>
      <c r="O104" s="18" t="s">
        <v>304</v>
      </c>
      <c r="P104" s="18" t="s">
        <v>125</v>
      </c>
      <c r="Q104" t="s">
        <v>739</v>
      </c>
      <c r="R104" t="s">
        <v>673</v>
      </c>
      <c r="S104" s="97">
        <f t="shared" si="11"/>
        <v>13</v>
      </c>
      <c r="T104" s="95" t="str">
        <f t="shared" si="7"/>
        <v>Nimi hosts [Hidden Gem] Dreams Have No Titles Exhibition and Tango</v>
      </c>
      <c r="U104" s="96" t="e">
        <f t="shared" si="10"/>
        <v>#N/A</v>
      </c>
      <c r="V104" s="95" t="e">
        <f t="shared" si="8"/>
        <v>#N/A</v>
      </c>
      <c r="W104" s="95" t="str">
        <f t="shared" si="12"/>
        <v>WhatsApp</v>
      </c>
      <c r="Y104" s="95"/>
      <c r="Z104">
        <f>VLOOKUP(S104,Sessions!A:K,11,FALSE)</f>
        <v>4</v>
      </c>
    </row>
    <row r="105" spans="1:26" ht="16" x14ac:dyDescent="0.2">
      <c r="A105" t="s">
        <v>837</v>
      </c>
      <c r="B105" t="s">
        <v>670</v>
      </c>
      <c r="C105" t="s">
        <v>190</v>
      </c>
      <c r="D105" t="s">
        <v>603</v>
      </c>
      <c r="E105" s="125" t="s">
        <v>602</v>
      </c>
      <c r="F105" s="80" t="s">
        <v>601</v>
      </c>
      <c r="G105" t="s">
        <v>828</v>
      </c>
      <c r="H105" s="115">
        <v>13</v>
      </c>
      <c r="I105" s="154">
        <v>45410</v>
      </c>
      <c r="J105" s="18">
        <v>1</v>
      </c>
      <c r="K105" s="18" t="s">
        <v>788</v>
      </c>
      <c r="L105" s="18">
        <v>13</v>
      </c>
      <c r="M105" s="18" t="s">
        <v>838</v>
      </c>
      <c r="N105" s="18" t="s">
        <v>190</v>
      </c>
      <c r="O105" s="18" t="s">
        <v>603</v>
      </c>
      <c r="P105" s="18" t="s">
        <v>602</v>
      </c>
      <c r="Q105" t="s">
        <v>739</v>
      </c>
      <c r="R105" t="s">
        <v>673</v>
      </c>
      <c r="S105" s="97">
        <f t="shared" si="11"/>
        <v>13</v>
      </c>
      <c r="T105" s="95" t="str">
        <f t="shared" si="7"/>
        <v>Nimi hosts [Hidden Gem] Dreams Have No Titles Exhibition and Tango</v>
      </c>
      <c r="U105" s="96" t="e">
        <f t="shared" si="10"/>
        <v>#N/A</v>
      </c>
      <c r="V105" s="95" t="e">
        <f t="shared" si="8"/>
        <v>#N/A</v>
      </c>
      <c r="W105" s="95" t="str">
        <f t="shared" si="12"/>
        <v>WhatsApp</v>
      </c>
      <c r="Y105" s="95"/>
      <c r="Z105">
        <f>VLOOKUP(S105,Sessions!A:K,11,FALSE)</f>
        <v>4</v>
      </c>
    </row>
    <row r="106" spans="1:26" ht="16" x14ac:dyDescent="0.2">
      <c r="A106" s="63"/>
      <c r="B106" s="9" t="s">
        <v>670</v>
      </c>
      <c r="C106" s="9" t="s">
        <v>959</v>
      </c>
      <c r="E106" s="125" t="s">
        <v>959</v>
      </c>
      <c r="G106" t="s">
        <v>773</v>
      </c>
      <c r="H106" s="115">
        <v>9</v>
      </c>
      <c r="I106" s="154">
        <v>45402</v>
      </c>
      <c r="J106" s="18">
        <v>1</v>
      </c>
      <c r="K106" s="17" t="s">
        <v>839</v>
      </c>
      <c r="N106" s="17" t="str">
        <f>C106</f>
        <v>Jing's girlfriend</v>
      </c>
      <c r="O106" s="17">
        <f>D106</f>
        <v>0</v>
      </c>
      <c r="P106" s="125" t="s">
        <v>959</v>
      </c>
      <c r="Q106" s="9" t="s">
        <v>839</v>
      </c>
      <c r="S106" s="97">
        <f t="shared" si="11"/>
        <v>9</v>
      </c>
      <c r="T106" s="95" t="str">
        <f t="shared" si="7"/>
        <v>Nimi hosts [Hidden Gem] Gallery Stroll in South Kensington</v>
      </c>
      <c r="U106" s="96" t="e">
        <f t="shared" si="10"/>
        <v>#N/A</v>
      </c>
      <c r="V106" s="95" t="e">
        <f t="shared" si="8"/>
        <v>#N/A</v>
      </c>
      <c r="W106" s="95" t="str">
        <f t="shared" si="12"/>
        <v>Meetup</v>
      </c>
      <c r="Y106" s="95"/>
      <c r="Z106">
        <f>VLOOKUP(S106,Sessions!A:K,11,FALSE)</f>
        <v>4</v>
      </c>
    </row>
    <row r="107" spans="1:26" ht="16" x14ac:dyDescent="0.2">
      <c r="B107" s="9" t="s">
        <v>670</v>
      </c>
      <c r="C107" s="9" t="s">
        <v>619</v>
      </c>
      <c r="D107" s="9" t="s">
        <v>620</v>
      </c>
      <c r="E107" s="127" t="s">
        <v>618</v>
      </c>
      <c r="G107" t="s">
        <v>730</v>
      </c>
      <c r="H107" s="115">
        <v>5</v>
      </c>
      <c r="I107" s="154">
        <v>45388</v>
      </c>
      <c r="J107" s="18">
        <v>1</v>
      </c>
      <c r="K107" s="17" t="s">
        <v>839</v>
      </c>
      <c r="N107" s="17" t="str">
        <f>C107</f>
        <v>Teodor</v>
      </c>
      <c r="O107" s="17" t="str">
        <f>D107</f>
        <v>Radu</v>
      </c>
      <c r="P107" s="17" t="s">
        <v>618</v>
      </c>
      <c r="Q107" s="9" t="s">
        <v>839</v>
      </c>
      <c r="S107" s="97">
        <f t="shared" si="11"/>
        <v>5</v>
      </c>
      <c r="T107" s="95" t="str">
        <f t="shared" si="7"/>
        <v>Nimi hosts [Hidden Gem] Galleries Stroll in Mayfair</v>
      </c>
      <c r="U107" s="96" t="e">
        <f t="shared" si="10"/>
        <v>#N/A</v>
      </c>
      <c r="V107" s="95" t="e">
        <f t="shared" si="8"/>
        <v>#N/A</v>
      </c>
      <c r="W107" s="95" t="str">
        <f t="shared" si="12"/>
        <v>Meetup</v>
      </c>
      <c r="Y107" s="95"/>
      <c r="Z107">
        <f>VLOOKUP(S107,Sessions!A:K,11,FALSE)</f>
        <v>4</v>
      </c>
    </row>
    <row r="108" spans="1:26" ht="16" x14ac:dyDescent="0.2">
      <c r="B108" s="9" t="s">
        <v>670</v>
      </c>
      <c r="C108" s="9" t="s">
        <v>625</v>
      </c>
      <c r="D108" s="9" t="s">
        <v>284</v>
      </c>
      <c r="E108" s="115" t="s">
        <v>173</v>
      </c>
      <c r="F108" s="80" t="s">
        <v>626</v>
      </c>
      <c r="G108" t="s">
        <v>730</v>
      </c>
      <c r="H108" s="115">
        <v>5</v>
      </c>
      <c r="I108" s="154">
        <v>45388</v>
      </c>
      <c r="J108" s="18">
        <v>1</v>
      </c>
      <c r="K108" s="17" t="s">
        <v>839</v>
      </c>
      <c r="N108" s="17" t="str">
        <f t="shared" ref="N108:O110" si="13">C108</f>
        <v>Tom</v>
      </c>
      <c r="O108" s="17" t="str">
        <f t="shared" si="13"/>
        <v>Saville</v>
      </c>
      <c r="P108" s="18" t="s">
        <v>173</v>
      </c>
      <c r="Q108" s="9" t="s">
        <v>839</v>
      </c>
      <c r="S108" s="97">
        <f t="shared" si="11"/>
        <v>5</v>
      </c>
      <c r="T108" s="95" t="str">
        <f t="shared" si="7"/>
        <v>Nimi hosts [Hidden Gem] Galleries Stroll in Mayfair</v>
      </c>
      <c r="U108" s="96" t="e">
        <f t="shared" si="10"/>
        <v>#N/A</v>
      </c>
      <c r="V108" s="95" t="e">
        <f t="shared" si="8"/>
        <v>#N/A</v>
      </c>
      <c r="W108" s="95" t="str">
        <f t="shared" si="12"/>
        <v>Meetup</v>
      </c>
      <c r="Y108" s="95"/>
      <c r="Z108">
        <f>VLOOKUP(S108,Sessions!A:K,11,FALSE)</f>
        <v>4</v>
      </c>
    </row>
    <row r="109" spans="1:26" ht="16" x14ac:dyDescent="0.2">
      <c r="B109" s="9" t="s">
        <v>670</v>
      </c>
      <c r="C109" s="9" t="s">
        <v>580</v>
      </c>
      <c r="E109" s="127" t="s">
        <v>579</v>
      </c>
      <c r="G109" t="s">
        <v>730</v>
      </c>
      <c r="H109" s="115">
        <v>5</v>
      </c>
      <c r="I109" s="154">
        <v>45388</v>
      </c>
      <c r="J109" s="18">
        <v>1</v>
      </c>
      <c r="K109" s="17" t="s">
        <v>839</v>
      </c>
      <c r="N109" s="17" t="str">
        <f t="shared" si="13"/>
        <v>ND</v>
      </c>
      <c r="O109" s="17">
        <f>D109</f>
        <v>0</v>
      </c>
      <c r="P109" s="20" t="s">
        <v>579</v>
      </c>
      <c r="Q109" s="9" t="s">
        <v>839</v>
      </c>
      <c r="S109" s="97">
        <f t="shared" si="11"/>
        <v>5</v>
      </c>
      <c r="T109" s="95" t="str">
        <f t="shared" si="7"/>
        <v>Nimi hosts [Hidden Gem] Galleries Stroll in Mayfair</v>
      </c>
      <c r="U109" s="96" t="e">
        <f t="shared" si="10"/>
        <v>#N/A</v>
      </c>
      <c r="V109" s="95" t="e">
        <f t="shared" si="8"/>
        <v>#N/A</v>
      </c>
      <c r="W109" s="95" t="str">
        <f t="shared" si="12"/>
        <v>Meetup</v>
      </c>
      <c r="Y109" s="95"/>
      <c r="Z109">
        <f>VLOOKUP(S109,Sessions!A:K,11,FALSE)</f>
        <v>4</v>
      </c>
    </row>
    <row r="110" spans="1:26" ht="16" x14ac:dyDescent="0.2">
      <c r="B110" s="9" t="s">
        <v>670</v>
      </c>
      <c r="C110" s="9" t="s">
        <v>542</v>
      </c>
      <c r="D110" s="9" t="s">
        <v>840</v>
      </c>
      <c r="E110" s="127" t="s">
        <v>541</v>
      </c>
      <c r="G110" t="s">
        <v>762</v>
      </c>
      <c r="H110" s="115">
        <v>6</v>
      </c>
      <c r="I110" s="154">
        <v>45393</v>
      </c>
      <c r="J110" s="17">
        <v>1</v>
      </c>
      <c r="K110" s="17" t="s">
        <v>839</v>
      </c>
      <c r="N110" s="17" t="str">
        <f t="shared" si="13"/>
        <v>Justin</v>
      </c>
      <c r="O110" s="17" t="str">
        <f t="shared" si="13"/>
        <v>Blatner</v>
      </c>
      <c r="P110" s="20" t="s">
        <v>541</v>
      </c>
      <c r="Q110" s="9" t="s">
        <v>839</v>
      </c>
      <c r="S110" s="97">
        <f t="shared" si="11"/>
        <v>6</v>
      </c>
      <c r="T110" s="95" t="str">
        <f t="shared" si="7"/>
        <v>Nimi hosts [Hidden Gem] Private View at Art Galleries in Central London</v>
      </c>
      <c r="U110" s="96" t="e">
        <f t="shared" si="10"/>
        <v>#N/A</v>
      </c>
      <c r="V110" s="95" t="e">
        <f t="shared" si="8"/>
        <v>#N/A</v>
      </c>
      <c r="W110" s="95" t="str">
        <f t="shared" si="12"/>
        <v>Meetup</v>
      </c>
      <c r="Y110" s="95"/>
      <c r="Z110">
        <f>VLOOKUP(S110,Sessions!A:K,11,FALSE)</f>
        <v>4</v>
      </c>
    </row>
    <row r="111" spans="1:26" ht="16" customHeight="1" x14ac:dyDescent="0.2">
      <c r="A111" s="77">
        <v>45421.495833333334</v>
      </c>
      <c r="B111" s="76" t="s">
        <v>670</v>
      </c>
      <c r="C111" s="76" t="s">
        <v>203</v>
      </c>
      <c r="D111" s="76" t="s">
        <v>204</v>
      </c>
      <c r="E111" s="128" t="s">
        <v>120</v>
      </c>
      <c r="F111" s="81" t="s">
        <v>841</v>
      </c>
      <c r="G111" s="76" t="s">
        <v>842</v>
      </c>
      <c r="H111" s="116">
        <v>14</v>
      </c>
      <c r="I111" s="155">
        <v>45423</v>
      </c>
      <c r="J111" s="90">
        <v>1</v>
      </c>
      <c r="K111" s="90" t="s">
        <v>697</v>
      </c>
      <c r="L111" s="90">
        <v>15</v>
      </c>
      <c r="M111" s="90"/>
      <c r="N111" s="90" t="s">
        <v>203</v>
      </c>
      <c r="O111" s="90" t="s">
        <v>204</v>
      </c>
      <c r="P111" s="90" t="s">
        <v>120</v>
      </c>
      <c r="Q111" s="76"/>
      <c r="R111" s="76" t="s">
        <v>673</v>
      </c>
      <c r="S111" s="97">
        <f t="shared" si="11"/>
        <v>14</v>
      </c>
      <c r="T111" s="95" t="str">
        <f t="shared" si="7"/>
        <v>Hidden Gem Saturday Art Strolls with Nimi</v>
      </c>
      <c r="U111" s="96">
        <v>45423</v>
      </c>
      <c r="V111" s="95">
        <f t="shared" si="8"/>
        <v>5</v>
      </c>
      <c r="W111" s="95">
        <f t="shared" si="12"/>
        <v>0</v>
      </c>
      <c r="X111" s="95" t="s">
        <v>843</v>
      </c>
      <c r="Y111" s="95"/>
      <c r="Z111">
        <f>VLOOKUP(S111,Sessions!A:K,11,FALSE)</f>
        <v>4</v>
      </c>
    </row>
    <row r="112" spans="1:26" ht="16" customHeight="1" x14ac:dyDescent="0.2">
      <c r="A112" s="77">
        <v>45421.506249999999</v>
      </c>
      <c r="B112" s="76" t="s">
        <v>670</v>
      </c>
      <c r="C112" s="76" t="s">
        <v>226</v>
      </c>
      <c r="D112" s="76" t="s">
        <v>227</v>
      </c>
      <c r="E112" s="128" t="s">
        <v>165</v>
      </c>
      <c r="F112" s="82" t="s">
        <v>844</v>
      </c>
      <c r="G112" s="76" t="s">
        <v>842</v>
      </c>
      <c r="H112" s="116">
        <v>14</v>
      </c>
      <c r="I112" s="155">
        <v>45423</v>
      </c>
      <c r="J112" s="90">
        <v>1</v>
      </c>
      <c r="K112" s="90" t="s">
        <v>697</v>
      </c>
      <c r="L112" s="90">
        <v>15</v>
      </c>
      <c r="M112" s="90"/>
      <c r="N112" s="90" t="s">
        <v>226</v>
      </c>
      <c r="O112" s="90" t="s">
        <v>227</v>
      </c>
      <c r="P112" s="90" t="s">
        <v>165</v>
      </c>
      <c r="Q112" s="76"/>
      <c r="R112" s="76" t="s">
        <v>673</v>
      </c>
      <c r="S112" s="97">
        <f t="shared" si="11"/>
        <v>14</v>
      </c>
      <c r="T112" s="95" t="str">
        <f t="shared" si="7"/>
        <v>Hidden Gem Saturday Art Strolls with Nimi</v>
      </c>
      <c r="U112" s="96">
        <v>45423</v>
      </c>
      <c r="V112" s="95">
        <f t="shared" si="8"/>
        <v>5</v>
      </c>
      <c r="W112" s="95">
        <f t="shared" si="12"/>
        <v>0</v>
      </c>
      <c r="X112" s="95" t="s">
        <v>843</v>
      </c>
      <c r="Y112" s="95"/>
      <c r="Z112">
        <f>VLOOKUP(S112,Sessions!A:K,11,FALSE)</f>
        <v>4</v>
      </c>
    </row>
    <row r="113" spans="1:26" ht="16" customHeight="1" x14ac:dyDescent="0.2">
      <c r="A113" s="77">
        <v>45421.510416666664</v>
      </c>
      <c r="B113" s="76" t="s">
        <v>670</v>
      </c>
      <c r="C113" s="76" t="s">
        <v>307</v>
      </c>
      <c r="D113" s="76" t="s">
        <v>531</v>
      </c>
      <c r="E113" s="128" t="s">
        <v>530</v>
      </c>
      <c r="F113" s="82" t="s">
        <v>845</v>
      </c>
      <c r="G113" s="76" t="s">
        <v>842</v>
      </c>
      <c r="H113" s="116">
        <v>14</v>
      </c>
      <c r="I113" s="155">
        <v>45423</v>
      </c>
      <c r="J113" s="90">
        <v>1</v>
      </c>
      <c r="K113" s="90" t="s">
        <v>697</v>
      </c>
      <c r="L113" s="90">
        <v>15</v>
      </c>
      <c r="M113" s="90"/>
      <c r="N113" s="90" t="s">
        <v>307</v>
      </c>
      <c r="O113" s="90" t="s">
        <v>531</v>
      </c>
      <c r="P113" s="90" t="s">
        <v>530</v>
      </c>
      <c r="Q113" s="76"/>
      <c r="R113" s="76" t="s">
        <v>673</v>
      </c>
      <c r="S113" s="97">
        <f t="shared" si="11"/>
        <v>14</v>
      </c>
      <c r="T113" s="95" t="str">
        <f t="shared" si="7"/>
        <v>Hidden Gem Saturday Art Strolls with Nimi</v>
      </c>
      <c r="U113" s="96">
        <v>45423</v>
      </c>
      <c r="V113" s="95">
        <f t="shared" si="8"/>
        <v>5</v>
      </c>
      <c r="W113" s="95">
        <f t="shared" si="12"/>
        <v>0</v>
      </c>
      <c r="X113" s="95" t="s">
        <v>843</v>
      </c>
      <c r="Y113" s="95"/>
      <c r="Z113">
        <f>VLOOKUP(S113,Sessions!A:K,11,FALSE)</f>
        <v>4</v>
      </c>
    </row>
    <row r="114" spans="1:26" ht="16" customHeight="1" x14ac:dyDescent="0.2">
      <c r="A114" s="77">
        <v>45421.515972222223</v>
      </c>
      <c r="B114" s="76" t="s">
        <v>670</v>
      </c>
      <c r="C114" s="76" t="s">
        <v>279</v>
      </c>
      <c r="D114" s="76" t="s">
        <v>280</v>
      </c>
      <c r="E114" s="128" t="s">
        <v>178</v>
      </c>
      <c r="F114" s="82" t="s">
        <v>846</v>
      </c>
      <c r="G114" s="76" t="s">
        <v>842</v>
      </c>
      <c r="H114" s="116">
        <v>14</v>
      </c>
      <c r="I114" s="155">
        <v>45423</v>
      </c>
      <c r="J114" s="90">
        <v>1</v>
      </c>
      <c r="K114" s="90" t="s">
        <v>697</v>
      </c>
      <c r="L114" s="90">
        <v>15</v>
      </c>
      <c r="M114" s="90"/>
      <c r="N114" s="90" t="s">
        <v>279</v>
      </c>
      <c r="O114" s="90" t="s">
        <v>280</v>
      </c>
      <c r="P114" s="90" t="s">
        <v>178</v>
      </c>
      <c r="Q114" s="76"/>
      <c r="R114" s="76" t="s">
        <v>673</v>
      </c>
      <c r="S114" s="97">
        <f t="shared" si="11"/>
        <v>14</v>
      </c>
      <c r="T114" s="95" t="str">
        <f t="shared" si="7"/>
        <v>Hidden Gem Saturday Art Strolls with Nimi</v>
      </c>
      <c r="U114" s="96">
        <v>45423</v>
      </c>
      <c r="V114" s="95">
        <f t="shared" si="8"/>
        <v>5</v>
      </c>
      <c r="W114" s="95">
        <f t="shared" si="12"/>
        <v>0</v>
      </c>
      <c r="X114" s="95" t="s">
        <v>843</v>
      </c>
      <c r="Y114" s="95"/>
      <c r="Z114">
        <f>VLOOKUP(S114,Sessions!A:K,11,FALSE)</f>
        <v>4</v>
      </c>
    </row>
    <row r="115" spans="1:26" ht="16" customHeight="1" x14ac:dyDescent="0.2">
      <c r="A115" s="77">
        <v>45421.622916666667</v>
      </c>
      <c r="B115" s="76" t="s">
        <v>670</v>
      </c>
      <c r="C115" s="76" t="s">
        <v>213</v>
      </c>
      <c r="D115" s="76" t="s">
        <v>214</v>
      </c>
      <c r="E115" s="128" t="s">
        <v>121</v>
      </c>
      <c r="F115" s="82">
        <v>447871606482</v>
      </c>
      <c r="G115" s="76" t="s">
        <v>842</v>
      </c>
      <c r="H115" s="116">
        <v>14</v>
      </c>
      <c r="I115" s="155">
        <v>45423</v>
      </c>
      <c r="J115" s="90">
        <v>1</v>
      </c>
      <c r="K115" s="90" t="s">
        <v>697</v>
      </c>
      <c r="L115" s="90">
        <v>15</v>
      </c>
      <c r="M115" s="90"/>
      <c r="N115" s="90" t="s">
        <v>213</v>
      </c>
      <c r="O115" s="90" t="s">
        <v>214</v>
      </c>
      <c r="P115" s="90" t="s">
        <v>121</v>
      </c>
      <c r="Q115" s="76"/>
      <c r="R115" s="76" t="s">
        <v>673</v>
      </c>
      <c r="S115" s="97">
        <f t="shared" si="11"/>
        <v>14</v>
      </c>
      <c r="T115" s="95" t="str">
        <f t="shared" si="7"/>
        <v>Hidden Gem Saturday Art Strolls with Nimi</v>
      </c>
      <c r="U115" s="96">
        <v>45423</v>
      </c>
      <c r="V115" s="95">
        <f t="shared" si="8"/>
        <v>5</v>
      </c>
      <c r="W115" s="95">
        <f t="shared" si="12"/>
        <v>0</v>
      </c>
      <c r="X115" s="95" t="s">
        <v>843</v>
      </c>
      <c r="Y115" s="95"/>
      <c r="Z115">
        <f>VLOOKUP(S115,Sessions!A:K,11,FALSE)</f>
        <v>4</v>
      </c>
    </row>
    <row r="116" spans="1:26" ht="16" customHeight="1" x14ac:dyDescent="0.2">
      <c r="A116" s="77">
        <v>45422.49722222222</v>
      </c>
      <c r="B116" s="76" t="s">
        <v>689</v>
      </c>
      <c r="C116" s="76" t="s">
        <v>295</v>
      </c>
      <c r="D116" s="76" t="s">
        <v>296</v>
      </c>
      <c r="E116" s="115" t="s">
        <v>167</v>
      </c>
      <c r="F116" s="82">
        <v>447896634620</v>
      </c>
      <c r="G116" s="76" t="s">
        <v>842</v>
      </c>
      <c r="H116" s="116">
        <v>14</v>
      </c>
      <c r="I116" s="155">
        <v>45423</v>
      </c>
      <c r="J116" s="90">
        <v>1</v>
      </c>
      <c r="K116" s="90" t="s">
        <v>697</v>
      </c>
      <c r="L116" s="90">
        <v>15</v>
      </c>
      <c r="M116" s="90"/>
      <c r="N116" s="90" t="s">
        <v>295</v>
      </c>
      <c r="O116" s="90" t="s">
        <v>296</v>
      </c>
      <c r="P116" s="90" t="s">
        <v>847</v>
      </c>
      <c r="Q116" s="76"/>
      <c r="R116" s="76" t="s">
        <v>673</v>
      </c>
      <c r="S116" s="97">
        <f t="shared" si="11"/>
        <v>14</v>
      </c>
      <c r="T116" s="95" t="str">
        <f t="shared" si="7"/>
        <v>Hidden Gem Saturday Art Strolls with Nimi</v>
      </c>
      <c r="U116" s="96">
        <v>45423</v>
      </c>
      <c r="V116" s="95">
        <f t="shared" si="8"/>
        <v>5</v>
      </c>
      <c r="W116" s="95">
        <f t="shared" si="12"/>
        <v>0</v>
      </c>
      <c r="X116" s="95" t="s">
        <v>843</v>
      </c>
      <c r="Y116" s="95"/>
      <c r="Z116">
        <f>VLOOKUP(S116,Sessions!A:K,11,FALSE)</f>
        <v>4</v>
      </c>
    </row>
    <row r="117" spans="1:26" ht="16" x14ac:dyDescent="0.2">
      <c r="A117" s="77">
        <v>45423.147222222222</v>
      </c>
      <c r="B117" s="9" t="s">
        <v>670</v>
      </c>
      <c r="C117" s="76" t="s">
        <v>571</v>
      </c>
      <c r="D117" s="76" t="s">
        <v>572</v>
      </c>
      <c r="E117" s="128" t="s">
        <v>570</v>
      </c>
      <c r="F117" s="82">
        <v>7503778383</v>
      </c>
      <c r="G117" s="76" t="s">
        <v>842</v>
      </c>
      <c r="H117" s="116">
        <v>14</v>
      </c>
      <c r="I117" s="155">
        <v>45423</v>
      </c>
      <c r="J117" s="90">
        <v>1</v>
      </c>
      <c r="K117" s="90" t="s">
        <v>697</v>
      </c>
      <c r="L117" s="90">
        <v>15</v>
      </c>
      <c r="M117" s="90"/>
      <c r="N117" s="90" t="s">
        <v>571</v>
      </c>
      <c r="O117" s="90" t="s">
        <v>572</v>
      </c>
      <c r="P117" s="90" t="s">
        <v>570</v>
      </c>
      <c r="Q117" s="76" t="s">
        <v>791</v>
      </c>
      <c r="R117" s="76" t="s">
        <v>673</v>
      </c>
      <c r="S117" s="97">
        <f t="shared" si="11"/>
        <v>14</v>
      </c>
      <c r="T117" s="95" t="str">
        <f t="shared" si="7"/>
        <v>Hidden Gem Saturday Art Strolls with Nimi</v>
      </c>
      <c r="U117" s="96">
        <v>45423</v>
      </c>
      <c r="V117" s="95">
        <f t="shared" si="8"/>
        <v>5</v>
      </c>
      <c r="W117" s="95" t="str">
        <f t="shared" si="12"/>
        <v>ebesessearch</v>
      </c>
      <c r="X117" s="95" t="s">
        <v>848</v>
      </c>
      <c r="Y117" s="95"/>
      <c r="Z117">
        <f>VLOOKUP(S117,Sessions!A:K,11,FALSE)</f>
        <v>4</v>
      </c>
    </row>
    <row r="118" spans="1:26" ht="17" x14ac:dyDescent="0.2">
      <c r="B118" s="9" t="s">
        <v>670</v>
      </c>
      <c r="C118" s="9" t="s">
        <v>634</v>
      </c>
      <c r="E118" s="129" t="s">
        <v>633</v>
      </c>
      <c r="G118" s="76" t="s">
        <v>842</v>
      </c>
      <c r="H118" s="116">
        <v>14</v>
      </c>
      <c r="I118" s="155">
        <v>45423</v>
      </c>
      <c r="J118" s="17">
        <v>1</v>
      </c>
      <c r="K118" s="90" t="s">
        <v>697</v>
      </c>
      <c r="L118" s="17">
        <v>15</v>
      </c>
      <c r="N118" s="17" t="s">
        <v>634</v>
      </c>
      <c r="P118" s="91" t="s">
        <v>633</v>
      </c>
      <c r="Q118" s="9" t="s">
        <v>839</v>
      </c>
      <c r="S118" s="97">
        <f t="shared" si="11"/>
        <v>14</v>
      </c>
      <c r="T118" s="95" t="str">
        <f t="shared" si="7"/>
        <v>Hidden Gem Saturday Art Strolls with Nimi</v>
      </c>
      <c r="U118" s="96">
        <v>45423</v>
      </c>
      <c r="V118" s="95">
        <f t="shared" si="8"/>
        <v>5</v>
      </c>
      <c r="W118" s="95" t="str">
        <f t="shared" si="12"/>
        <v>Meetup</v>
      </c>
      <c r="X118" s="95" t="s">
        <v>839</v>
      </c>
      <c r="Y118" s="95"/>
      <c r="Z118">
        <f>VLOOKUP(S118,Sessions!A:K,11,FALSE)</f>
        <v>4</v>
      </c>
    </row>
    <row r="119" spans="1:26" ht="16" x14ac:dyDescent="0.2">
      <c r="A119" s="92">
        <v>45428.303472222222</v>
      </c>
      <c r="B119" s="63" t="s">
        <v>670</v>
      </c>
      <c r="C119" s="63" t="s">
        <v>190</v>
      </c>
      <c r="D119" s="63" t="s">
        <v>603</v>
      </c>
      <c r="E119" s="117" t="s">
        <v>602</v>
      </c>
      <c r="F119" s="93">
        <v>447930000000</v>
      </c>
      <c r="G119" s="63" t="s">
        <v>849</v>
      </c>
      <c r="H119" s="117">
        <v>15</v>
      </c>
      <c r="I119" s="155">
        <v>45430</v>
      </c>
      <c r="J119" s="63">
        <v>1</v>
      </c>
      <c r="K119" s="63" t="s">
        <v>697</v>
      </c>
      <c r="L119" s="63">
        <v>15</v>
      </c>
      <c r="M119" s="63"/>
      <c r="N119" s="63" t="s">
        <v>190</v>
      </c>
      <c r="O119" s="63" t="s">
        <v>603</v>
      </c>
      <c r="P119" s="63" t="s">
        <v>602</v>
      </c>
      <c r="Q119" s="63"/>
      <c r="S119" s="95">
        <v>15</v>
      </c>
      <c r="T119" s="95" t="str">
        <f t="shared" si="7"/>
        <v>Hidden Gems: Photography Exhibitions Across London</v>
      </c>
      <c r="U119" s="96" t="e">
        <f t="shared" ref="U119:U140" si="14">DATE(20&amp;_xlfn.TEXTBEFORE(_xlfn.TEXTAFTER(I119,"/",2)," "), _xlfn.TEXTBEFORE(I119,"/",1), _xlfn.TEXTBEFORE(_xlfn.TEXTAFTER(I119,"/"),"/"))</f>
        <v>#N/A</v>
      </c>
      <c r="V119" s="95" t="e">
        <f t="shared" si="8"/>
        <v>#N/A</v>
      </c>
      <c r="W119" s="95">
        <f t="shared" ref="W119:W134" si="15">Q119</f>
        <v>0</v>
      </c>
      <c r="X119" s="95" t="s">
        <v>843</v>
      </c>
      <c r="Y119" s="95"/>
      <c r="Z119">
        <f>VLOOKUP(S119,Sessions!A:K,11,FALSE)</f>
        <v>4</v>
      </c>
    </row>
    <row r="120" spans="1:26" ht="16" customHeight="1" x14ac:dyDescent="0.2">
      <c r="A120" s="92">
        <v>45428.320833333331</v>
      </c>
      <c r="B120" s="63" t="s">
        <v>670</v>
      </c>
      <c r="C120" s="63" t="s">
        <v>198</v>
      </c>
      <c r="D120" s="63" t="s">
        <v>199</v>
      </c>
      <c r="E120" s="117" t="s">
        <v>122</v>
      </c>
      <c r="F120" s="93">
        <v>447560000000</v>
      </c>
      <c r="G120" s="63" t="s">
        <v>849</v>
      </c>
      <c r="H120" s="117">
        <v>15</v>
      </c>
      <c r="I120" s="155">
        <v>45430</v>
      </c>
      <c r="J120" s="63">
        <v>1</v>
      </c>
      <c r="K120" s="63" t="s">
        <v>697</v>
      </c>
      <c r="L120" s="63">
        <v>15</v>
      </c>
      <c r="M120" s="63"/>
      <c r="N120" s="63" t="s">
        <v>198</v>
      </c>
      <c r="O120" s="63" t="s">
        <v>199</v>
      </c>
      <c r="P120" s="63" t="s">
        <v>122</v>
      </c>
      <c r="Q120" s="63"/>
      <c r="S120" s="95">
        <v>15</v>
      </c>
      <c r="T120" s="95" t="str">
        <f t="shared" si="7"/>
        <v>Hidden Gems: Photography Exhibitions Across London</v>
      </c>
      <c r="U120" s="96" t="e">
        <f t="shared" si="14"/>
        <v>#N/A</v>
      </c>
      <c r="V120" s="95" t="e">
        <f t="shared" si="8"/>
        <v>#N/A</v>
      </c>
      <c r="W120" s="95">
        <f t="shared" si="15"/>
        <v>0</v>
      </c>
      <c r="X120" s="95" t="s">
        <v>843</v>
      </c>
      <c r="Y120" s="95"/>
      <c r="Z120">
        <f>VLOOKUP(S120,Sessions!A:K,11,FALSE)</f>
        <v>4</v>
      </c>
    </row>
    <row r="121" spans="1:26" ht="16" x14ac:dyDescent="0.2">
      <c r="A121" s="92">
        <v>45428.332638888889</v>
      </c>
      <c r="B121" s="63" t="s">
        <v>670</v>
      </c>
      <c r="C121" s="63" t="s">
        <v>277</v>
      </c>
      <c r="D121" s="63" t="s">
        <v>278</v>
      </c>
      <c r="E121" s="117" t="s">
        <v>175</v>
      </c>
      <c r="F121" s="93">
        <v>447820000000</v>
      </c>
      <c r="G121" s="63" t="s">
        <v>849</v>
      </c>
      <c r="H121" s="117">
        <v>15</v>
      </c>
      <c r="I121" s="155">
        <v>45430</v>
      </c>
      <c r="J121" s="63">
        <v>1</v>
      </c>
      <c r="K121" s="63" t="s">
        <v>697</v>
      </c>
      <c r="L121" s="63">
        <v>15</v>
      </c>
      <c r="M121" s="63"/>
      <c r="N121" s="63" t="s">
        <v>277</v>
      </c>
      <c r="O121" s="63" t="s">
        <v>278</v>
      </c>
      <c r="P121" s="63" t="s">
        <v>175</v>
      </c>
      <c r="Q121" s="63"/>
      <c r="S121" s="95">
        <v>15</v>
      </c>
      <c r="T121" s="95" t="str">
        <f t="shared" si="7"/>
        <v>Hidden Gems: Photography Exhibitions Across London</v>
      </c>
      <c r="U121" s="96" t="e">
        <f t="shared" si="14"/>
        <v>#N/A</v>
      </c>
      <c r="V121" s="95" t="e">
        <f t="shared" si="8"/>
        <v>#N/A</v>
      </c>
      <c r="W121" s="95">
        <f t="shared" si="15"/>
        <v>0</v>
      </c>
      <c r="X121" s="95" t="s">
        <v>843</v>
      </c>
      <c r="Y121" s="95"/>
      <c r="Z121">
        <f>VLOOKUP(S121,Sessions!A:K,11,FALSE)</f>
        <v>4</v>
      </c>
    </row>
    <row r="122" spans="1:26" ht="16" x14ac:dyDescent="0.2">
      <c r="A122" s="92">
        <v>45428.518055555556</v>
      </c>
      <c r="B122" s="63" t="s">
        <v>670</v>
      </c>
      <c r="C122" s="63" t="s">
        <v>211</v>
      </c>
      <c r="D122" s="63" t="s">
        <v>212</v>
      </c>
      <c r="E122" s="117" t="s">
        <v>144</v>
      </c>
      <c r="F122" s="93">
        <v>447980000000</v>
      </c>
      <c r="G122" s="63" t="s">
        <v>849</v>
      </c>
      <c r="H122" s="117">
        <v>15</v>
      </c>
      <c r="I122" s="155">
        <v>45430</v>
      </c>
      <c r="J122" s="63">
        <v>1</v>
      </c>
      <c r="K122" s="63" t="s">
        <v>697</v>
      </c>
      <c r="L122" s="63">
        <v>15</v>
      </c>
      <c r="M122" s="63"/>
      <c r="N122" s="63" t="s">
        <v>211</v>
      </c>
      <c r="O122" s="63" t="s">
        <v>212</v>
      </c>
      <c r="P122" s="63" t="s">
        <v>144</v>
      </c>
      <c r="Q122" s="63"/>
      <c r="S122" s="95">
        <v>15</v>
      </c>
      <c r="T122" s="95" t="str">
        <f t="shared" si="7"/>
        <v>Hidden Gems: Photography Exhibitions Across London</v>
      </c>
      <c r="U122" s="96" t="e">
        <f t="shared" si="14"/>
        <v>#N/A</v>
      </c>
      <c r="V122" s="95" t="e">
        <f t="shared" si="8"/>
        <v>#N/A</v>
      </c>
      <c r="W122" s="95">
        <f t="shared" si="15"/>
        <v>0</v>
      </c>
      <c r="X122" s="95" t="s">
        <v>843</v>
      </c>
      <c r="Y122" s="95"/>
      <c r="Z122">
        <f>VLOOKUP(S122,Sessions!A:K,11,FALSE)</f>
        <v>4</v>
      </c>
    </row>
    <row r="123" spans="1:26" ht="16" x14ac:dyDescent="0.2">
      <c r="A123" s="92">
        <v>45428.533333333333</v>
      </c>
      <c r="B123" s="63" t="s">
        <v>670</v>
      </c>
      <c r="C123" s="63" t="s">
        <v>487</v>
      </c>
      <c r="D123" s="63" t="s">
        <v>488</v>
      </c>
      <c r="E123" s="117" t="s">
        <v>486</v>
      </c>
      <c r="F123" s="93">
        <v>447510000000</v>
      </c>
      <c r="G123" s="63" t="s">
        <v>849</v>
      </c>
      <c r="H123" s="117">
        <v>15</v>
      </c>
      <c r="I123" s="155">
        <v>45430</v>
      </c>
      <c r="J123" s="63">
        <v>1</v>
      </c>
      <c r="K123" s="63" t="s">
        <v>697</v>
      </c>
      <c r="L123" s="63">
        <v>15</v>
      </c>
      <c r="M123" s="63"/>
      <c r="N123" s="63" t="s">
        <v>487</v>
      </c>
      <c r="O123" s="63" t="s">
        <v>488</v>
      </c>
      <c r="P123" s="63" t="s">
        <v>486</v>
      </c>
      <c r="Q123" s="63"/>
      <c r="S123" s="95">
        <v>15</v>
      </c>
      <c r="T123" s="95" t="str">
        <f t="shared" si="7"/>
        <v>Hidden Gems: Photography Exhibitions Across London</v>
      </c>
      <c r="U123" s="96" t="e">
        <f t="shared" si="14"/>
        <v>#N/A</v>
      </c>
      <c r="V123" s="95" t="e">
        <f t="shared" si="8"/>
        <v>#N/A</v>
      </c>
      <c r="W123" s="95">
        <f t="shared" si="15"/>
        <v>0</v>
      </c>
      <c r="X123" s="95" t="s">
        <v>843</v>
      </c>
      <c r="Y123" s="95"/>
      <c r="Z123">
        <f>VLOOKUP(S123,Sessions!A:K,11,FALSE)</f>
        <v>4</v>
      </c>
    </row>
    <row r="124" spans="1:26" ht="16" x14ac:dyDescent="0.2">
      <c r="A124" s="92">
        <v>45429.538194444445</v>
      </c>
      <c r="B124" s="63" t="s">
        <v>670</v>
      </c>
      <c r="C124" s="63" t="s">
        <v>509</v>
      </c>
      <c r="D124" s="63" t="s">
        <v>510</v>
      </c>
      <c r="E124" s="117" t="s">
        <v>508</v>
      </c>
      <c r="F124" s="93">
        <v>19176000000</v>
      </c>
      <c r="G124" s="63" t="s">
        <v>849</v>
      </c>
      <c r="H124" s="117">
        <v>15</v>
      </c>
      <c r="I124" s="155">
        <v>45430</v>
      </c>
      <c r="J124" s="63">
        <v>1</v>
      </c>
      <c r="K124" s="63" t="s">
        <v>697</v>
      </c>
      <c r="L124" s="63">
        <v>15</v>
      </c>
      <c r="M124" s="63"/>
      <c r="N124" s="63" t="s">
        <v>509</v>
      </c>
      <c r="O124" s="63" t="s">
        <v>510</v>
      </c>
      <c r="P124" s="63" t="s">
        <v>508</v>
      </c>
      <c r="Q124" s="63"/>
      <c r="S124" s="95">
        <v>15</v>
      </c>
      <c r="T124" s="95" t="str">
        <f t="shared" si="7"/>
        <v>Hidden Gems: Photography Exhibitions Across London</v>
      </c>
      <c r="U124" s="96" t="e">
        <f t="shared" si="14"/>
        <v>#N/A</v>
      </c>
      <c r="V124" s="95" t="e">
        <f t="shared" si="8"/>
        <v>#N/A</v>
      </c>
      <c r="W124" s="95">
        <f t="shared" si="15"/>
        <v>0</v>
      </c>
      <c r="X124" s="95" t="s">
        <v>843</v>
      </c>
      <c r="Y124" s="95"/>
      <c r="Z124">
        <f>VLOOKUP(S124,Sessions!A:K,11,FALSE)</f>
        <v>4</v>
      </c>
    </row>
    <row r="125" spans="1:26" ht="16" x14ac:dyDescent="0.2">
      <c r="A125" s="92">
        <v>45430.21597222222</v>
      </c>
      <c r="B125" s="63" t="s">
        <v>670</v>
      </c>
      <c r="C125" s="63" t="s">
        <v>546</v>
      </c>
      <c r="D125" s="63" t="s">
        <v>547</v>
      </c>
      <c r="E125" s="117" t="s">
        <v>545</v>
      </c>
      <c r="F125" s="63">
        <v>7469394835</v>
      </c>
      <c r="G125" s="63" t="s">
        <v>849</v>
      </c>
      <c r="H125" s="117">
        <v>15</v>
      </c>
      <c r="I125" s="155">
        <v>45430</v>
      </c>
      <c r="J125" s="63">
        <v>1</v>
      </c>
      <c r="K125" s="63" t="s">
        <v>697</v>
      </c>
      <c r="L125" s="63">
        <v>15</v>
      </c>
      <c r="M125" s="63"/>
      <c r="N125" s="63" t="s">
        <v>546</v>
      </c>
      <c r="O125" s="63" t="s">
        <v>547</v>
      </c>
      <c r="P125" s="63" t="s">
        <v>545</v>
      </c>
      <c r="Q125" s="63" t="s">
        <v>791</v>
      </c>
      <c r="S125" s="95">
        <v>15</v>
      </c>
      <c r="T125" s="95" t="str">
        <f t="shared" si="7"/>
        <v>Hidden Gems: Photography Exhibitions Across London</v>
      </c>
      <c r="U125" s="96" t="e">
        <f t="shared" si="14"/>
        <v>#N/A</v>
      </c>
      <c r="V125" s="95" t="e">
        <f t="shared" si="8"/>
        <v>#N/A</v>
      </c>
      <c r="W125" s="95" t="str">
        <f t="shared" si="15"/>
        <v>ebesessearch</v>
      </c>
      <c r="X125" s="95" t="s">
        <v>848</v>
      </c>
      <c r="Y125" s="95"/>
      <c r="Z125">
        <f>VLOOKUP(S125,Sessions!A:K,11,FALSE)</f>
        <v>4</v>
      </c>
    </row>
    <row r="126" spans="1:26" ht="16" customHeight="1" x14ac:dyDescent="0.2">
      <c r="A126" s="92">
        <v>45430.306944444441</v>
      </c>
      <c r="B126" s="63" t="s">
        <v>670</v>
      </c>
      <c r="C126" s="63" t="s">
        <v>241</v>
      </c>
      <c r="D126" s="63" t="s">
        <v>500</v>
      </c>
      <c r="E126" s="117" t="s">
        <v>499</v>
      </c>
      <c r="F126" s="94" t="s">
        <v>501</v>
      </c>
      <c r="G126" s="63" t="s">
        <v>849</v>
      </c>
      <c r="H126" s="117">
        <v>15</v>
      </c>
      <c r="I126" s="155">
        <v>45430</v>
      </c>
      <c r="J126" s="63">
        <v>1</v>
      </c>
      <c r="K126" s="63" t="s">
        <v>697</v>
      </c>
      <c r="L126" s="63">
        <v>15</v>
      </c>
      <c r="M126" s="63"/>
      <c r="N126" s="63" t="s">
        <v>241</v>
      </c>
      <c r="O126" s="63" t="s">
        <v>500</v>
      </c>
      <c r="P126" s="63" t="s">
        <v>499</v>
      </c>
      <c r="Q126" s="63"/>
      <c r="S126" s="95">
        <v>15</v>
      </c>
      <c r="T126" s="95" t="str">
        <f t="shared" si="7"/>
        <v>Hidden Gems: Photography Exhibitions Across London</v>
      </c>
      <c r="U126" s="96" t="e">
        <f t="shared" si="14"/>
        <v>#N/A</v>
      </c>
      <c r="V126" s="95" t="e">
        <f t="shared" si="8"/>
        <v>#N/A</v>
      </c>
      <c r="W126" s="95">
        <f t="shared" si="15"/>
        <v>0</v>
      </c>
      <c r="X126" s="95" t="s">
        <v>843</v>
      </c>
      <c r="Y126" s="95"/>
      <c r="Z126">
        <f>VLOOKUP(S126,Sessions!A:K,11,FALSE)</f>
        <v>4</v>
      </c>
    </row>
    <row r="127" spans="1:26" ht="16" x14ac:dyDescent="0.2">
      <c r="A127" s="92">
        <v>45430.308333333334</v>
      </c>
      <c r="B127" s="63" t="s">
        <v>689</v>
      </c>
      <c r="C127" s="63" t="s">
        <v>563</v>
      </c>
      <c r="D127" s="63" t="s">
        <v>564</v>
      </c>
      <c r="E127" s="117" t="s">
        <v>562</v>
      </c>
      <c r="F127" s="63">
        <v>0</v>
      </c>
      <c r="G127" s="63" t="s">
        <v>849</v>
      </c>
      <c r="H127" s="117">
        <v>15</v>
      </c>
      <c r="I127" s="155">
        <v>45430</v>
      </c>
      <c r="J127" s="63">
        <v>1</v>
      </c>
      <c r="K127" s="63" t="s">
        <v>697</v>
      </c>
      <c r="L127" s="63">
        <v>15</v>
      </c>
      <c r="M127" s="63"/>
      <c r="N127" s="63" t="s">
        <v>563</v>
      </c>
      <c r="O127" s="63" t="s">
        <v>564</v>
      </c>
      <c r="P127" s="63" t="s">
        <v>562</v>
      </c>
      <c r="Q127" s="63" t="s">
        <v>839</v>
      </c>
      <c r="S127" s="95">
        <v>15</v>
      </c>
      <c r="T127" s="95" t="str">
        <f t="shared" si="7"/>
        <v>Hidden Gems: Photography Exhibitions Across London</v>
      </c>
      <c r="U127" s="96" t="e">
        <f t="shared" si="14"/>
        <v>#N/A</v>
      </c>
      <c r="V127" s="95" t="e">
        <f t="shared" si="8"/>
        <v>#N/A</v>
      </c>
      <c r="W127" s="95" t="str">
        <f t="shared" si="15"/>
        <v>Meetup</v>
      </c>
      <c r="X127" s="95" t="s">
        <v>839</v>
      </c>
      <c r="Y127" s="95"/>
      <c r="Z127">
        <f>VLOOKUP(S127,Sessions!A:K,11,FALSE)</f>
        <v>4</v>
      </c>
    </row>
    <row r="128" spans="1:26" ht="16" x14ac:dyDescent="0.2">
      <c r="A128" s="92">
        <v>45435.322916666664</v>
      </c>
      <c r="B128" s="63" t="s">
        <v>670</v>
      </c>
      <c r="C128" s="63" t="s">
        <v>216</v>
      </c>
      <c r="D128" s="63" t="s">
        <v>217</v>
      </c>
      <c r="E128" s="117" t="s">
        <v>127</v>
      </c>
      <c r="F128" s="63"/>
      <c r="G128" s="63" t="s">
        <v>850</v>
      </c>
      <c r="H128" s="117">
        <v>22</v>
      </c>
      <c r="I128" s="155">
        <v>45437</v>
      </c>
      <c r="J128" s="63">
        <v>1</v>
      </c>
      <c r="K128" s="63" t="s">
        <v>697</v>
      </c>
      <c r="L128" s="63">
        <v>15</v>
      </c>
      <c r="M128" s="63"/>
      <c r="N128" s="63" t="s">
        <v>216</v>
      </c>
      <c r="O128" s="63" t="s">
        <v>217</v>
      </c>
      <c r="P128" s="63" t="s">
        <v>127</v>
      </c>
      <c r="Q128" s="63"/>
      <c r="S128" s="95">
        <v>22</v>
      </c>
      <c r="T128" s="95" t="str">
        <f t="shared" si="7"/>
        <v>Art, Music and Drinks at Courtauld Late - Featuring Exhibition of Frank Auerbach</v>
      </c>
      <c r="U128" s="96" t="e">
        <f t="shared" si="14"/>
        <v>#N/A</v>
      </c>
      <c r="V128" s="95" t="e">
        <f t="shared" si="8"/>
        <v>#N/A</v>
      </c>
      <c r="W128" s="95">
        <f t="shared" si="15"/>
        <v>0</v>
      </c>
      <c r="X128" s="95" t="s">
        <v>843</v>
      </c>
      <c r="Y128" s="95"/>
      <c r="Z128">
        <f>VLOOKUP(S128,Sessions!A:K,11,FALSE)</f>
        <v>1</v>
      </c>
    </row>
    <row r="129" spans="1:26" ht="16" x14ac:dyDescent="0.2">
      <c r="A129" s="92">
        <v>45435.331944444442</v>
      </c>
      <c r="B129" s="63" t="s">
        <v>670</v>
      </c>
      <c r="C129" s="63" t="s">
        <v>307</v>
      </c>
      <c r="D129" s="63" t="s">
        <v>531</v>
      </c>
      <c r="E129" s="117" t="s">
        <v>530</v>
      </c>
      <c r="F129" s="94" t="s">
        <v>851</v>
      </c>
      <c r="G129" s="63" t="s">
        <v>850</v>
      </c>
      <c r="H129" s="117">
        <v>22</v>
      </c>
      <c r="I129" s="155">
        <v>45437</v>
      </c>
      <c r="J129" s="63">
        <v>1</v>
      </c>
      <c r="K129" s="63" t="s">
        <v>697</v>
      </c>
      <c r="L129" s="63">
        <v>15</v>
      </c>
      <c r="M129" s="63"/>
      <c r="N129" s="63" t="s">
        <v>307</v>
      </c>
      <c r="O129" s="63" t="s">
        <v>531</v>
      </c>
      <c r="P129" s="63" t="s">
        <v>530</v>
      </c>
      <c r="Q129" s="63"/>
      <c r="S129" s="95">
        <v>22</v>
      </c>
      <c r="T129" s="95" t="str">
        <f t="shared" si="7"/>
        <v>Art, Music and Drinks at Courtauld Late - Featuring Exhibition of Frank Auerbach</v>
      </c>
      <c r="U129" s="96" t="e">
        <f t="shared" si="14"/>
        <v>#N/A</v>
      </c>
      <c r="V129" s="95" t="e">
        <f t="shared" si="8"/>
        <v>#N/A</v>
      </c>
      <c r="W129" s="95">
        <f t="shared" si="15"/>
        <v>0</v>
      </c>
      <c r="X129" s="95" t="s">
        <v>843</v>
      </c>
      <c r="Y129" s="95"/>
      <c r="Z129">
        <f>VLOOKUP(S129,Sessions!A:K,11,FALSE)</f>
        <v>1</v>
      </c>
    </row>
    <row r="130" spans="1:26" ht="16" x14ac:dyDescent="0.2">
      <c r="A130" s="92">
        <v>45436.188194444447</v>
      </c>
      <c r="B130" s="63" t="s">
        <v>670</v>
      </c>
      <c r="C130" s="63" t="s">
        <v>209</v>
      </c>
      <c r="D130" s="63" t="s">
        <v>210</v>
      </c>
      <c r="E130" s="117" t="s">
        <v>133</v>
      </c>
      <c r="F130" s="93">
        <v>447810000000</v>
      </c>
      <c r="G130" s="63" t="s">
        <v>850</v>
      </c>
      <c r="H130" s="117">
        <v>22</v>
      </c>
      <c r="I130" s="155">
        <v>45437</v>
      </c>
      <c r="J130" s="63">
        <v>1</v>
      </c>
      <c r="K130" s="63" t="s">
        <v>697</v>
      </c>
      <c r="L130" s="63">
        <v>14</v>
      </c>
      <c r="M130" s="63"/>
      <c r="N130" s="63" t="s">
        <v>209</v>
      </c>
      <c r="O130" s="63" t="s">
        <v>210</v>
      </c>
      <c r="P130" s="63" t="s">
        <v>133</v>
      </c>
      <c r="Q130" s="63"/>
      <c r="S130" s="95">
        <v>22</v>
      </c>
      <c r="T130" s="95" t="str">
        <f t="shared" ref="T130:T193" si="16">G130</f>
        <v>Art, Music and Drinks at Courtauld Late - Featuring Exhibition of Frank Auerbach</v>
      </c>
      <c r="U130" s="96" t="e">
        <f t="shared" si="14"/>
        <v>#N/A</v>
      </c>
      <c r="V130" s="95" t="e">
        <f t="shared" ref="V130:V192" si="17">MONTH(U130)</f>
        <v>#N/A</v>
      </c>
      <c r="W130" s="95">
        <f t="shared" si="15"/>
        <v>0</v>
      </c>
      <c r="X130" s="95" t="s">
        <v>843</v>
      </c>
      <c r="Y130" s="95"/>
      <c r="Z130">
        <f>VLOOKUP(S130,Sessions!A:K,11,FALSE)</f>
        <v>1</v>
      </c>
    </row>
    <row r="131" spans="1:26" ht="16" x14ac:dyDescent="0.2">
      <c r="A131" s="92">
        <v>45436.347222222219</v>
      </c>
      <c r="B131" s="63" t="s">
        <v>670</v>
      </c>
      <c r="C131" s="63" t="s">
        <v>634</v>
      </c>
      <c r="D131" s="63" t="s">
        <v>635</v>
      </c>
      <c r="E131" s="117" t="s">
        <v>633</v>
      </c>
      <c r="F131" s="94" t="s">
        <v>636</v>
      </c>
      <c r="G131" s="63" t="s">
        <v>850</v>
      </c>
      <c r="H131" s="117">
        <v>22</v>
      </c>
      <c r="I131" s="155">
        <v>45437</v>
      </c>
      <c r="J131" s="63">
        <v>1</v>
      </c>
      <c r="K131" s="63" t="s">
        <v>697</v>
      </c>
      <c r="L131" s="63">
        <v>14</v>
      </c>
      <c r="M131" s="63"/>
      <c r="N131" s="63" t="s">
        <v>634</v>
      </c>
      <c r="O131" s="63" t="s">
        <v>635</v>
      </c>
      <c r="P131" s="63" t="s">
        <v>633</v>
      </c>
      <c r="Q131" s="63"/>
      <c r="S131" s="95">
        <v>22</v>
      </c>
      <c r="T131" s="95" t="str">
        <f t="shared" si="16"/>
        <v>Art, Music and Drinks at Courtauld Late - Featuring Exhibition of Frank Auerbach</v>
      </c>
      <c r="U131" s="96" t="e">
        <f t="shared" si="14"/>
        <v>#N/A</v>
      </c>
      <c r="V131" s="95" t="e">
        <f t="shared" si="17"/>
        <v>#N/A</v>
      </c>
      <c r="W131" s="95">
        <f t="shared" si="15"/>
        <v>0</v>
      </c>
      <c r="X131" s="95" t="s">
        <v>843</v>
      </c>
      <c r="Y131" s="95"/>
      <c r="Z131">
        <f>VLOOKUP(S131,Sessions!A:K,11,FALSE)</f>
        <v>1</v>
      </c>
    </row>
    <row r="132" spans="1:26" ht="16" x14ac:dyDescent="0.2">
      <c r="A132" s="92">
        <v>45436.349305555559</v>
      </c>
      <c r="B132" s="63" t="s">
        <v>670</v>
      </c>
      <c r="C132" s="63" t="s">
        <v>523</v>
      </c>
      <c r="D132" s="63" t="s">
        <v>524</v>
      </c>
      <c r="E132" s="117" t="s">
        <v>522</v>
      </c>
      <c r="F132" s="94" t="s">
        <v>525</v>
      </c>
      <c r="G132" s="63" t="s">
        <v>850</v>
      </c>
      <c r="H132" s="117">
        <v>22</v>
      </c>
      <c r="I132" s="155">
        <v>45437</v>
      </c>
      <c r="J132" s="63">
        <v>1</v>
      </c>
      <c r="K132" s="63" t="s">
        <v>697</v>
      </c>
      <c r="L132" s="63">
        <v>14</v>
      </c>
      <c r="M132" s="63"/>
      <c r="N132" s="63" t="s">
        <v>523</v>
      </c>
      <c r="O132" s="63" t="s">
        <v>524</v>
      </c>
      <c r="P132" s="63" t="s">
        <v>522</v>
      </c>
      <c r="Q132" s="63"/>
      <c r="S132" s="95">
        <v>22</v>
      </c>
      <c r="T132" s="95" t="str">
        <f t="shared" si="16"/>
        <v>Art, Music and Drinks at Courtauld Late - Featuring Exhibition of Frank Auerbach</v>
      </c>
      <c r="U132" s="96" t="e">
        <f t="shared" si="14"/>
        <v>#N/A</v>
      </c>
      <c r="V132" s="95" t="e">
        <f t="shared" si="17"/>
        <v>#N/A</v>
      </c>
      <c r="W132" s="95">
        <f t="shared" si="15"/>
        <v>0</v>
      </c>
      <c r="X132" s="95" t="s">
        <v>843</v>
      </c>
      <c r="Y132" s="95"/>
      <c r="Z132">
        <f>VLOOKUP(S132,Sessions!A:K,11,FALSE)</f>
        <v>1</v>
      </c>
    </row>
    <row r="133" spans="1:26" ht="16" x14ac:dyDescent="0.2">
      <c r="A133" s="92">
        <v>45436.349305555559</v>
      </c>
      <c r="B133" s="63" t="s">
        <v>670</v>
      </c>
      <c r="C133" s="63" t="s">
        <v>523</v>
      </c>
      <c r="D133" s="63" t="s">
        <v>524</v>
      </c>
      <c r="E133" s="127" t="s">
        <v>954</v>
      </c>
      <c r="F133" s="94" t="s">
        <v>525</v>
      </c>
      <c r="G133" s="63" t="s">
        <v>850</v>
      </c>
      <c r="H133" s="117">
        <v>22</v>
      </c>
      <c r="I133" s="155">
        <v>45437</v>
      </c>
      <c r="J133" s="63">
        <v>1</v>
      </c>
      <c r="K133" s="63" t="s">
        <v>697</v>
      </c>
      <c r="L133" s="63">
        <v>14</v>
      </c>
      <c r="M133" s="63"/>
      <c r="N133" s="63" t="s">
        <v>523</v>
      </c>
      <c r="O133" s="63" t="s">
        <v>524</v>
      </c>
      <c r="P133" s="20" t="s">
        <v>954</v>
      </c>
      <c r="Q133" s="63"/>
      <c r="S133" s="95">
        <v>22</v>
      </c>
      <c r="T133" s="95" t="str">
        <f t="shared" si="16"/>
        <v>Art, Music and Drinks at Courtauld Late - Featuring Exhibition of Frank Auerbach</v>
      </c>
      <c r="U133" s="96" t="e">
        <f t="shared" si="14"/>
        <v>#N/A</v>
      </c>
      <c r="V133" s="95" t="e">
        <f t="shared" si="17"/>
        <v>#N/A</v>
      </c>
      <c r="W133" s="95">
        <f t="shared" si="15"/>
        <v>0</v>
      </c>
      <c r="X133" s="95" t="s">
        <v>843</v>
      </c>
      <c r="Y133" s="95"/>
      <c r="Z133">
        <f>VLOOKUP(S133,Sessions!A:K,11,FALSE)</f>
        <v>1</v>
      </c>
    </row>
    <row r="134" spans="1:26" ht="16" x14ac:dyDescent="0.2">
      <c r="A134" s="92">
        <v>45436.350694444445</v>
      </c>
      <c r="B134" s="63" t="s">
        <v>670</v>
      </c>
      <c r="C134" s="63" t="s">
        <v>435</v>
      </c>
      <c r="D134" s="63" t="s">
        <v>436</v>
      </c>
      <c r="E134" s="117" t="s">
        <v>131</v>
      </c>
      <c r="F134" s="93">
        <v>447950000000</v>
      </c>
      <c r="G134" s="63" t="s">
        <v>850</v>
      </c>
      <c r="H134" s="117">
        <v>22</v>
      </c>
      <c r="I134" s="155">
        <v>45437</v>
      </c>
      <c r="J134" s="63">
        <v>1</v>
      </c>
      <c r="K134" s="63" t="s">
        <v>697</v>
      </c>
      <c r="L134" s="63">
        <v>14</v>
      </c>
      <c r="M134" s="63"/>
      <c r="N134" s="63" t="s">
        <v>435</v>
      </c>
      <c r="O134" s="63" t="s">
        <v>436</v>
      </c>
      <c r="P134" s="63" t="s">
        <v>131</v>
      </c>
      <c r="Q134" s="63"/>
      <c r="S134" s="95">
        <v>22</v>
      </c>
      <c r="T134" s="95" t="str">
        <f t="shared" si="16"/>
        <v>Art, Music and Drinks at Courtauld Late - Featuring Exhibition of Frank Auerbach</v>
      </c>
      <c r="U134" s="96" t="e">
        <f t="shared" si="14"/>
        <v>#N/A</v>
      </c>
      <c r="V134" s="95" t="e">
        <f t="shared" si="17"/>
        <v>#N/A</v>
      </c>
      <c r="W134" s="95">
        <f t="shared" si="15"/>
        <v>0</v>
      </c>
      <c r="X134" s="95" t="s">
        <v>852</v>
      </c>
      <c r="Y134" s="95"/>
      <c r="Z134">
        <f>VLOOKUP(S134,Sessions!A:K,11,FALSE)</f>
        <v>1</v>
      </c>
    </row>
    <row r="135" spans="1:26" ht="16" x14ac:dyDescent="0.2">
      <c r="A135" s="92">
        <v>45436.350694444445</v>
      </c>
      <c r="B135" s="63" t="s">
        <v>670</v>
      </c>
      <c r="C135" s="63" t="s">
        <v>266</v>
      </c>
      <c r="D135" s="63" t="s">
        <v>267</v>
      </c>
      <c r="E135" s="117" t="s">
        <v>131</v>
      </c>
      <c r="F135" s="93">
        <v>447950000000</v>
      </c>
      <c r="G135" s="63" t="s">
        <v>850</v>
      </c>
      <c r="H135" s="117">
        <v>22</v>
      </c>
      <c r="I135" s="155">
        <v>45437</v>
      </c>
      <c r="J135" s="63">
        <v>1</v>
      </c>
      <c r="K135" s="63" t="s">
        <v>697</v>
      </c>
      <c r="L135" s="63">
        <v>0</v>
      </c>
      <c r="M135" s="63"/>
      <c r="N135" s="63" t="s">
        <v>266</v>
      </c>
      <c r="O135" s="63" t="s">
        <v>267</v>
      </c>
      <c r="P135" s="63" t="s">
        <v>131</v>
      </c>
      <c r="Q135" s="63"/>
      <c r="S135" s="95">
        <v>22</v>
      </c>
      <c r="T135" s="95" t="str">
        <f t="shared" si="16"/>
        <v>Art, Music and Drinks at Courtauld Late - Featuring Exhibition of Frank Auerbach</v>
      </c>
      <c r="U135" s="96" t="e">
        <f t="shared" si="14"/>
        <v>#N/A</v>
      </c>
      <c r="V135" s="95" t="e">
        <f t="shared" ref="V135" si="18">MONTH(U135)</f>
        <v>#N/A</v>
      </c>
      <c r="W135" s="95">
        <f t="shared" ref="W135" si="19">Q135</f>
        <v>0</v>
      </c>
      <c r="X135" s="95" t="s">
        <v>843</v>
      </c>
      <c r="Y135" s="95"/>
      <c r="Z135">
        <f>VLOOKUP(S135,Sessions!A:K,11,FALSE)</f>
        <v>1</v>
      </c>
    </row>
    <row r="136" spans="1:26" ht="17" x14ac:dyDescent="0.2">
      <c r="B136" s="9" t="s">
        <v>670</v>
      </c>
      <c r="C136" s="63" t="s">
        <v>205</v>
      </c>
      <c r="D136" s="108" t="s">
        <v>206</v>
      </c>
      <c r="E136" s="125" t="s">
        <v>115</v>
      </c>
      <c r="G136" t="s">
        <v>412</v>
      </c>
      <c r="H136" s="114">
        <v>20</v>
      </c>
      <c r="I136" s="155">
        <v>45434</v>
      </c>
      <c r="J136" s="17">
        <v>1</v>
      </c>
      <c r="L136" s="17">
        <v>0</v>
      </c>
      <c r="N136" s="17" t="str">
        <f>C136</f>
        <v>Lucy</v>
      </c>
      <c r="P136" s="17" t="str">
        <f>E136</f>
        <v>lucyzhou2@hotmail.com</v>
      </c>
      <c r="S136" s="95">
        <v>20</v>
      </c>
      <c r="T136" s="95" t="str">
        <f t="shared" si="16"/>
        <v>Thomas Cameron  Studio + Shay Dinner</v>
      </c>
      <c r="U136" s="96" t="e">
        <f t="shared" si="14"/>
        <v>#N/A</v>
      </c>
      <c r="V136" s="95" t="e">
        <f t="shared" si="17"/>
        <v>#N/A</v>
      </c>
      <c r="W136" s="95">
        <f t="shared" ref="W136:W197" si="20">Q136</f>
        <v>0</v>
      </c>
      <c r="X136" s="95" t="s">
        <v>843</v>
      </c>
      <c r="Y136" s="95"/>
      <c r="Z136">
        <f>VLOOKUP(S136,Sessions!A:K,11,FALSE)</f>
        <v>1</v>
      </c>
    </row>
    <row r="137" spans="1:26" ht="16" x14ac:dyDescent="0.2">
      <c r="B137" s="9" t="s">
        <v>670</v>
      </c>
      <c r="C137" s="63" t="s">
        <v>190</v>
      </c>
      <c r="D137" s="9" t="s">
        <v>191</v>
      </c>
      <c r="E137" s="115" t="s">
        <v>132</v>
      </c>
      <c r="G137" t="s">
        <v>412</v>
      </c>
      <c r="H137" s="114">
        <v>20</v>
      </c>
      <c r="I137" s="155">
        <v>45434</v>
      </c>
      <c r="J137" s="17">
        <v>1</v>
      </c>
      <c r="L137" s="17">
        <v>0</v>
      </c>
      <c r="N137" s="17" t="str">
        <f t="shared" ref="N137:N140" si="21">C137</f>
        <v>Shay</v>
      </c>
      <c r="P137" s="17" t="str">
        <f t="shared" ref="P137:P140" si="22">E137</f>
        <v>shaysteele2017@gmail.com</v>
      </c>
      <c r="S137" s="95">
        <v>20</v>
      </c>
      <c r="T137" s="95" t="str">
        <f t="shared" si="16"/>
        <v>Thomas Cameron  Studio + Shay Dinner</v>
      </c>
      <c r="U137" s="96" t="e">
        <f t="shared" si="14"/>
        <v>#N/A</v>
      </c>
      <c r="V137" s="95" t="e">
        <f t="shared" si="17"/>
        <v>#N/A</v>
      </c>
      <c r="W137" s="95">
        <f t="shared" si="20"/>
        <v>0</v>
      </c>
      <c r="X137" s="95" t="s">
        <v>843</v>
      </c>
      <c r="Y137" s="95"/>
      <c r="Z137">
        <f>VLOOKUP(S137,Sessions!A:K,11,FALSE)</f>
        <v>1</v>
      </c>
    </row>
    <row r="138" spans="1:26" ht="16" x14ac:dyDescent="0.2">
      <c r="B138" s="9" t="s">
        <v>670</v>
      </c>
      <c r="C138" s="63" t="s">
        <v>198</v>
      </c>
      <c r="D138" s="9" t="s">
        <v>199</v>
      </c>
      <c r="E138" s="114" t="s">
        <v>122</v>
      </c>
      <c r="G138" t="s">
        <v>412</v>
      </c>
      <c r="H138" s="114">
        <v>20</v>
      </c>
      <c r="I138" s="155">
        <v>45434</v>
      </c>
      <c r="J138" s="17">
        <v>1</v>
      </c>
      <c r="L138" s="17">
        <v>0</v>
      </c>
      <c r="N138" s="17" t="str">
        <f t="shared" si="21"/>
        <v>Aidana</v>
      </c>
      <c r="P138" s="17" t="str">
        <f t="shared" si="22"/>
        <v>aidanakassymova@gmail.com</v>
      </c>
      <c r="S138" s="95">
        <v>20</v>
      </c>
      <c r="T138" s="95" t="str">
        <f t="shared" si="16"/>
        <v>Thomas Cameron  Studio + Shay Dinner</v>
      </c>
      <c r="U138" s="96" t="e">
        <f t="shared" si="14"/>
        <v>#N/A</v>
      </c>
      <c r="V138" s="95" t="e">
        <f t="shared" si="17"/>
        <v>#N/A</v>
      </c>
      <c r="W138" s="95">
        <f t="shared" si="20"/>
        <v>0</v>
      </c>
      <c r="X138" s="95" t="s">
        <v>843</v>
      </c>
      <c r="Y138" s="95"/>
      <c r="Z138">
        <f>VLOOKUP(S138,Sessions!A:K,11,FALSE)</f>
        <v>1</v>
      </c>
    </row>
    <row r="139" spans="1:26" ht="16" x14ac:dyDescent="0.2">
      <c r="B139" s="9" t="s">
        <v>670</v>
      </c>
      <c r="C139" s="9" t="s">
        <v>277</v>
      </c>
      <c r="D139" s="9" t="s">
        <v>278</v>
      </c>
      <c r="E139" s="115" t="s">
        <v>175</v>
      </c>
      <c r="G139" t="s">
        <v>412</v>
      </c>
      <c r="H139" s="114">
        <v>20</v>
      </c>
      <c r="I139" s="155">
        <v>45434</v>
      </c>
      <c r="J139" s="17">
        <v>1</v>
      </c>
      <c r="L139" s="17">
        <v>0</v>
      </c>
      <c r="N139" s="17" t="str">
        <f t="shared" si="21"/>
        <v>Matthew</v>
      </c>
      <c r="P139" s="17" t="str">
        <f t="shared" si="22"/>
        <v>maestromattheww@yahoo.co.uk</v>
      </c>
      <c r="S139" s="95">
        <v>20</v>
      </c>
      <c r="T139" s="95" t="str">
        <f t="shared" si="16"/>
        <v>Thomas Cameron  Studio + Shay Dinner</v>
      </c>
      <c r="U139" s="96" t="e">
        <f t="shared" si="14"/>
        <v>#N/A</v>
      </c>
      <c r="V139" s="95" t="e">
        <f t="shared" si="17"/>
        <v>#N/A</v>
      </c>
      <c r="W139" s="95">
        <f t="shared" si="20"/>
        <v>0</v>
      </c>
      <c r="X139" s="95" t="s">
        <v>843</v>
      </c>
      <c r="Y139" s="95"/>
      <c r="Z139">
        <f>VLOOKUP(S139,Sessions!A:K,11,FALSE)</f>
        <v>1</v>
      </c>
    </row>
    <row r="140" spans="1:26" ht="16" x14ac:dyDescent="0.2">
      <c r="B140" s="9" t="s">
        <v>670</v>
      </c>
      <c r="C140" s="9" t="s">
        <v>213</v>
      </c>
      <c r="D140" s="9" t="s">
        <v>214</v>
      </c>
      <c r="E140" s="115" t="s">
        <v>121</v>
      </c>
      <c r="G140" t="s">
        <v>412</v>
      </c>
      <c r="H140" s="114">
        <v>20</v>
      </c>
      <c r="I140" s="155">
        <v>45434</v>
      </c>
      <c r="J140" s="17">
        <v>1</v>
      </c>
      <c r="L140" s="17">
        <v>0</v>
      </c>
      <c r="N140" s="17" t="str">
        <f t="shared" si="21"/>
        <v>Sara</v>
      </c>
      <c r="P140" s="17" t="str">
        <f t="shared" si="22"/>
        <v>khan.saretta@gmail.com</v>
      </c>
      <c r="S140" s="95">
        <v>20</v>
      </c>
      <c r="T140" s="95" t="str">
        <f t="shared" si="16"/>
        <v>Thomas Cameron  Studio + Shay Dinner</v>
      </c>
      <c r="U140" s="96" t="e">
        <f t="shared" si="14"/>
        <v>#N/A</v>
      </c>
      <c r="V140" s="95" t="e">
        <f t="shared" si="17"/>
        <v>#N/A</v>
      </c>
      <c r="W140" s="95">
        <f t="shared" si="20"/>
        <v>0</v>
      </c>
      <c r="X140" s="95" t="s">
        <v>843</v>
      </c>
      <c r="Y140" s="95"/>
      <c r="Z140">
        <f>VLOOKUP(S140,Sessions!A:K,11,FALSE)</f>
        <v>1</v>
      </c>
    </row>
    <row r="141" spans="1:26" ht="16" x14ac:dyDescent="0.2">
      <c r="A141" s="77">
        <v>45435.336805555555</v>
      </c>
      <c r="B141" s="76" t="s">
        <v>670</v>
      </c>
      <c r="C141" s="76" t="s">
        <v>200</v>
      </c>
      <c r="D141" s="76" t="s">
        <v>201</v>
      </c>
      <c r="E141" s="128" t="s">
        <v>119</v>
      </c>
      <c r="F141" s="79" t="s">
        <v>853</v>
      </c>
      <c r="G141" s="76" t="s">
        <v>854</v>
      </c>
      <c r="H141" s="114">
        <v>16</v>
      </c>
      <c r="I141" s="156">
        <v>45437</v>
      </c>
      <c r="J141" s="76">
        <v>1</v>
      </c>
      <c r="K141" s="76" t="s">
        <v>697</v>
      </c>
      <c r="L141" s="76">
        <v>15</v>
      </c>
      <c r="M141" s="76"/>
      <c r="N141" s="76" t="s">
        <v>200</v>
      </c>
      <c r="O141" s="76" t="s">
        <v>201</v>
      </c>
      <c r="P141" s="76" t="s">
        <v>119</v>
      </c>
      <c r="Q141" s="76"/>
      <c r="R141" s="76" t="s">
        <v>673</v>
      </c>
      <c r="S141" s="95">
        <v>16</v>
      </c>
      <c r="T141" s="95" t="str">
        <f t="shared" si="16"/>
        <v>[Hidden Gem] Art Gallery Stroll in Fitzrovia</v>
      </c>
      <c r="U141" s="96">
        <v>45437</v>
      </c>
      <c r="V141" s="95">
        <f t="shared" si="17"/>
        <v>5</v>
      </c>
      <c r="W141" s="95">
        <f t="shared" si="20"/>
        <v>0</v>
      </c>
      <c r="X141" s="95" t="s">
        <v>843</v>
      </c>
      <c r="Y141" s="95"/>
      <c r="Z141">
        <f>VLOOKUP(S141,Sessions!A:K,11,FALSE)</f>
        <v>4</v>
      </c>
    </row>
    <row r="142" spans="1:26" ht="16" x14ac:dyDescent="0.2">
      <c r="A142" s="77">
        <v>45435.339583333334</v>
      </c>
      <c r="B142" s="76" t="s">
        <v>670</v>
      </c>
      <c r="C142" s="76" t="s">
        <v>195</v>
      </c>
      <c r="D142" s="76" t="s">
        <v>196</v>
      </c>
      <c r="E142" s="128" t="s">
        <v>157</v>
      </c>
      <c r="F142" s="79" t="s">
        <v>855</v>
      </c>
      <c r="G142" s="76" t="s">
        <v>854</v>
      </c>
      <c r="H142" s="114">
        <v>16</v>
      </c>
      <c r="I142" s="156">
        <v>45437</v>
      </c>
      <c r="J142" s="76">
        <v>1</v>
      </c>
      <c r="K142" s="76" t="s">
        <v>697</v>
      </c>
      <c r="L142" s="76">
        <v>15</v>
      </c>
      <c r="M142" s="76"/>
      <c r="N142" s="76" t="s">
        <v>195</v>
      </c>
      <c r="O142" s="76" t="s">
        <v>196</v>
      </c>
      <c r="P142" s="76" t="s">
        <v>157</v>
      </c>
      <c r="Q142" s="76"/>
      <c r="R142" s="76" t="s">
        <v>673</v>
      </c>
      <c r="S142" s="95">
        <v>16</v>
      </c>
      <c r="T142" s="95" t="str">
        <f t="shared" si="16"/>
        <v>[Hidden Gem] Art Gallery Stroll in Fitzrovia</v>
      </c>
      <c r="U142" s="96">
        <v>45437</v>
      </c>
      <c r="V142" s="95">
        <f t="shared" si="17"/>
        <v>5</v>
      </c>
      <c r="W142" s="95">
        <f t="shared" si="20"/>
        <v>0</v>
      </c>
      <c r="X142" s="95" t="s">
        <v>843</v>
      </c>
      <c r="Y142" s="95"/>
      <c r="Z142">
        <f>VLOOKUP(S142,Sessions!A:K,11,FALSE)</f>
        <v>4</v>
      </c>
    </row>
    <row r="143" spans="1:26" ht="16" x14ac:dyDescent="0.2">
      <c r="A143" s="77">
        <v>45435.345138888886</v>
      </c>
      <c r="B143" s="76" t="s">
        <v>670</v>
      </c>
      <c r="C143" s="76" t="s">
        <v>226</v>
      </c>
      <c r="D143" s="76" t="s">
        <v>227</v>
      </c>
      <c r="E143" s="128" t="s">
        <v>165</v>
      </c>
      <c r="F143" s="79" t="s">
        <v>856</v>
      </c>
      <c r="G143" s="76" t="s">
        <v>854</v>
      </c>
      <c r="H143" s="114">
        <v>16</v>
      </c>
      <c r="I143" s="156">
        <v>45437</v>
      </c>
      <c r="J143" s="76">
        <v>1</v>
      </c>
      <c r="K143" s="76" t="s">
        <v>697</v>
      </c>
      <c r="L143" s="76">
        <v>15</v>
      </c>
      <c r="M143" s="76"/>
      <c r="N143" s="76" t="s">
        <v>226</v>
      </c>
      <c r="O143" s="76" t="s">
        <v>227</v>
      </c>
      <c r="P143" s="76" t="s">
        <v>165</v>
      </c>
      <c r="Q143" s="76"/>
      <c r="R143" s="76" t="s">
        <v>673</v>
      </c>
      <c r="S143" s="95">
        <v>16</v>
      </c>
      <c r="T143" s="95" t="str">
        <f t="shared" si="16"/>
        <v>[Hidden Gem] Art Gallery Stroll in Fitzrovia</v>
      </c>
      <c r="U143" s="96">
        <v>45437</v>
      </c>
      <c r="V143" s="95">
        <f t="shared" si="17"/>
        <v>5</v>
      </c>
      <c r="W143" s="95">
        <f t="shared" si="20"/>
        <v>0</v>
      </c>
      <c r="X143" s="95" t="s">
        <v>843</v>
      </c>
      <c r="Y143" s="95"/>
      <c r="Z143">
        <f>VLOOKUP(S143,Sessions!A:K,11,FALSE)</f>
        <v>4</v>
      </c>
    </row>
    <row r="144" spans="1:26" ht="16" x14ac:dyDescent="0.2">
      <c r="A144" s="77">
        <v>45436.277777777781</v>
      </c>
      <c r="B144" s="76" t="s">
        <v>670</v>
      </c>
      <c r="C144" s="76" t="s">
        <v>259</v>
      </c>
      <c r="D144" s="76" t="s">
        <v>260</v>
      </c>
      <c r="E144" s="128" t="s">
        <v>161</v>
      </c>
      <c r="F144" s="79" t="s">
        <v>589</v>
      </c>
      <c r="G144" s="76" t="s">
        <v>854</v>
      </c>
      <c r="H144" s="114">
        <v>16</v>
      </c>
      <c r="I144" s="156">
        <v>45437</v>
      </c>
      <c r="J144" s="76">
        <v>1</v>
      </c>
      <c r="K144" s="76" t="s">
        <v>697</v>
      </c>
      <c r="L144" s="76">
        <v>15</v>
      </c>
      <c r="M144" s="76"/>
      <c r="N144" s="76" t="s">
        <v>259</v>
      </c>
      <c r="O144" s="76" t="s">
        <v>260</v>
      </c>
      <c r="P144" s="76" t="s">
        <v>161</v>
      </c>
      <c r="Q144" s="76"/>
      <c r="R144" s="76" t="s">
        <v>673</v>
      </c>
      <c r="S144" s="95">
        <v>16</v>
      </c>
      <c r="T144" s="95" t="str">
        <f t="shared" si="16"/>
        <v>[Hidden Gem] Art Gallery Stroll in Fitzrovia</v>
      </c>
      <c r="U144" s="96">
        <v>45437</v>
      </c>
      <c r="V144" s="95">
        <f t="shared" si="17"/>
        <v>5</v>
      </c>
      <c r="W144" s="95">
        <f t="shared" si="20"/>
        <v>0</v>
      </c>
      <c r="X144" s="95" t="s">
        <v>843</v>
      </c>
      <c r="Y144" s="95"/>
      <c r="Z144">
        <f>VLOOKUP(S144,Sessions!A:K,11,FALSE)</f>
        <v>4</v>
      </c>
    </row>
    <row r="145" spans="1:26" ht="16" x14ac:dyDescent="0.2">
      <c r="A145" s="77">
        <v>45436.780555555553</v>
      </c>
      <c r="B145" s="76" t="s">
        <v>670</v>
      </c>
      <c r="C145" s="76" t="s">
        <v>287</v>
      </c>
      <c r="D145" s="76" t="s">
        <v>615</v>
      </c>
      <c r="E145" s="128" t="s">
        <v>614</v>
      </c>
      <c r="F145" s="79" t="s">
        <v>857</v>
      </c>
      <c r="G145" s="76" t="s">
        <v>854</v>
      </c>
      <c r="H145" s="114">
        <v>16</v>
      </c>
      <c r="I145" s="156">
        <v>45437</v>
      </c>
      <c r="J145" s="76">
        <v>1</v>
      </c>
      <c r="K145" s="76" t="s">
        <v>697</v>
      </c>
      <c r="L145" s="76">
        <v>15</v>
      </c>
      <c r="M145" s="76"/>
      <c r="N145" s="76" t="s">
        <v>287</v>
      </c>
      <c r="O145" s="76" t="s">
        <v>615</v>
      </c>
      <c r="P145" s="76" t="s">
        <v>614</v>
      </c>
      <c r="Q145" s="76" t="s">
        <v>858</v>
      </c>
      <c r="R145" s="76" t="s">
        <v>673</v>
      </c>
      <c r="S145" s="95">
        <v>16</v>
      </c>
      <c r="T145" s="95" t="str">
        <f t="shared" si="16"/>
        <v>[Hidden Gem] Art Gallery Stroll in Fitzrovia</v>
      </c>
      <c r="U145" s="96">
        <v>45437</v>
      </c>
      <c r="V145" s="95">
        <f t="shared" si="17"/>
        <v>5</v>
      </c>
      <c r="W145" s="95" t="str">
        <f t="shared" si="20"/>
        <v>erelexpmlt</v>
      </c>
      <c r="X145" s="95" t="s">
        <v>848</v>
      </c>
      <c r="Y145" s="95"/>
      <c r="Z145">
        <f>VLOOKUP(S145,Sessions!A:K,11,FALSE)</f>
        <v>4</v>
      </c>
    </row>
    <row r="146" spans="1:26" ht="16" x14ac:dyDescent="0.2">
      <c r="A146" s="77">
        <v>45437.212500000001</v>
      </c>
      <c r="B146" s="76" t="s">
        <v>670</v>
      </c>
      <c r="C146" s="76" t="s">
        <v>859</v>
      </c>
      <c r="D146" s="76" t="s">
        <v>222</v>
      </c>
      <c r="E146" s="128" t="s">
        <v>560</v>
      </c>
      <c r="G146" s="76" t="s">
        <v>854</v>
      </c>
      <c r="H146" s="114">
        <v>16</v>
      </c>
      <c r="I146" s="156">
        <v>45437</v>
      </c>
      <c r="J146" s="76">
        <v>1</v>
      </c>
      <c r="K146" s="76" t="s">
        <v>697</v>
      </c>
      <c r="L146" s="76">
        <v>15</v>
      </c>
      <c r="M146" s="76"/>
      <c r="N146" s="76" t="s">
        <v>859</v>
      </c>
      <c r="O146" s="76" t="s">
        <v>222</v>
      </c>
      <c r="P146" s="76" t="s">
        <v>560</v>
      </c>
      <c r="Q146" s="76"/>
      <c r="R146" s="76" t="s">
        <v>673</v>
      </c>
      <c r="S146" s="95">
        <v>16</v>
      </c>
      <c r="T146" s="95" t="str">
        <f t="shared" si="16"/>
        <v>[Hidden Gem] Art Gallery Stroll in Fitzrovia</v>
      </c>
      <c r="U146" s="96">
        <v>45437</v>
      </c>
      <c r="V146" s="95">
        <f t="shared" si="17"/>
        <v>5</v>
      </c>
      <c r="W146" s="95">
        <f t="shared" si="20"/>
        <v>0</v>
      </c>
      <c r="X146" s="95" t="s">
        <v>843</v>
      </c>
      <c r="Y146" s="95"/>
      <c r="Z146">
        <f>VLOOKUP(S146,Sessions!A:K,11,FALSE)</f>
        <v>4</v>
      </c>
    </row>
    <row r="147" spans="1:26" ht="16" x14ac:dyDescent="0.2">
      <c r="A147" s="77">
        <v>45437.337500000001</v>
      </c>
      <c r="B147" s="76" t="s">
        <v>670</v>
      </c>
      <c r="C147" s="76" t="s">
        <v>271</v>
      </c>
      <c r="D147" s="76" t="s">
        <v>272</v>
      </c>
      <c r="E147" s="128" t="s">
        <v>163</v>
      </c>
      <c r="F147" s="79" t="s">
        <v>485</v>
      </c>
      <c r="G147" s="76" t="s">
        <v>854</v>
      </c>
      <c r="H147" s="114">
        <v>16</v>
      </c>
      <c r="I147" s="156">
        <v>45437</v>
      </c>
      <c r="J147" s="76">
        <v>1</v>
      </c>
      <c r="K147" s="76" t="s">
        <v>697</v>
      </c>
      <c r="L147" s="76">
        <v>15</v>
      </c>
      <c r="M147" s="76"/>
      <c r="N147" s="76" t="s">
        <v>271</v>
      </c>
      <c r="O147" s="76" t="s">
        <v>272</v>
      </c>
      <c r="P147" s="76" t="s">
        <v>163</v>
      </c>
      <c r="Q147" s="76"/>
      <c r="R147" s="76" t="s">
        <v>673</v>
      </c>
      <c r="S147" s="95">
        <v>16</v>
      </c>
      <c r="T147" s="95" t="str">
        <f t="shared" si="16"/>
        <v>[Hidden Gem] Art Gallery Stroll in Fitzrovia</v>
      </c>
      <c r="U147" s="96">
        <v>45437</v>
      </c>
      <c r="V147" s="95">
        <f t="shared" si="17"/>
        <v>5</v>
      </c>
      <c r="W147" s="95">
        <f t="shared" si="20"/>
        <v>0</v>
      </c>
      <c r="X147" s="95" t="s">
        <v>843</v>
      </c>
      <c r="Y147" s="95"/>
      <c r="Z147">
        <f>VLOOKUP(S147,Sessions!A:K,11,FALSE)</f>
        <v>4</v>
      </c>
    </row>
    <row r="148" spans="1:26" ht="16" x14ac:dyDescent="0.2">
      <c r="A148" s="111">
        <v>45435.726388888892</v>
      </c>
      <c r="B148" s="110" t="s">
        <v>670</v>
      </c>
      <c r="C148" s="110" t="s">
        <v>527</v>
      </c>
      <c r="D148" s="110" t="s">
        <v>528</v>
      </c>
      <c r="E148" s="118" t="s">
        <v>526</v>
      </c>
      <c r="F148" s="110">
        <v>7841262698</v>
      </c>
      <c r="G148" s="110" t="s">
        <v>842</v>
      </c>
      <c r="H148" s="118">
        <v>16</v>
      </c>
      <c r="I148" s="157">
        <v>45437</v>
      </c>
      <c r="J148" s="110">
        <v>1</v>
      </c>
      <c r="K148" s="110" t="s">
        <v>697</v>
      </c>
      <c r="L148" s="110">
        <v>15</v>
      </c>
      <c r="M148" s="110"/>
      <c r="N148" s="110" t="s">
        <v>527</v>
      </c>
      <c r="O148" s="110" t="s">
        <v>528</v>
      </c>
      <c r="P148" s="110" t="s">
        <v>526</v>
      </c>
      <c r="Q148" s="110" t="s">
        <v>829</v>
      </c>
      <c r="R148" s="110" t="s">
        <v>673</v>
      </c>
      <c r="S148" s="95">
        <v>16</v>
      </c>
      <c r="T148" s="95" t="str">
        <f t="shared" si="16"/>
        <v>Hidden Gem Saturday Art Strolls with Nimi</v>
      </c>
      <c r="U148" s="96">
        <v>45437</v>
      </c>
      <c r="V148" s="95">
        <f t="shared" si="17"/>
        <v>5</v>
      </c>
      <c r="W148" s="95" t="str">
        <f t="shared" si="20"/>
        <v>ebdssbdestsearch</v>
      </c>
      <c r="X148" s="95" t="s">
        <v>848</v>
      </c>
      <c r="Y148" s="95"/>
      <c r="Z148">
        <f>VLOOKUP(S148,Sessions!A:K,11,FALSE)</f>
        <v>4</v>
      </c>
    </row>
    <row r="149" spans="1:26" ht="16" x14ac:dyDescent="0.2">
      <c r="A149" s="111">
        <v>45436.425694444442</v>
      </c>
      <c r="B149" s="110" t="s">
        <v>670</v>
      </c>
      <c r="C149" s="110" t="s">
        <v>200</v>
      </c>
      <c r="D149" s="110" t="s">
        <v>201</v>
      </c>
      <c r="E149" s="118" t="s">
        <v>119</v>
      </c>
      <c r="F149" s="110">
        <v>7476276978</v>
      </c>
      <c r="G149" s="110" t="s">
        <v>860</v>
      </c>
      <c r="H149" s="119">
        <v>17</v>
      </c>
      <c r="I149" s="157">
        <v>45438</v>
      </c>
      <c r="J149" s="110">
        <v>1</v>
      </c>
      <c r="K149" s="110" t="s">
        <v>691</v>
      </c>
      <c r="L149" s="110">
        <v>14</v>
      </c>
      <c r="M149" s="110"/>
      <c r="N149" s="110" t="s">
        <v>200</v>
      </c>
      <c r="O149" s="110" t="s">
        <v>201</v>
      </c>
      <c r="P149" s="198" t="s">
        <v>119</v>
      </c>
      <c r="Q149" s="198"/>
      <c r="R149" s="110" t="s">
        <v>673</v>
      </c>
      <c r="S149" s="95">
        <v>22</v>
      </c>
      <c r="T149" s="95" t="str">
        <f t="shared" si="16"/>
        <v>Art Exhibition: Impressionism and Frank Auerbach at Somerset House</v>
      </c>
      <c r="U149" s="96">
        <v>45438</v>
      </c>
      <c r="V149" s="95">
        <f t="shared" si="17"/>
        <v>5</v>
      </c>
      <c r="W149" s="95">
        <f t="shared" si="20"/>
        <v>0</v>
      </c>
      <c r="X149" s="95" t="s">
        <v>843</v>
      </c>
      <c r="Y149" s="95"/>
      <c r="Z149">
        <f>VLOOKUP(S149,Sessions!A:K,11,FALSE)</f>
        <v>1</v>
      </c>
    </row>
    <row r="150" spans="1:26" ht="16" x14ac:dyDescent="0.2">
      <c r="A150" s="111">
        <v>45437.245138888888</v>
      </c>
      <c r="B150" s="110" t="s">
        <v>670</v>
      </c>
      <c r="C150" s="110" t="s">
        <v>453</v>
      </c>
      <c r="D150" s="110" t="s">
        <v>225</v>
      </c>
      <c r="E150" s="118" t="s">
        <v>452</v>
      </c>
      <c r="F150" s="110">
        <v>7730398818</v>
      </c>
      <c r="G150" s="110" t="s">
        <v>842</v>
      </c>
      <c r="H150" s="118">
        <v>16</v>
      </c>
      <c r="I150" s="157">
        <v>45437</v>
      </c>
      <c r="J150" s="110">
        <v>1</v>
      </c>
      <c r="K150" s="110" t="s">
        <v>697</v>
      </c>
      <c r="L150" s="110">
        <v>15</v>
      </c>
      <c r="M150" s="110"/>
      <c r="N150" s="110" t="s">
        <v>453</v>
      </c>
      <c r="O150" s="110" t="s">
        <v>528</v>
      </c>
      <c r="P150" s="110" t="s">
        <v>452</v>
      </c>
      <c r="Q150" s="110" t="s">
        <v>791</v>
      </c>
      <c r="R150" s="110" t="s">
        <v>673</v>
      </c>
      <c r="S150" s="95">
        <v>16</v>
      </c>
      <c r="T150" s="95" t="str">
        <f t="shared" si="16"/>
        <v>Hidden Gem Saturday Art Strolls with Nimi</v>
      </c>
      <c r="U150" s="96">
        <v>45437</v>
      </c>
      <c r="V150" s="95">
        <f t="shared" si="17"/>
        <v>5</v>
      </c>
      <c r="W150" s="95" t="str">
        <f t="shared" si="20"/>
        <v>ebesessearch</v>
      </c>
      <c r="X150" s="95" t="s">
        <v>843</v>
      </c>
      <c r="Y150" s="95"/>
      <c r="Z150">
        <f>VLOOKUP(S150,Sessions!A:K,11,FALSE)</f>
        <v>4</v>
      </c>
    </row>
    <row r="151" spans="1:26" ht="16" x14ac:dyDescent="0.2">
      <c r="A151" s="111">
        <v>45436.425694444442</v>
      </c>
      <c r="B151" s="110" t="s">
        <v>670</v>
      </c>
      <c r="C151" s="110" t="s">
        <v>469</v>
      </c>
      <c r="D151" s="110" t="s">
        <v>470</v>
      </c>
      <c r="E151" s="127" t="s">
        <v>468</v>
      </c>
      <c r="F151" s="110">
        <v>7476276978</v>
      </c>
      <c r="G151" s="110" t="s">
        <v>860</v>
      </c>
      <c r="H151" s="118">
        <v>17</v>
      </c>
      <c r="I151" s="157">
        <v>45438</v>
      </c>
      <c r="J151" s="110">
        <v>1</v>
      </c>
      <c r="K151" s="110" t="s">
        <v>691</v>
      </c>
      <c r="L151" s="110">
        <v>14</v>
      </c>
      <c r="M151" s="110"/>
      <c r="N151" s="110" t="s">
        <v>200</v>
      </c>
      <c r="O151" s="110" t="s">
        <v>201</v>
      </c>
      <c r="P151" s="198" t="s">
        <v>119</v>
      </c>
      <c r="Q151" s="198"/>
      <c r="R151" s="110" t="s">
        <v>673</v>
      </c>
      <c r="S151" s="95">
        <v>22</v>
      </c>
      <c r="T151" s="95" t="str">
        <f t="shared" si="16"/>
        <v>Art Exhibition: Impressionism and Frank Auerbach at Somerset House</v>
      </c>
      <c r="U151" s="96">
        <v>45438</v>
      </c>
      <c r="V151" s="95">
        <f t="shared" ref="V151" si="23">MONTH(U151)</f>
        <v>5</v>
      </c>
      <c r="W151" s="95">
        <f t="shared" ref="W151" si="24">Q151</f>
        <v>0</v>
      </c>
      <c r="X151" s="95" t="s">
        <v>843</v>
      </c>
      <c r="Y151" s="95"/>
      <c r="Z151">
        <f>VLOOKUP(S151,Sessions!A:K,11,FALSE)</f>
        <v>1</v>
      </c>
    </row>
    <row r="152" spans="1:26" ht="16" x14ac:dyDescent="0.2">
      <c r="A152" s="111">
        <v>45440.533333333333</v>
      </c>
      <c r="B152" s="110" t="s">
        <v>670</v>
      </c>
      <c r="C152" s="110" t="s">
        <v>555</v>
      </c>
      <c r="D152" s="110" t="s">
        <v>556</v>
      </c>
      <c r="E152" s="118" t="s">
        <v>554</v>
      </c>
      <c r="F152" s="110">
        <v>447551038700</v>
      </c>
      <c r="G152" s="110" t="s">
        <v>861</v>
      </c>
      <c r="H152" s="95">
        <v>23</v>
      </c>
      <c r="I152" s="157">
        <v>45442</v>
      </c>
      <c r="J152" s="110">
        <v>1</v>
      </c>
      <c r="K152" s="110" t="s">
        <v>862</v>
      </c>
      <c r="L152" s="110">
        <v>0</v>
      </c>
      <c r="M152" s="110"/>
      <c r="N152" s="110" t="s">
        <v>555</v>
      </c>
      <c r="O152" s="110" t="s">
        <v>556</v>
      </c>
      <c r="P152" s="198" t="s">
        <v>554</v>
      </c>
      <c r="Q152" s="198"/>
      <c r="R152" s="110" t="s">
        <v>673</v>
      </c>
      <c r="S152" s="95">
        <v>23</v>
      </c>
      <c r="T152" s="95" t="str">
        <f t="shared" si="16"/>
        <v>Art Gallery Preview: Heloisa Hariadne @ Twani</v>
      </c>
      <c r="U152" s="96">
        <f t="shared" ref="U152:U183" si="25">I152</f>
        <v>45442</v>
      </c>
      <c r="V152" s="95">
        <f t="shared" si="17"/>
        <v>5</v>
      </c>
      <c r="W152" s="95">
        <f t="shared" si="20"/>
        <v>0</v>
      </c>
      <c r="X152" s="95" t="s">
        <v>852</v>
      </c>
      <c r="Y152" s="18" t="s">
        <v>120</v>
      </c>
      <c r="Z152">
        <f>VLOOKUP(S152,Sessions!A:K,11,FALSE)</f>
        <v>1</v>
      </c>
    </row>
    <row r="153" spans="1:26" ht="16" x14ac:dyDescent="0.2">
      <c r="A153" s="111">
        <v>45440.53402777778</v>
      </c>
      <c r="B153" s="110" t="s">
        <v>670</v>
      </c>
      <c r="C153" s="110" t="s">
        <v>203</v>
      </c>
      <c r="D153" s="110" t="s">
        <v>204</v>
      </c>
      <c r="E153" s="118" t="s">
        <v>120</v>
      </c>
      <c r="F153" s="130" t="s">
        <v>841</v>
      </c>
      <c r="G153" s="110" t="s">
        <v>861</v>
      </c>
      <c r="H153" s="95">
        <v>23</v>
      </c>
      <c r="I153" s="157">
        <v>45442</v>
      </c>
      <c r="J153" s="110">
        <v>1</v>
      </c>
      <c r="K153" s="110" t="s">
        <v>862</v>
      </c>
      <c r="L153" s="110">
        <v>0</v>
      </c>
      <c r="M153" s="110"/>
      <c r="N153" s="110" t="s">
        <v>203</v>
      </c>
      <c r="O153" s="110" t="s">
        <v>204</v>
      </c>
      <c r="P153" s="198" t="s">
        <v>120</v>
      </c>
      <c r="Q153" s="198"/>
      <c r="R153" s="110" t="s">
        <v>673</v>
      </c>
      <c r="S153" s="95">
        <v>23</v>
      </c>
      <c r="T153" s="95" t="str">
        <f t="shared" si="16"/>
        <v>Art Gallery Preview: Heloisa Hariadne @ Twani</v>
      </c>
      <c r="U153" s="96">
        <f t="shared" si="25"/>
        <v>45442</v>
      </c>
      <c r="V153" s="95">
        <f t="shared" si="17"/>
        <v>5</v>
      </c>
      <c r="W153" s="95">
        <f t="shared" si="20"/>
        <v>0</v>
      </c>
      <c r="X153" s="95" t="s">
        <v>843</v>
      </c>
      <c r="Y153" s="95"/>
      <c r="Z153">
        <f>VLOOKUP(S153,Sessions!A:K,11,FALSE)</f>
        <v>1</v>
      </c>
    </row>
    <row r="154" spans="1:26" ht="16" x14ac:dyDescent="0.2">
      <c r="A154" s="111">
        <v>45440.536111111112</v>
      </c>
      <c r="B154" s="110" t="s">
        <v>670</v>
      </c>
      <c r="C154" s="110" t="s">
        <v>211</v>
      </c>
      <c r="D154" s="110" t="s">
        <v>212</v>
      </c>
      <c r="E154" s="118" t="s">
        <v>144</v>
      </c>
      <c r="F154" s="130" t="s">
        <v>863</v>
      </c>
      <c r="G154" s="110" t="s">
        <v>861</v>
      </c>
      <c r="H154" s="95">
        <v>23</v>
      </c>
      <c r="I154" s="157">
        <v>45442</v>
      </c>
      <c r="J154" s="110">
        <v>1</v>
      </c>
      <c r="K154" s="110" t="s">
        <v>862</v>
      </c>
      <c r="L154" s="110">
        <v>0</v>
      </c>
      <c r="M154" s="110"/>
      <c r="N154" s="110" t="s">
        <v>211</v>
      </c>
      <c r="O154" s="110" t="s">
        <v>212</v>
      </c>
      <c r="P154" s="198" t="s">
        <v>144</v>
      </c>
      <c r="Q154" s="198"/>
      <c r="R154" s="110" t="s">
        <v>673</v>
      </c>
      <c r="S154" s="95">
        <v>23</v>
      </c>
      <c r="T154" s="95" t="str">
        <f t="shared" si="16"/>
        <v>Art Gallery Preview: Heloisa Hariadne @ Twani</v>
      </c>
      <c r="U154" s="96">
        <f t="shared" si="25"/>
        <v>45442</v>
      </c>
      <c r="V154" s="95">
        <f t="shared" si="17"/>
        <v>5</v>
      </c>
      <c r="W154" s="95">
        <f t="shared" si="20"/>
        <v>0</v>
      </c>
      <c r="X154" s="95" t="s">
        <v>843</v>
      </c>
      <c r="Y154" s="95"/>
      <c r="Z154">
        <f>VLOOKUP(S154,Sessions!A:K,11,FALSE)</f>
        <v>1</v>
      </c>
    </row>
    <row r="155" spans="1:26" ht="16" x14ac:dyDescent="0.2">
      <c r="A155" s="111">
        <v>45440.537499999999</v>
      </c>
      <c r="B155" s="110" t="s">
        <v>670</v>
      </c>
      <c r="C155" s="110" t="s">
        <v>200</v>
      </c>
      <c r="D155" s="110" t="s">
        <v>201</v>
      </c>
      <c r="E155" s="118" t="s">
        <v>119</v>
      </c>
      <c r="F155" s="130" t="s">
        <v>853</v>
      </c>
      <c r="G155" s="110" t="s">
        <v>861</v>
      </c>
      <c r="H155" s="95">
        <v>23</v>
      </c>
      <c r="I155" s="157">
        <v>45442</v>
      </c>
      <c r="J155" s="110">
        <v>1</v>
      </c>
      <c r="K155" s="110" t="s">
        <v>862</v>
      </c>
      <c r="L155" s="110">
        <v>0</v>
      </c>
      <c r="M155" s="110"/>
      <c r="N155" s="110" t="s">
        <v>200</v>
      </c>
      <c r="O155" s="110" t="s">
        <v>201</v>
      </c>
      <c r="P155" s="198" t="s">
        <v>119</v>
      </c>
      <c r="Q155" s="198"/>
      <c r="R155" s="110" t="s">
        <v>673</v>
      </c>
      <c r="S155" s="95">
        <v>23</v>
      </c>
      <c r="T155" s="95" t="str">
        <f t="shared" si="16"/>
        <v>Art Gallery Preview: Heloisa Hariadne @ Twani</v>
      </c>
      <c r="U155" s="96">
        <f t="shared" si="25"/>
        <v>45442</v>
      </c>
      <c r="V155" s="95">
        <f t="shared" si="17"/>
        <v>5</v>
      </c>
      <c r="W155" s="95">
        <f t="shared" si="20"/>
        <v>0</v>
      </c>
      <c r="X155" s="95" t="s">
        <v>843</v>
      </c>
      <c r="Y155" s="95"/>
      <c r="Z155">
        <f>VLOOKUP(S155,Sessions!A:K,11,FALSE)</f>
        <v>1</v>
      </c>
    </row>
    <row r="156" spans="1:26" ht="16" x14ac:dyDescent="0.2">
      <c r="A156" s="111">
        <v>45440.538888888892</v>
      </c>
      <c r="B156" s="110" t="s">
        <v>670</v>
      </c>
      <c r="C156" s="110" t="s">
        <v>218</v>
      </c>
      <c r="D156" s="110" t="s">
        <v>219</v>
      </c>
      <c r="E156" s="118" t="s">
        <v>145</v>
      </c>
      <c r="F156" s="130" t="s">
        <v>864</v>
      </c>
      <c r="G156" s="110" t="s">
        <v>861</v>
      </c>
      <c r="H156" s="95">
        <v>23</v>
      </c>
      <c r="I156" s="157">
        <v>45442</v>
      </c>
      <c r="J156" s="110">
        <v>1</v>
      </c>
      <c r="K156" s="110" t="s">
        <v>862</v>
      </c>
      <c r="L156" s="110">
        <v>0</v>
      </c>
      <c r="M156" s="110"/>
      <c r="N156" s="110" t="s">
        <v>218</v>
      </c>
      <c r="O156" s="110" t="s">
        <v>219</v>
      </c>
      <c r="P156" s="198" t="s">
        <v>145</v>
      </c>
      <c r="Q156" s="198"/>
      <c r="R156" s="110" t="s">
        <v>673</v>
      </c>
      <c r="S156" s="95">
        <v>23</v>
      </c>
      <c r="T156" s="95" t="str">
        <f t="shared" si="16"/>
        <v>Art Gallery Preview: Heloisa Hariadne @ Twani</v>
      </c>
      <c r="U156" s="96">
        <f t="shared" si="25"/>
        <v>45442</v>
      </c>
      <c r="V156" s="95">
        <f t="shared" si="17"/>
        <v>5</v>
      </c>
      <c r="W156" s="95">
        <f t="shared" si="20"/>
        <v>0</v>
      </c>
      <c r="X156" s="95" t="s">
        <v>843</v>
      </c>
      <c r="Y156" s="95"/>
      <c r="Z156">
        <f>VLOOKUP(S156,Sessions!A:K,11,FALSE)</f>
        <v>1</v>
      </c>
    </row>
    <row r="157" spans="1:26" ht="16" x14ac:dyDescent="0.2">
      <c r="A157" s="111">
        <v>45440.539583333331</v>
      </c>
      <c r="B157" s="110" t="s">
        <v>670</v>
      </c>
      <c r="C157" s="110" t="s">
        <v>216</v>
      </c>
      <c r="D157" s="110" t="s">
        <v>217</v>
      </c>
      <c r="E157" s="118" t="s">
        <v>127</v>
      </c>
      <c r="F157" s="130" t="s">
        <v>865</v>
      </c>
      <c r="G157" s="110" t="s">
        <v>861</v>
      </c>
      <c r="H157" s="95">
        <v>23</v>
      </c>
      <c r="I157" s="157">
        <v>45442</v>
      </c>
      <c r="J157" s="110">
        <v>1</v>
      </c>
      <c r="K157" s="110" t="s">
        <v>862</v>
      </c>
      <c r="L157" s="110">
        <v>0</v>
      </c>
      <c r="M157" s="110"/>
      <c r="N157" s="110" t="s">
        <v>216</v>
      </c>
      <c r="O157" s="110" t="s">
        <v>217</v>
      </c>
      <c r="P157" s="198" t="s">
        <v>127</v>
      </c>
      <c r="Q157" s="198"/>
      <c r="R157" s="110" t="s">
        <v>673</v>
      </c>
      <c r="S157" s="95">
        <v>23</v>
      </c>
      <c r="T157" s="95" t="str">
        <f t="shared" si="16"/>
        <v>Art Gallery Preview: Heloisa Hariadne @ Twani</v>
      </c>
      <c r="U157" s="96">
        <f t="shared" si="25"/>
        <v>45442</v>
      </c>
      <c r="V157" s="95">
        <f t="shared" si="17"/>
        <v>5</v>
      </c>
      <c r="W157" s="95">
        <f t="shared" si="20"/>
        <v>0</v>
      </c>
      <c r="X157" s="95" t="s">
        <v>843</v>
      </c>
      <c r="Y157" s="95"/>
      <c r="Z157">
        <f>VLOOKUP(S157,Sessions!A:K,11,FALSE)</f>
        <v>1</v>
      </c>
    </row>
    <row r="158" spans="1:26" ht="16" x14ac:dyDescent="0.2">
      <c r="A158" s="111">
        <v>45440.540972222225</v>
      </c>
      <c r="B158" s="110" t="s">
        <v>670</v>
      </c>
      <c r="C158" s="110" t="s">
        <v>190</v>
      </c>
      <c r="D158" s="110" t="s">
        <v>191</v>
      </c>
      <c r="E158" s="118" t="s">
        <v>132</v>
      </c>
      <c r="F158" s="130" t="s">
        <v>866</v>
      </c>
      <c r="G158" s="110" t="s">
        <v>861</v>
      </c>
      <c r="H158" s="95">
        <v>23</v>
      </c>
      <c r="I158" s="157">
        <v>45442</v>
      </c>
      <c r="J158" s="110">
        <v>1</v>
      </c>
      <c r="K158" s="110" t="s">
        <v>862</v>
      </c>
      <c r="L158" s="110">
        <v>0</v>
      </c>
      <c r="M158" s="110"/>
      <c r="N158" s="110" t="s">
        <v>190</v>
      </c>
      <c r="O158" s="110" t="s">
        <v>191</v>
      </c>
      <c r="P158" s="198" t="s">
        <v>132</v>
      </c>
      <c r="Q158" s="198"/>
      <c r="R158" s="110" t="s">
        <v>673</v>
      </c>
      <c r="S158" s="95">
        <v>23</v>
      </c>
      <c r="T158" s="95" t="str">
        <f t="shared" si="16"/>
        <v>Art Gallery Preview: Heloisa Hariadne @ Twani</v>
      </c>
      <c r="U158" s="96">
        <f t="shared" si="25"/>
        <v>45442</v>
      </c>
      <c r="V158" s="95">
        <f t="shared" si="17"/>
        <v>5</v>
      </c>
      <c r="W158" s="95">
        <f t="shared" si="20"/>
        <v>0</v>
      </c>
      <c r="X158" s="95" t="s">
        <v>843</v>
      </c>
      <c r="Y158" s="95"/>
      <c r="Z158">
        <f>VLOOKUP(S158,Sessions!A:K,11,FALSE)</f>
        <v>1</v>
      </c>
    </row>
    <row r="159" spans="1:26" ht="16" x14ac:dyDescent="0.2">
      <c r="A159" s="111">
        <v>45440.545138888891</v>
      </c>
      <c r="B159" s="110" t="s">
        <v>689</v>
      </c>
      <c r="C159" s="110" t="s">
        <v>527</v>
      </c>
      <c r="D159" s="110" t="s">
        <v>528</v>
      </c>
      <c r="E159" s="118" t="s">
        <v>526</v>
      </c>
      <c r="F159" s="130" t="s">
        <v>867</v>
      </c>
      <c r="G159" s="110" t="s">
        <v>861</v>
      </c>
      <c r="H159" s="95">
        <v>23</v>
      </c>
      <c r="I159" s="157">
        <v>45442</v>
      </c>
      <c r="J159" s="110">
        <v>1</v>
      </c>
      <c r="K159" s="110" t="s">
        <v>862</v>
      </c>
      <c r="L159" s="110">
        <v>0</v>
      </c>
      <c r="M159" s="110"/>
      <c r="N159" s="110" t="s">
        <v>527</v>
      </c>
      <c r="O159" s="110" t="s">
        <v>528</v>
      </c>
      <c r="P159" s="198" t="s">
        <v>526</v>
      </c>
      <c r="Q159" s="198"/>
      <c r="R159" s="110" t="s">
        <v>673</v>
      </c>
      <c r="S159" s="95">
        <v>23</v>
      </c>
      <c r="T159" s="95" t="str">
        <f t="shared" si="16"/>
        <v>Art Gallery Preview: Heloisa Hariadne @ Twani</v>
      </c>
      <c r="U159" s="96">
        <f t="shared" si="25"/>
        <v>45442</v>
      </c>
      <c r="V159" s="95">
        <f t="shared" si="17"/>
        <v>5</v>
      </c>
      <c r="W159" s="95">
        <f t="shared" si="20"/>
        <v>0</v>
      </c>
      <c r="X159" s="95" t="s">
        <v>843</v>
      </c>
      <c r="Y159" s="95"/>
      <c r="Z159">
        <f>VLOOKUP(S159,Sessions!A:K,11,FALSE)</f>
        <v>1</v>
      </c>
    </row>
    <row r="160" spans="1:26" ht="16" x14ac:dyDescent="0.2">
      <c r="A160" s="111">
        <v>45440.67291666667</v>
      </c>
      <c r="B160" s="110" t="s">
        <v>670</v>
      </c>
      <c r="C160" s="110" t="s">
        <v>235</v>
      </c>
      <c r="D160" s="110" t="s">
        <v>450</v>
      </c>
      <c r="E160" s="118" t="s">
        <v>449</v>
      </c>
      <c r="F160" s="110">
        <v>447536484874</v>
      </c>
      <c r="G160" s="110" t="s">
        <v>868</v>
      </c>
      <c r="H160" s="95">
        <v>18</v>
      </c>
      <c r="I160" s="157">
        <v>45445</v>
      </c>
      <c r="J160" s="110">
        <v>1</v>
      </c>
      <c r="K160" s="110" t="s">
        <v>691</v>
      </c>
      <c r="L160" s="110">
        <v>15</v>
      </c>
      <c r="M160" s="110"/>
      <c r="N160" s="110" t="s">
        <v>235</v>
      </c>
      <c r="O160" s="110" t="s">
        <v>450</v>
      </c>
      <c r="P160" s="110" t="s">
        <v>449</v>
      </c>
      <c r="Q160" s="110" t="s">
        <v>739</v>
      </c>
      <c r="R160" s="110" t="s">
        <v>673</v>
      </c>
      <c r="S160" s="95">
        <v>18</v>
      </c>
      <c r="T160" s="95" t="str">
        <f t="shared" si="16"/>
        <v>Art Scavenger Hunt in Mayfair @ London Gallery Weekend</v>
      </c>
      <c r="U160" s="96">
        <f t="shared" si="25"/>
        <v>45445</v>
      </c>
      <c r="V160" s="95">
        <f t="shared" si="17"/>
        <v>6</v>
      </c>
      <c r="W160" s="95" t="str">
        <f t="shared" si="20"/>
        <v>WhatsApp</v>
      </c>
      <c r="X160" s="95" t="s">
        <v>843</v>
      </c>
      <c r="Y160" s="95"/>
      <c r="Z160">
        <f>VLOOKUP(S160,Sessions!A:K,11,FALSE)</f>
        <v>4</v>
      </c>
    </row>
    <row r="161" spans="1:26" ht="16" x14ac:dyDescent="0.2">
      <c r="A161" s="111">
        <v>45441.436805555553</v>
      </c>
      <c r="B161" s="110" t="s">
        <v>670</v>
      </c>
      <c r="C161" s="110" t="s">
        <v>213</v>
      </c>
      <c r="D161" s="110" t="s">
        <v>214</v>
      </c>
      <c r="E161" s="118" t="s">
        <v>121</v>
      </c>
      <c r="F161" s="130" t="s">
        <v>869</v>
      </c>
      <c r="G161" s="110" t="s">
        <v>861</v>
      </c>
      <c r="H161" s="95">
        <v>23</v>
      </c>
      <c r="I161" s="157">
        <v>45442</v>
      </c>
      <c r="J161" s="110">
        <v>1</v>
      </c>
      <c r="K161" s="110" t="s">
        <v>862</v>
      </c>
      <c r="L161" s="110">
        <v>0</v>
      </c>
      <c r="M161" s="110"/>
      <c r="N161" s="110" t="s">
        <v>213</v>
      </c>
      <c r="O161" s="110" t="s">
        <v>214</v>
      </c>
      <c r="P161" s="198" t="s">
        <v>121</v>
      </c>
      <c r="Q161" s="198"/>
      <c r="R161" s="110" t="s">
        <v>673</v>
      </c>
      <c r="S161" s="95">
        <v>23</v>
      </c>
      <c r="T161" s="95" t="str">
        <f t="shared" si="16"/>
        <v>Art Gallery Preview: Heloisa Hariadne @ Twani</v>
      </c>
      <c r="U161" s="96">
        <f t="shared" si="25"/>
        <v>45442</v>
      </c>
      <c r="V161" s="95">
        <f t="shared" si="17"/>
        <v>5</v>
      </c>
      <c r="W161" s="95">
        <f t="shared" si="20"/>
        <v>0</v>
      </c>
      <c r="X161" s="95" t="s">
        <v>843</v>
      </c>
      <c r="Y161" s="95"/>
      <c r="Z161">
        <f>VLOOKUP(S161,Sessions!A:K,11,FALSE)</f>
        <v>1</v>
      </c>
    </row>
    <row r="162" spans="1:26" ht="16" x14ac:dyDescent="0.2">
      <c r="A162" s="111">
        <v>45441.481249999997</v>
      </c>
      <c r="B162" s="110" t="s">
        <v>670</v>
      </c>
      <c r="C162" s="110" t="s">
        <v>216</v>
      </c>
      <c r="D162" s="110" t="s">
        <v>217</v>
      </c>
      <c r="E162" s="118" t="s">
        <v>127</v>
      </c>
      <c r="F162" s="130" t="s">
        <v>865</v>
      </c>
      <c r="G162" s="110" t="s">
        <v>868</v>
      </c>
      <c r="H162" s="95">
        <v>18</v>
      </c>
      <c r="I162" s="157">
        <v>45445</v>
      </c>
      <c r="J162" s="110">
        <v>1</v>
      </c>
      <c r="K162" s="110" t="s">
        <v>691</v>
      </c>
      <c r="L162" s="110">
        <v>15</v>
      </c>
      <c r="M162" s="110"/>
      <c r="N162" s="110" t="s">
        <v>216</v>
      </c>
      <c r="O162" s="110" t="s">
        <v>217</v>
      </c>
      <c r="P162" s="198" t="s">
        <v>127</v>
      </c>
      <c r="Q162" s="198"/>
      <c r="R162" s="110" t="s">
        <v>673</v>
      </c>
      <c r="S162" s="95">
        <v>18</v>
      </c>
      <c r="T162" s="95" t="str">
        <f t="shared" si="16"/>
        <v>Art Scavenger Hunt in Mayfair @ London Gallery Weekend</v>
      </c>
      <c r="U162" s="96">
        <f t="shared" si="25"/>
        <v>45445</v>
      </c>
      <c r="V162" s="95">
        <f t="shared" si="17"/>
        <v>6</v>
      </c>
      <c r="W162" s="95">
        <f t="shared" si="20"/>
        <v>0</v>
      </c>
      <c r="X162" s="95" t="s">
        <v>843</v>
      </c>
      <c r="Y162" s="95"/>
      <c r="Z162">
        <f>VLOOKUP(S162,Sessions!A:K,11,FALSE)</f>
        <v>4</v>
      </c>
    </row>
    <row r="163" spans="1:26" ht="16" x14ac:dyDescent="0.2">
      <c r="A163" s="111">
        <v>45441.482638888891</v>
      </c>
      <c r="B163" s="110" t="s">
        <v>670</v>
      </c>
      <c r="C163" s="110" t="s">
        <v>628</v>
      </c>
      <c r="D163" s="110" t="s">
        <v>629</v>
      </c>
      <c r="E163" s="118" t="s">
        <v>627</v>
      </c>
      <c r="F163" s="130" t="s">
        <v>870</v>
      </c>
      <c r="G163" s="110" t="s">
        <v>868</v>
      </c>
      <c r="H163" s="95">
        <v>18</v>
      </c>
      <c r="I163" s="157">
        <v>45445</v>
      </c>
      <c r="J163" s="110">
        <v>1</v>
      </c>
      <c r="K163" s="110" t="s">
        <v>691</v>
      </c>
      <c r="L163" s="110">
        <v>15</v>
      </c>
      <c r="M163" s="110"/>
      <c r="N163" s="110" t="s">
        <v>628</v>
      </c>
      <c r="O163" s="110" t="s">
        <v>629</v>
      </c>
      <c r="P163" s="198" t="s">
        <v>627</v>
      </c>
      <c r="Q163" s="198"/>
      <c r="R163" s="110" t="s">
        <v>673</v>
      </c>
      <c r="S163" s="95">
        <v>18</v>
      </c>
      <c r="T163" s="95" t="str">
        <f t="shared" si="16"/>
        <v>Art Scavenger Hunt in Mayfair @ London Gallery Weekend</v>
      </c>
      <c r="U163" s="96">
        <f t="shared" si="25"/>
        <v>45445</v>
      </c>
      <c r="V163" s="95">
        <f t="shared" si="17"/>
        <v>6</v>
      </c>
      <c r="W163" s="95">
        <f t="shared" si="20"/>
        <v>0</v>
      </c>
      <c r="X163" s="95" t="s">
        <v>843</v>
      </c>
      <c r="Y163" s="18"/>
      <c r="Z163">
        <f>VLOOKUP(S163,Sessions!A:K,11,FALSE)</f>
        <v>4</v>
      </c>
    </row>
    <row r="164" spans="1:26" ht="16" x14ac:dyDescent="0.2">
      <c r="A164" s="111">
        <v>45441.482638888891</v>
      </c>
      <c r="B164" s="110" t="s">
        <v>670</v>
      </c>
      <c r="C164" s="110" t="s">
        <v>469</v>
      </c>
      <c r="D164" s="110" t="s">
        <v>470</v>
      </c>
      <c r="E164" s="118" t="s">
        <v>468</v>
      </c>
      <c r="F164" s="130" t="s">
        <v>471</v>
      </c>
      <c r="G164" s="110" t="s">
        <v>868</v>
      </c>
      <c r="H164" s="95">
        <v>18</v>
      </c>
      <c r="I164" s="157">
        <v>45445</v>
      </c>
      <c r="J164" s="110">
        <v>1</v>
      </c>
      <c r="K164" s="110" t="s">
        <v>691</v>
      </c>
      <c r="L164" s="110">
        <v>15</v>
      </c>
      <c r="M164" s="110"/>
      <c r="N164" s="110" t="s">
        <v>469</v>
      </c>
      <c r="O164" s="110" t="s">
        <v>470</v>
      </c>
      <c r="P164" s="110" t="s">
        <v>468</v>
      </c>
      <c r="Q164" s="110" t="s">
        <v>739</v>
      </c>
      <c r="R164" s="110" t="s">
        <v>673</v>
      </c>
      <c r="S164" s="95">
        <v>18</v>
      </c>
      <c r="T164" s="95" t="str">
        <f t="shared" si="16"/>
        <v>Art Scavenger Hunt in Mayfair @ London Gallery Weekend</v>
      </c>
      <c r="U164" s="96">
        <f t="shared" si="25"/>
        <v>45445</v>
      </c>
      <c r="V164" s="95">
        <f t="shared" si="17"/>
        <v>6</v>
      </c>
      <c r="W164" s="95" t="str">
        <f t="shared" si="20"/>
        <v>WhatsApp</v>
      </c>
      <c r="X164" s="95" t="s">
        <v>843</v>
      </c>
      <c r="Y164" s="95"/>
      <c r="Z164">
        <f>VLOOKUP(S164,Sessions!A:K,11,FALSE)</f>
        <v>4</v>
      </c>
    </row>
    <row r="165" spans="1:26" ht="16" x14ac:dyDescent="0.2">
      <c r="A165" s="111">
        <v>45441.484027777777</v>
      </c>
      <c r="B165" s="110" t="s">
        <v>670</v>
      </c>
      <c r="C165" s="110" t="s">
        <v>195</v>
      </c>
      <c r="D165" s="110" t="s">
        <v>196</v>
      </c>
      <c r="E165" s="118" t="s">
        <v>157</v>
      </c>
      <c r="F165" s="130" t="s">
        <v>855</v>
      </c>
      <c r="G165" s="110" t="s">
        <v>868</v>
      </c>
      <c r="H165" s="95">
        <v>18</v>
      </c>
      <c r="I165" s="157">
        <v>45445</v>
      </c>
      <c r="J165" s="110">
        <v>1</v>
      </c>
      <c r="K165" s="110" t="s">
        <v>691</v>
      </c>
      <c r="L165" s="110">
        <v>15</v>
      </c>
      <c r="M165" s="110"/>
      <c r="N165" s="110" t="s">
        <v>195</v>
      </c>
      <c r="O165" s="110" t="s">
        <v>196</v>
      </c>
      <c r="P165" s="198" t="s">
        <v>157</v>
      </c>
      <c r="Q165" s="198"/>
      <c r="R165" s="110" t="s">
        <v>673</v>
      </c>
      <c r="S165" s="95">
        <v>18</v>
      </c>
      <c r="T165" s="95" t="str">
        <f t="shared" si="16"/>
        <v>Art Scavenger Hunt in Mayfair @ London Gallery Weekend</v>
      </c>
      <c r="U165" s="96">
        <f t="shared" si="25"/>
        <v>45445</v>
      </c>
      <c r="V165" s="95">
        <f t="shared" si="17"/>
        <v>6</v>
      </c>
      <c r="W165" s="95">
        <f t="shared" si="20"/>
        <v>0</v>
      </c>
      <c r="X165" s="95" t="s">
        <v>843</v>
      </c>
      <c r="Y165" s="95"/>
      <c r="Z165">
        <f>VLOOKUP(S165,Sessions!A:K,11,FALSE)</f>
        <v>4</v>
      </c>
    </row>
    <row r="166" spans="1:26" ht="16" x14ac:dyDescent="0.2">
      <c r="A166" s="111">
        <v>45441.48541666667</v>
      </c>
      <c r="B166" s="110" t="s">
        <v>670</v>
      </c>
      <c r="C166" s="110" t="s">
        <v>200</v>
      </c>
      <c r="D166" s="110" t="s">
        <v>201</v>
      </c>
      <c r="E166" s="118" t="s">
        <v>119</v>
      </c>
      <c r="F166" s="130" t="s">
        <v>853</v>
      </c>
      <c r="G166" s="110" t="s">
        <v>868</v>
      </c>
      <c r="H166" s="95">
        <v>18</v>
      </c>
      <c r="I166" s="157">
        <v>45445</v>
      </c>
      <c r="J166" s="110">
        <v>1</v>
      </c>
      <c r="K166" s="110" t="s">
        <v>691</v>
      </c>
      <c r="L166" s="110">
        <v>15</v>
      </c>
      <c r="M166" s="110"/>
      <c r="N166" s="110" t="s">
        <v>200</v>
      </c>
      <c r="O166" s="110" t="s">
        <v>201</v>
      </c>
      <c r="P166" s="198" t="s">
        <v>119</v>
      </c>
      <c r="Q166" s="198"/>
      <c r="R166" s="110" t="s">
        <v>673</v>
      </c>
      <c r="S166" s="95">
        <v>18</v>
      </c>
      <c r="T166" s="95" t="str">
        <f t="shared" si="16"/>
        <v>Art Scavenger Hunt in Mayfair @ London Gallery Weekend</v>
      </c>
      <c r="U166" s="96">
        <f t="shared" si="25"/>
        <v>45445</v>
      </c>
      <c r="V166" s="95">
        <f t="shared" si="17"/>
        <v>6</v>
      </c>
      <c r="W166" s="95">
        <f t="shared" si="20"/>
        <v>0</v>
      </c>
      <c r="X166" s="95" t="s">
        <v>843</v>
      </c>
      <c r="Y166" s="95"/>
      <c r="Z166">
        <f>VLOOKUP(S166,Sessions!A:K,11,FALSE)</f>
        <v>4</v>
      </c>
    </row>
    <row r="167" spans="1:26" ht="16" x14ac:dyDescent="0.2">
      <c r="A167" s="111">
        <v>45441.486805555556</v>
      </c>
      <c r="B167" s="110" t="s">
        <v>670</v>
      </c>
      <c r="C167" s="110" t="s">
        <v>203</v>
      </c>
      <c r="D167" s="110" t="s">
        <v>204</v>
      </c>
      <c r="E167" s="118" t="s">
        <v>120</v>
      </c>
      <c r="F167" s="130" t="s">
        <v>841</v>
      </c>
      <c r="G167" s="110" t="s">
        <v>868</v>
      </c>
      <c r="H167" s="95">
        <v>18</v>
      </c>
      <c r="I167" s="157">
        <v>45445</v>
      </c>
      <c r="J167" s="110">
        <v>1</v>
      </c>
      <c r="K167" s="110" t="s">
        <v>691</v>
      </c>
      <c r="L167" s="110">
        <v>15</v>
      </c>
      <c r="M167" s="110"/>
      <c r="N167" s="110" t="s">
        <v>203</v>
      </c>
      <c r="O167" s="110" t="s">
        <v>204</v>
      </c>
      <c r="P167" s="198" t="s">
        <v>120</v>
      </c>
      <c r="Q167" s="198"/>
      <c r="R167" s="110" t="s">
        <v>673</v>
      </c>
      <c r="S167" s="95">
        <v>18</v>
      </c>
      <c r="T167" s="95" t="str">
        <f t="shared" si="16"/>
        <v>Art Scavenger Hunt in Mayfair @ London Gallery Weekend</v>
      </c>
      <c r="U167" s="96">
        <f t="shared" si="25"/>
        <v>45445</v>
      </c>
      <c r="V167" s="95">
        <f t="shared" si="17"/>
        <v>6</v>
      </c>
      <c r="W167" s="95">
        <f t="shared" si="20"/>
        <v>0</v>
      </c>
      <c r="X167" s="95" t="s">
        <v>843</v>
      </c>
      <c r="Y167" s="95"/>
      <c r="Z167">
        <f>VLOOKUP(S167,Sessions!A:K,11,FALSE)</f>
        <v>4</v>
      </c>
    </row>
    <row r="168" spans="1:26" ht="16" x14ac:dyDescent="0.2">
      <c r="A168" s="111">
        <v>45441.487500000003</v>
      </c>
      <c r="B168" s="110" t="s">
        <v>670</v>
      </c>
      <c r="C168" s="110" t="s">
        <v>226</v>
      </c>
      <c r="D168" s="110" t="s">
        <v>227</v>
      </c>
      <c r="E168" s="118" t="s">
        <v>165</v>
      </c>
      <c r="F168" s="130" t="s">
        <v>856</v>
      </c>
      <c r="G168" s="110" t="s">
        <v>868</v>
      </c>
      <c r="H168" s="95">
        <v>18</v>
      </c>
      <c r="I168" s="157">
        <v>45445</v>
      </c>
      <c r="J168" s="110">
        <v>1</v>
      </c>
      <c r="K168" s="110" t="s">
        <v>691</v>
      </c>
      <c r="L168" s="110">
        <v>15</v>
      </c>
      <c r="M168" s="110"/>
      <c r="N168" s="110" t="s">
        <v>226</v>
      </c>
      <c r="O168" s="110" t="s">
        <v>227</v>
      </c>
      <c r="P168" s="198" t="s">
        <v>165</v>
      </c>
      <c r="Q168" s="198"/>
      <c r="R168" s="110" t="s">
        <v>673</v>
      </c>
      <c r="S168" s="95">
        <v>18</v>
      </c>
      <c r="T168" s="95" t="str">
        <f t="shared" si="16"/>
        <v>Art Scavenger Hunt in Mayfair @ London Gallery Weekend</v>
      </c>
      <c r="U168" s="96">
        <f t="shared" si="25"/>
        <v>45445</v>
      </c>
      <c r="V168" s="95">
        <f t="shared" si="17"/>
        <v>6</v>
      </c>
      <c r="W168" s="95">
        <f t="shared" si="20"/>
        <v>0</v>
      </c>
      <c r="X168" s="95" t="s">
        <v>843</v>
      </c>
      <c r="Y168" s="18" t="s">
        <v>120</v>
      </c>
      <c r="Z168">
        <f>VLOOKUP(S168,Sessions!A:K,11,FALSE)</f>
        <v>4</v>
      </c>
    </row>
    <row r="169" spans="1:26" ht="16" x14ac:dyDescent="0.2">
      <c r="A169" s="111">
        <v>45441.488888888889</v>
      </c>
      <c r="B169" s="110" t="s">
        <v>670</v>
      </c>
      <c r="C169" s="110" t="s">
        <v>504</v>
      </c>
      <c r="D169" s="110" t="s">
        <v>505</v>
      </c>
      <c r="E169" s="118" t="s">
        <v>503</v>
      </c>
      <c r="F169" s="110">
        <v>447545450201</v>
      </c>
      <c r="G169" s="110" t="s">
        <v>868</v>
      </c>
      <c r="H169" s="95">
        <v>18</v>
      </c>
      <c r="I169" s="157">
        <v>45445</v>
      </c>
      <c r="J169" s="110">
        <v>1</v>
      </c>
      <c r="K169" s="110" t="s">
        <v>691</v>
      </c>
      <c r="L169" s="110">
        <v>15</v>
      </c>
      <c r="M169" s="110"/>
      <c r="N169" s="110" t="s">
        <v>504</v>
      </c>
      <c r="O169" s="110" t="s">
        <v>505</v>
      </c>
      <c r="P169" s="198" t="s">
        <v>503</v>
      </c>
      <c r="Q169" s="198"/>
      <c r="R169" s="110" t="s">
        <v>673</v>
      </c>
      <c r="S169" s="95">
        <v>18</v>
      </c>
      <c r="T169" s="95" t="str">
        <f t="shared" si="16"/>
        <v>Art Scavenger Hunt in Mayfair @ London Gallery Weekend</v>
      </c>
      <c r="U169" s="96">
        <f t="shared" si="25"/>
        <v>45445</v>
      </c>
      <c r="V169" s="95">
        <f t="shared" si="17"/>
        <v>6</v>
      </c>
      <c r="W169" s="95">
        <f t="shared" si="20"/>
        <v>0</v>
      </c>
      <c r="X169" s="95" t="s">
        <v>843</v>
      </c>
      <c r="Y169" s="18" t="s">
        <v>120</v>
      </c>
      <c r="Z169">
        <f>VLOOKUP(S169,Sessions!A:K,11,FALSE)</f>
        <v>4</v>
      </c>
    </row>
    <row r="170" spans="1:26" ht="16" x14ac:dyDescent="0.2">
      <c r="A170" s="111">
        <v>45442.22152777778</v>
      </c>
      <c r="B170" s="110" t="s">
        <v>689</v>
      </c>
      <c r="C170" s="110" t="s">
        <v>591</v>
      </c>
      <c r="D170" s="110" t="s">
        <v>592</v>
      </c>
      <c r="E170" s="118" t="s">
        <v>590</v>
      </c>
      <c r="F170" s="130" t="s">
        <v>871</v>
      </c>
      <c r="G170" s="110" t="s">
        <v>861</v>
      </c>
      <c r="H170" s="95">
        <v>23</v>
      </c>
      <c r="I170" s="157">
        <v>45442</v>
      </c>
      <c r="J170" s="110">
        <v>1</v>
      </c>
      <c r="K170" s="110" t="s">
        <v>862</v>
      </c>
      <c r="L170" s="110">
        <v>0</v>
      </c>
      <c r="M170" s="110"/>
      <c r="N170" s="110" t="s">
        <v>591</v>
      </c>
      <c r="O170" s="110" t="s">
        <v>592</v>
      </c>
      <c r="P170" s="198" t="s">
        <v>590</v>
      </c>
      <c r="Q170" s="198"/>
      <c r="R170" s="110" t="s">
        <v>673</v>
      </c>
      <c r="S170" s="95">
        <v>23</v>
      </c>
      <c r="T170" s="95" t="str">
        <f t="shared" si="16"/>
        <v>Art Gallery Preview: Heloisa Hariadne @ Twani</v>
      </c>
      <c r="U170" s="96">
        <f t="shared" si="25"/>
        <v>45442</v>
      </c>
      <c r="V170" s="95">
        <f t="shared" si="17"/>
        <v>5</v>
      </c>
      <c r="W170" s="95">
        <f t="shared" si="20"/>
        <v>0</v>
      </c>
      <c r="X170" s="95" t="s">
        <v>843</v>
      </c>
      <c r="Y170" s="95"/>
      <c r="Z170">
        <f>VLOOKUP(S170,Sessions!A:K,11,FALSE)</f>
        <v>1</v>
      </c>
    </row>
    <row r="171" spans="1:26" ht="16" x14ac:dyDescent="0.2">
      <c r="A171" s="111">
        <v>45442.222916666666</v>
      </c>
      <c r="B171" s="110" t="s">
        <v>689</v>
      </c>
      <c r="C171" s="110" t="s">
        <v>575</v>
      </c>
      <c r="D171" s="110" t="s">
        <v>872</v>
      </c>
      <c r="E171" s="118" t="s">
        <v>574</v>
      </c>
      <c r="F171" s="130" t="s">
        <v>873</v>
      </c>
      <c r="G171" s="110" t="s">
        <v>861</v>
      </c>
      <c r="H171" s="95">
        <v>23</v>
      </c>
      <c r="I171" s="157">
        <v>45442</v>
      </c>
      <c r="J171" s="110">
        <v>1</v>
      </c>
      <c r="K171" s="110" t="s">
        <v>862</v>
      </c>
      <c r="L171" s="110">
        <v>0</v>
      </c>
      <c r="M171" s="110"/>
      <c r="N171" s="110" t="s">
        <v>575</v>
      </c>
      <c r="O171" s="110" t="s">
        <v>872</v>
      </c>
      <c r="P171" s="198" t="s">
        <v>574</v>
      </c>
      <c r="Q171" s="198"/>
      <c r="R171" s="110" t="s">
        <v>673</v>
      </c>
      <c r="S171" s="95">
        <v>23</v>
      </c>
      <c r="T171" s="95" t="str">
        <f t="shared" si="16"/>
        <v>Art Gallery Preview: Heloisa Hariadne @ Twani</v>
      </c>
      <c r="U171" s="96">
        <f t="shared" si="25"/>
        <v>45442</v>
      </c>
      <c r="V171" s="95">
        <f t="shared" si="17"/>
        <v>5</v>
      </c>
      <c r="W171" s="95">
        <f t="shared" si="20"/>
        <v>0</v>
      </c>
      <c r="X171" s="95" t="s">
        <v>843</v>
      </c>
      <c r="Y171" s="95"/>
      <c r="Z171">
        <f>VLOOKUP(S171,Sessions!A:K,11,FALSE)</f>
        <v>1</v>
      </c>
    </row>
    <row r="172" spans="1:26" ht="16" x14ac:dyDescent="0.2">
      <c r="A172" s="111">
        <v>45442.223611111112</v>
      </c>
      <c r="B172" s="110" t="s">
        <v>689</v>
      </c>
      <c r="C172" s="110" t="s">
        <v>496</v>
      </c>
      <c r="D172" s="110" t="s">
        <v>497</v>
      </c>
      <c r="E172" s="118" t="s">
        <v>495</v>
      </c>
      <c r="F172" s="130" t="s">
        <v>874</v>
      </c>
      <c r="G172" s="110" t="s">
        <v>861</v>
      </c>
      <c r="H172" s="95">
        <v>23</v>
      </c>
      <c r="I172" s="157">
        <v>45442</v>
      </c>
      <c r="J172" s="110">
        <v>1</v>
      </c>
      <c r="K172" s="110" t="s">
        <v>862</v>
      </c>
      <c r="L172" s="110">
        <v>0</v>
      </c>
      <c r="M172" s="110"/>
      <c r="N172" s="110" t="s">
        <v>496</v>
      </c>
      <c r="O172" s="110" t="s">
        <v>497</v>
      </c>
      <c r="P172" s="198" t="s">
        <v>495</v>
      </c>
      <c r="Q172" s="198"/>
      <c r="R172" s="110" t="s">
        <v>673</v>
      </c>
      <c r="S172" s="95">
        <v>23</v>
      </c>
      <c r="T172" s="95" t="str">
        <f t="shared" si="16"/>
        <v>Art Gallery Preview: Heloisa Hariadne @ Twani</v>
      </c>
      <c r="U172" s="96">
        <f t="shared" si="25"/>
        <v>45442</v>
      </c>
      <c r="V172" s="95">
        <f t="shared" si="17"/>
        <v>5</v>
      </c>
      <c r="W172" s="95">
        <f t="shared" si="20"/>
        <v>0</v>
      </c>
      <c r="X172" s="95" t="s">
        <v>843</v>
      </c>
      <c r="Y172" s="95"/>
      <c r="Z172">
        <f>VLOOKUP(S172,Sessions!A:K,11,FALSE)</f>
        <v>1</v>
      </c>
    </row>
    <row r="173" spans="1:26" ht="16" x14ac:dyDescent="0.2">
      <c r="A173" s="111">
        <v>45442.224305555559</v>
      </c>
      <c r="B173" s="110" t="s">
        <v>689</v>
      </c>
      <c r="C173" s="110" t="s">
        <v>550</v>
      </c>
      <c r="D173" s="110" t="s">
        <v>551</v>
      </c>
      <c r="E173" s="118" t="s">
        <v>875</v>
      </c>
      <c r="F173" s="130" t="s">
        <v>552</v>
      </c>
      <c r="G173" s="110" t="s">
        <v>861</v>
      </c>
      <c r="H173" s="95">
        <v>23</v>
      </c>
      <c r="I173" s="157">
        <v>45442</v>
      </c>
      <c r="J173" s="110">
        <v>1</v>
      </c>
      <c r="K173" s="110" t="s">
        <v>862</v>
      </c>
      <c r="L173" s="110">
        <v>0</v>
      </c>
      <c r="M173" s="110"/>
      <c r="N173" s="110" t="s">
        <v>550</v>
      </c>
      <c r="O173" s="110" t="s">
        <v>551</v>
      </c>
      <c r="P173" s="198" t="s">
        <v>875</v>
      </c>
      <c r="Q173" s="198"/>
      <c r="R173" s="110" t="s">
        <v>673</v>
      </c>
      <c r="S173" s="95">
        <v>23</v>
      </c>
      <c r="T173" s="95" t="str">
        <f t="shared" si="16"/>
        <v>Art Gallery Preview: Heloisa Hariadne @ Twani</v>
      </c>
      <c r="U173" s="96">
        <f t="shared" si="25"/>
        <v>45442</v>
      </c>
      <c r="V173" s="95">
        <f t="shared" si="17"/>
        <v>5</v>
      </c>
      <c r="W173" s="95">
        <f t="shared" si="20"/>
        <v>0</v>
      </c>
      <c r="X173" s="95" t="s">
        <v>843</v>
      </c>
      <c r="Y173" s="95"/>
      <c r="Z173">
        <f>VLOOKUP(S173,Sessions!A:K,11,FALSE)</f>
        <v>1</v>
      </c>
    </row>
    <row r="174" spans="1:26" ht="16" x14ac:dyDescent="0.2">
      <c r="A174" s="111">
        <v>45442.23541666667</v>
      </c>
      <c r="B174" s="110" t="s">
        <v>670</v>
      </c>
      <c r="C174" s="110" t="s">
        <v>277</v>
      </c>
      <c r="D174" s="110" t="s">
        <v>278</v>
      </c>
      <c r="E174" s="118" t="s">
        <v>175</v>
      </c>
      <c r="F174" s="130" t="s">
        <v>876</v>
      </c>
      <c r="G174" s="110" t="s">
        <v>861</v>
      </c>
      <c r="H174" s="95">
        <v>23</v>
      </c>
      <c r="I174" s="157">
        <v>45442</v>
      </c>
      <c r="J174" s="110">
        <v>1</v>
      </c>
      <c r="K174" s="110" t="s">
        <v>862</v>
      </c>
      <c r="L174" s="110">
        <v>0</v>
      </c>
      <c r="M174" s="110"/>
      <c r="N174" s="110" t="s">
        <v>277</v>
      </c>
      <c r="O174" s="110" t="s">
        <v>278</v>
      </c>
      <c r="P174" s="198" t="s">
        <v>175</v>
      </c>
      <c r="Q174" s="198"/>
      <c r="R174" s="110" t="s">
        <v>673</v>
      </c>
      <c r="S174" s="95">
        <v>23</v>
      </c>
      <c r="T174" s="95" t="str">
        <f t="shared" si="16"/>
        <v>Art Gallery Preview: Heloisa Hariadne @ Twani</v>
      </c>
      <c r="U174" s="96">
        <f t="shared" si="25"/>
        <v>45442</v>
      </c>
      <c r="V174" s="95">
        <f t="shared" si="17"/>
        <v>5</v>
      </c>
      <c r="W174" s="95">
        <f t="shared" si="20"/>
        <v>0</v>
      </c>
      <c r="X174" s="95" t="s">
        <v>843</v>
      </c>
      <c r="Y174" s="95"/>
      <c r="Z174">
        <f>VLOOKUP(S174,Sessions!A:K,11,FALSE)</f>
        <v>1</v>
      </c>
    </row>
    <row r="175" spans="1:26" ht="16" x14ac:dyDescent="0.2">
      <c r="A175" s="111">
        <v>45442.274305555555</v>
      </c>
      <c r="B175" s="110" t="s">
        <v>670</v>
      </c>
      <c r="C175" s="110" t="s">
        <v>308</v>
      </c>
      <c r="D175" s="110" t="s">
        <v>440</v>
      </c>
      <c r="E175" s="118" t="s">
        <v>482</v>
      </c>
      <c r="F175" s="130" t="s">
        <v>877</v>
      </c>
      <c r="G175" s="110" t="s">
        <v>861</v>
      </c>
      <c r="H175" s="95">
        <v>23</v>
      </c>
      <c r="I175" s="157">
        <v>45442</v>
      </c>
      <c r="J175" s="110">
        <v>1</v>
      </c>
      <c r="K175" s="110" t="s">
        <v>862</v>
      </c>
      <c r="L175" s="110">
        <v>0</v>
      </c>
      <c r="M175" s="110"/>
      <c r="N175" s="110" t="s">
        <v>308</v>
      </c>
      <c r="O175" s="110" t="s">
        <v>440</v>
      </c>
      <c r="P175" s="198" t="s">
        <v>482</v>
      </c>
      <c r="Q175" s="198"/>
      <c r="R175" s="110" t="s">
        <v>673</v>
      </c>
      <c r="S175" s="95">
        <v>23</v>
      </c>
      <c r="T175" s="95" t="str">
        <f t="shared" si="16"/>
        <v>Art Gallery Preview: Heloisa Hariadne @ Twani</v>
      </c>
      <c r="U175" s="96">
        <f t="shared" si="25"/>
        <v>45442</v>
      </c>
      <c r="V175" s="95">
        <f t="shared" si="17"/>
        <v>5</v>
      </c>
      <c r="W175" s="95">
        <f t="shared" si="20"/>
        <v>0</v>
      </c>
      <c r="X175" s="95" t="s">
        <v>843</v>
      </c>
      <c r="Y175" s="95"/>
      <c r="Z175">
        <f>VLOOKUP(S175,Sessions!A:K,11,FALSE)</f>
        <v>1</v>
      </c>
    </row>
    <row r="176" spans="1:26" ht="16" x14ac:dyDescent="0.2">
      <c r="A176" s="111">
        <v>45442.275694444441</v>
      </c>
      <c r="B176" s="110" t="s">
        <v>670</v>
      </c>
      <c r="C176" s="110" t="s">
        <v>231</v>
      </c>
      <c r="D176" s="110" t="s">
        <v>440</v>
      </c>
      <c r="E176" s="118" t="s">
        <v>439</v>
      </c>
      <c r="F176" s="130" t="s">
        <v>441</v>
      </c>
      <c r="G176" s="110" t="s">
        <v>861</v>
      </c>
      <c r="H176" s="95">
        <v>23</v>
      </c>
      <c r="I176" s="157">
        <v>45442</v>
      </c>
      <c r="J176" s="110">
        <v>1</v>
      </c>
      <c r="K176" s="110" t="s">
        <v>862</v>
      </c>
      <c r="L176" s="110">
        <v>0</v>
      </c>
      <c r="M176" s="110"/>
      <c r="N176" s="110" t="s">
        <v>231</v>
      </c>
      <c r="O176" s="110" t="s">
        <v>440</v>
      </c>
      <c r="P176" s="198" t="s">
        <v>439</v>
      </c>
      <c r="Q176" s="198"/>
      <c r="R176" s="110" t="s">
        <v>673</v>
      </c>
      <c r="S176" s="95">
        <v>23</v>
      </c>
      <c r="T176" s="95" t="str">
        <f t="shared" si="16"/>
        <v>Art Gallery Preview: Heloisa Hariadne @ Twani</v>
      </c>
      <c r="U176" s="96">
        <f t="shared" si="25"/>
        <v>45442</v>
      </c>
      <c r="V176" s="95">
        <f t="shared" si="17"/>
        <v>5</v>
      </c>
      <c r="W176" s="95">
        <f t="shared" si="20"/>
        <v>0</v>
      </c>
      <c r="X176" s="95" t="s">
        <v>843</v>
      </c>
      <c r="Y176" s="95"/>
      <c r="Z176">
        <f>VLOOKUP(S176,Sessions!A:K,11,FALSE)</f>
        <v>1</v>
      </c>
    </row>
    <row r="177" spans="1:26" ht="16" x14ac:dyDescent="0.2">
      <c r="A177" s="111">
        <v>45442.304166666669</v>
      </c>
      <c r="B177" s="110" t="s">
        <v>670</v>
      </c>
      <c r="C177" s="110" t="s">
        <v>878</v>
      </c>
      <c r="D177" s="110" t="s">
        <v>879</v>
      </c>
      <c r="E177" s="118" t="s">
        <v>537</v>
      </c>
      <c r="F177" s="110">
        <v>7846069814</v>
      </c>
      <c r="G177" s="110" t="s">
        <v>868</v>
      </c>
      <c r="H177" s="95">
        <v>18</v>
      </c>
      <c r="I177" s="157">
        <v>45445</v>
      </c>
      <c r="J177" s="110">
        <v>1</v>
      </c>
      <c r="K177" s="110" t="s">
        <v>691</v>
      </c>
      <c r="L177" s="110">
        <v>15</v>
      </c>
      <c r="M177" s="110"/>
      <c r="N177" s="110" t="s">
        <v>878</v>
      </c>
      <c r="O177" s="110" t="s">
        <v>879</v>
      </c>
      <c r="P177" s="110" t="s">
        <v>537</v>
      </c>
      <c r="Q177" s="110" t="s">
        <v>739</v>
      </c>
      <c r="R177" s="110" t="s">
        <v>673</v>
      </c>
      <c r="S177" s="95">
        <v>18</v>
      </c>
      <c r="T177" s="95" t="str">
        <f t="shared" si="16"/>
        <v>Art Scavenger Hunt in Mayfair @ London Gallery Weekend</v>
      </c>
      <c r="U177" s="96">
        <f t="shared" si="25"/>
        <v>45445</v>
      </c>
      <c r="V177" s="95">
        <f t="shared" si="17"/>
        <v>6</v>
      </c>
      <c r="W177" s="95" t="str">
        <f t="shared" si="20"/>
        <v>WhatsApp</v>
      </c>
      <c r="X177" s="95" t="s">
        <v>843</v>
      </c>
      <c r="Y177" s="18" t="s">
        <v>165</v>
      </c>
      <c r="Z177">
        <f>VLOOKUP(S177,Sessions!A:K,11,FALSE)</f>
        <v>4</v>
      </c>
    </row>
    <row r="178" spans="1:26" ht="16" x14ac:dyDescent="0.2">
      <c r="A178" s="111">
        <v>45442.397916666669</v>
      </c>
      <c r="B178" s="110" t="s">
        <v>670</v>
      </c>
      <c r="C178" s="110" t="s">
        <v>200</v>
      </c>
      <c r="D178" s="110" t="s">
        <v>479</v>
      </c>
      <c r="E178" s="118" t="s">
        <v>478</v>
      </c>
      <c r="F178" s="110">
        <v>7774734706</v>
      </c>
      <c r="G178" s="110" t="s">
        <v>868</v>
      </c>
      <c r="H178" s="95">
        <v>18</v>
      </c>
      <c r="I178" s="157">
        <v>45445</v>
      </c>
      <c r="J178" s="110">
        <v>1</v>
      </c>
      <c r="K178" s="110" t="s">
        <v>691</v>
      </c>
      <c r="L178" s="110">
        <v>7.5</v>
      </c>
      <c r="M178" s="110" t="s">
        <v>880</v>
      </c>
      <c r="N178" s="110" t="s">
        <v>200</v>
      </c>
      <c r="O178" s="110" t="s">
        <v>479</v>
      </c>
      <c r="P178" s="110" t="s">
        <v>478</v>
      </c>
      <c r="Q178" s="110" t="s">
        <v>881</v>
      </c>
      <c r="R178" s="110" t="s">
        <v>673</v>
      </c>
      <c r="S178" s="95">
        <v>18</v>
      </c>
      <c r="T178" s="95" t="str">
        <f t="shared" si="16"/>
        <v>Art Scavenger Hunt in Mayfair @ London Gallery Weekend</v>
      </c>
      <c r="U178" s="96">
        <f t="shared" si="25"/>
        <v>45445</v>
      </c>
      <c r="V178" s="95">
        <f t="shared" si="17"/>
        <v>6</v>
      </c>
      <c r="W178" s="95" t="str">
        <f t="shared" si="20"/>
        <v>CC</v>
      </c>
      <c r="X178" s="95" t="s">
        <v>843</v>
      </c>
      <c r="Y178" s="95"/>
      <c r="Z178">
        <f>VLOOKUP(S178,Sessions!A:K,11,FALSE)</f>
        <v>4</v>
      </c>
    </row>
    <row r="179" spans="1:26" ht="16" x14ac:dyDescent="0.2">
      <c r="A179" s="111">
        <v>45442.413194444445</v>
      </c>
      <c r="B179" s="110" t="s">
        <v>670</v>
      </c>
      <c r="C179" s="110" t="s">
        <v>460</v>
      </c>
      <c r="D179" s="110" t="s">
        <v>461</v>
      </c>
      <c r="E179" s="118" t="s">
        <v>459</v>
      </c>
      <c r="F179" s="110">
        <v>7300421972</v>
      </c>
      <c r="G179" s="110" t="s">
        <v>868</v>
      </c>
      <c r="H179" s="95">
        <v>18</v>
      </c>
      <c r="I179" s="157">
        <v>45445</v>
      </c>
      <c r="J179" s="110">
        <v>1</v>
      </c>
      <c r="K179" s="110" t="s">
        <v>691</v>
      </c>
      <c r="L179" s="110">
        <v>7.5</v>
      </c>
      <c r="M179" s="110" t="s">
        <v>880</v>
      </c>
      <c r="N179" s="110" t="s">
        <v>460</v>
      </c>
      <c r="O179" s="110" t="s">
        <v>461</v>
      </c>
      <c r="P179" s="110" t="s">
        <v>459</v>
      </c>
      <c r="Q179" s="110" t="s">
        <v>819</v>
      </c>
      <c r="R179" s="110" t="s">
        <v>673</v>
      </c>
      <c r="S179" s="95">
        <v>18</v>
      </c>
      <c r="T179" s="95" t="str">
        <f t="shared" si="16"/>
        <v>Art Scavenger Hunt in Mayfair @ London Gallery Weekend</v>
      </c>
      <c r="U179" s="96">
        <f t="shared" si="25"/>
        <v>45445</v>
      </c>
      <c r="V179" s="95">
        <f t="shared" si="17"/>
        <v>6</v>
      </c>
      <c r="W179" s="95" t="str">
        <f t="shared" si="20"/>
        <v>echckt</v>
      </c>
      <c r="X179" s="95" t="s">
        <v>843</v>
      </c>
      <c r="Y179" s="95"/>
      <c r="Z179">
        <f>VLOOKUP(S179,Sessions!A:K,11,FALSE)</f>
        <v>4</v>
      </c>
    </row>
    <row r="180" spans="1:26" ht="16" x14ac:dyDescent="0.2">
      <c r="A180" s="111">
        <v>45442.414583333331</v>
      </c>
      <c r="B180" s="110" t="s">
        <v>670</v>
      </c>
      <c r="C180" s="110" t="s">
        <v>566</v>
      </c>
      <c r="D180" s="110" t="s">
        <v>567</v>
      </c>
      <c r="E180" s="118" t="s">
        <v>565</v>
      </c>
      <c r="F180" s="110">
        <v>7300421968</v>
      </c>
      <c r="G180" s="110" t="s">
        <v>868</v>
      </c>
      <c r="H180" s="95">
        <v>18</v>
      </c>
      <c r="I180" s="157">
        <v>45445</v>
      </c>
      <c r="J180" s="110">
        <v>1</v>
      </c>
      <c r="K180" s="110" t="s">
        <v>691</v>
      </c>
      <c r="L180" s="110">
        <v>7.5</v>
      </c>
      <c r="M180" s="110" t="s">
        <v>880</v>
      </c>
      <c r="N180" s="110" t="s">
        <v>566</v>
      </c>
      <c r="O180" s="110" t="s">
        <v>567</v>
      </c>
      <c r="P180" s="110" t="s">
        <v>565</v>
      </c>
      <c r="Q180" s="110" t="s">
        <v>819</v>
      </c>
      <c r="R180" s="110" t="s">
        <v>673</v>
      </c>
      <c r="S180" s="95">
        <v>18</v>
      </c>
      <c r="T180" s="95" t="str">
        <f t="shared" si="16"/>
        <v>Art Scavenger Hunt in Mayfair @ London Gallery Weekend</v>
      </c>
      <c r="U180" s="96">
        <f t="shared" si="25"/>
        <v>45445</v>
      </c>
      <c r="V180" s="95">
        <f t="shared" si="17"/>
        <v>6</v>
      </c>
      <c r="W180" s="95" t="str">
        <f t="shared" si="20"/>
        <v>echckt</v>
      </c>
      <c r="X180" s="95" t="s">
        <v>843</v>
      </c>
      <c r="Y180" s="95"/>
      <c r="Z180">
        <f>VLOOKUP(S180,Sessions!A:K,11,FALSE)</f>
        <v>4</v>
      </c>
    </row>
    <row r="181" spans="1:26" ht="16" x14ac:dyDescent="0.2">
      <c r="A181" s="111">
        <v>45442.415972222225</v>
      </c>
      <c r="B181" s="110" t="s">
        <v>670</v>
      </c>
      <c r="C181" s="110" t="s">
        <v>606</v>
      </c>
      <c r="D181" s="110" t="s">
        <v>670</v>
      </c>
      <c r="E181" s="118" t="s">
        <v>605</v>
      </c>
      <c r="F181" s="130" t="s">
        <v>608</v>
      </c>
      <c r="G181" s="110" t="s">
        <v>868</v>
      </c>
      <c r="H181" s="95">
        <v>18</v>
      </c>
      <c r="I181" s="157">
        <v>45445</v>
      </c>
      <c r="J181" s="110">
        <v>1</v>
      </c>
      <c r="K181" s="110" t="s">
        <v>691</v>
      </c>
      <c r="L181" s="110">
        <v>15</v>
      </c>
      <c r="M181" s="110"/>
      <c r="N181" s="110" t="s">
        <v>606</v>
      </c>
      <c r="O181" s="110" t="s">
        <v>607</v>
      </c>
      <c r="P181" s="110" t="s">
        <v>605</v>
      </c>
      <c r="Q181" s="110" t="s">
        <v>731</v>
      </c>
      <c r="R181" s="110" t="s">
        <v>673</v>
      </c>
      <c r="S181" s="95">
        <v>18</v>
      </c>
      <c r="T181" s="95" t="str">
        <f t="shared" si="16"/>
        <v>Art Scavenger Hunt in Mayfair @ London Gallery Weekend</v>
      </c>
      <c r="U181" s="96">
        <f t="shared" si="25"/>
        <v>45445</v>
      </c>
      <c r="V181" s="95">
        <f t="shared" si="17"/>
        <v>6</v>
      </c>
      <c r="W181" s="95" t="str">
        <f t="shared" si="20"/>
        <v>oddtdtdirect</v>
      </c>
      <c r="X181" s="95" t="s">
        <v>843</v>
      </c>
      <c r="Y181" s="95"/>
      <c r="Z181">
        <f>VLOOKUP(S181,Sessions!A:K,11,FALSE)</f>
        <v>4</v>
      </c>
    </row>
    <row r="182" spans="1:26" ht="16" customHeight="1" x14ac:dyDescent="0.2">
      <c r="A182" s="111">
        <v>45442.461111111108</v>
      </c>
      <c r="B182" s="110" t="s">
        <v>689</v>
      </c>
      <c r="C182" s="110" t="s">
        <v>491</v>
      </c>
      <c r="D182" s="110" t="s">
        <v>492</v>
      </c>
      <c r="E182" s="118" t="s">
        <v>490</v>
      </c>
      <c r="F182" s="130" t="s">
        <v>882</v>
      </c>
      <c r="G182" s="110" t="s">
        <v>861</v>
      </c>
      <c r="H182" s="95">
        <v>23</v>
      </c>
      <c r="I182" s="157">
        <v>45442</v>
      </c>
      <c r="J182" s="110">
        <v>1</v>
      </c>
      <c r="K182" s="110" t="s">
        <v>862</v>
      </c>
      <c r="L182" s="110">
        <v>0</v>
      </c>
      <c r="M182" s="110"/>
      <c r="N182" s="110" t="s">
        <v>491</v>
      </c>
      <c r="O182" s="110" t="s">
        <v>492</v>
      </c>
      <c r="P182" s="198" t="s">
        <v>490</v>
      </c>
      <c r="Q182" s="198"/>
      <c r="R182" s="110" t="s">
        <v>673</v>
      </c>
      <c r="S182" s="95">
        <v>23</v>
      </c>
      <c r="T182" s="95" t="str">
        <f t="shared" si="16"/>
        <v>Art Gallery Preview: Heloisa Hariadne @ Twani</v>
      </c>
      <c r="U182" s="96">
        <f t="shared" si="25"/>
        <v>45442</v>
      </c>
      <c r="V182" s="95">
        <f t="shared" si="17"/>
        <v>5</v>
      </c>
      <c r="W182" s="95">
        <f t="shared" si="20"/>
        <v>0</v>
      </c>
      <c r="X182" s="95" t="s">
        <v>843</v>
      </c>
      <c r="Y182" s="95"/>
      <c r="Z182">
        <f>VLOOKUP(S182,Sessions!A:K,11,FALSE)</f>
        <v>1</v>
      </c>
    </row>
    <row r="183" spans="1:26" ht="16" x14ac:dyDescent="0.2">
      <c r="A183" s="111">
        <v>45442.488888888889</v>
      </c>
      <c r="B183" s="110" t="s">
        <v>670</v>
      </c>
      <c r="C183" s="110" t="s">
        <v>303</v>
      </c>
      <c r="D183" s="110" t="s">
        <v>304</v>
      </c>
      <c r="E183" s="118" t="s">
        <v>125</v>
      </c>
      <c r="F183" s="130" t="s">
        <v>883</v>
      </c>
      <c r="G183" s="110" t="s">
        <v>868</v>
      </c>
      <c r="H183" s="95">
        <v>18</v>
      </c>
      <c r="I183" s="157">
        <v>45445</v>
      </c>
      <c r="J183" s="110">
        <v>1</v>
      </c>
      <c r="K183" s="110" t="s">
        <v>691</v>
      </c>
      <c r="L183" s="110">
        <v>15</v>
      </c>
      <c r="M183" s="110"/>
      <c r="N183" s="110" t="s">
        <v>303</v>
      </c>
      <c r="O183" s="110" t="s">
        <v>304</v>
      </c>
      <c r="P183" s="198" t="s">
        <v>125</v>
      </c>
      <c r="Q183" s="198"/>
      <c r="R183" s="110" t="s">
        <v>673</v>
      </c>
      <c r="S183" s="95">
        <v>18</v>
      </c>
      <c r="T183" s="95" t="str">
        <f t="shared" si="16"/>
        <v>Art Scavenger Hunt in Mayfair @ London Gallery Weekend</v>
      </c>
      <c r="U183" s="96">
        <f t="shared" si="25"/>
        <v>45445</v>
      </c>
      <c r="V183" s="95">
        <f t="shared" si="17"/>
        <v>6</v>
      </c>
      <c r="W183" s="95">
        <f t="shared" si="20"/>
        <v>0</v>
      </c>
      <c r="X183" s="95" t="s">
        <v>843</v>
      </c>
      <c r="Y183" s="95"/>
      <c r="Z183">
        <f>VLOOKUP(S183,Sessions!A:K,11,FALSE)</f>
        <v>4</v>
      </c>
    </row>
    <row r="184" spans="1:26" ht="16" x14ac:dyDescent="0.2">
      <c r="A184" s="111">
        <v>45442.494444444441</v>
      </c>
      <c r="B184" s="110" t="s">
        <v>670</v>
      </c>
      <c r="C184" s="110" t="s">
        <v>884</v>
      </c>
      <c r="D184" s="110" t="s">
        <v>585</v>
      </c>
      <c r="E184" s="118" t="s">
        <v>583</v>
      </c>
      <c r="F184" s="130" t="s">
        <v>586</v>
      </c>
      <c r="G184" s="110" t="s">
        <v>861</v>
      </c>
      <c r="H184" s="95">
        <v>23</v>
      </c>
      <c r="I184" s="157">
        <v>45442</v>
      </c>
      <c r="J184" s="110">
        <v>1</v>
      </c>
      <c r="K184" s="110" t="s">
        <v>862</v>
      </c>
      <c r="L184" s="110">
        <v>0</v>
      </c>
      <c r="M184" s="110"/>
      <c r="N184" s="110" t="s">
        <v>884</v>
      </c>
      <c r="O184" s="110" t="s">
        <v>585</v>
      </c>
      <c r="P184" s="198" t="s">
        <v>583</v>
      </c>
      <c r="Q184" s="198"/>
      <c r="R184" s="110" t="s">
        <v>673</v>
      </c>
      <c r="S184" s="95">
        <v>23</v>
      </c>
      <c r="T184" s="95" t="str">
        <f t="shared" si="16"/>
        <v>Art Gallery Preview: Heloisa Hariadne @ Twani</v>
      </c>
      <c r="U184" s="96">
        <f t="shared" ref="U184:U214" si="26">I184</f>
        <v>45442</v>
      </c>
      <c r="V184" s="95">
        <f t="shared" si="17"/>
        <v>5</v>
      </c>
      <c r="W184" s="95">
        <f t="shared" si="20"/>
        <v>0</v>
      </c>
      <c r="X184" s="95" t="s">
        <v>843</v>
      </c>
      <c r="Y184" s="18" t="s">
        <v>165</v>
      </c>
      <c r="Z184">
        <f>VLOOKUP(S184,Sessions!A:K,11,FALSE)</f>
        <v>1</v>
      </c>
    </row>
    <row r="185" spans="1:26" ht="16" x14ac:dyDescent="0.2">
      <c r="A185" s="111">
        <v>45442.752083333333</v>
      </c>
      <c r="B185" s="110" t="s">
        <v>670</v>
      </c>
      <c r="C185" s="110" t="s">
        <v>455</v>
      </c>
      <c r="D185" s="110" t="s">
        <v>456</v>
      </c>
      <c r="E185" s="118" t="s">
        <v>885</v>
      </c>
      <c r="F185" s="110">
        <v>7873956356</v>
      </c>
      <c r="G185" s="110" t="s">
        <v>868</v>
      </c>
      <c r="H185" s="95">
        <v>18</v>
      </c>
      <c r="I185" s="157">
        <v>45445</v>
      </c>
      <c r="J185" s="110">
        <v>1</v>
      </c>
      <c r="K185" s="110" t="s">
        <v>691</v>
      </c>
      <c r="L185" s="110">
        <v>15</v>
      </c>
      <c r="M185" s="110"/>
      <c r="N185" s="110" t="s">
        <v>455</v>
      </c>
      <c r="O185" s="110" t="s">
        <v>456</v>
      </c>
      <c r="P185" s="110" t="s">
        <v>885</v>
      </c>
      <c r="Q185" s="110" t="s">
        <v>739</v>
      </c>
      <c r="R185" s="110" t="s">
        <v>673</v>
      </c>
      <c r="S185" s="95">
        <v>18</v>
      </c>
      <c r="T185" s="95" t="str">
        <f t="shared" si="16"/>
        <v>Art Scavenger Hunt in Mayfair @ London Gallery Weekend</v>
      </c>
      <c r="U185" s="96">
        <f t="shared" si="26"/>
        <v>45445</v>
      </c>
      <c r="V185" s="95">
        <f t="shared" si="17"/>
        <v>6</v>
      </c>
      <c r="W185" s="95" t="str">
        <f t="shared" si="20"/>
        <v>WhatsApp</v>
      </c>
      <c r="X185" s="95" t="s">
        <v>843</v>
      </c>
      <c r="Y185" s="95"/>
      <c r="Z185">
        <f>VLOOKUP(S185,Sessions!A:K,11,FALSE)</f>
        <v>4</v>
      </c>
    </row>
    <row r="186" spans="1:26" ht="16" customHeight="1" x14ac:dyDescent="0.2">
      <c r="A186" s="111">
        <v>45443.445138888892</v>
      </c>
      <c r="B186" s="110" t="s">
        <v>670</v>
      </c>
      <c r="C186" s="110" t="s">
        <v>221</v>
      </c>
      <c r="D186" s="110" t="s">
        <v>222</v>
      </c>
      <c r="E186" s="118" t="s">
        <v>560</v>
      </c>
      <c r="F186" s="130" t="s">
        <v>561</v>
      </c>
      <c r="G186" s="110" t="s">
        <v>868</v>
      </c>
      <c r="H186" s="95">
        <v>18</v>
      </c>
      <c r="I186" s="157">
        <v>45445</v>
      </c>
      <c r="J186" s="110">
        <v>1</v>
      </c>
      <c r="K186" s="110" t="s">
        <v>691</v>
      </c>
      <c r="L186" s="110">
        <v>15</v>
      </c>
      <c r="M186" s="110"/>
      <c r="N186" s="110" t="s">
        <v>221</v>
      </c>
      <c r="O186" s="110" t="s">
        <v>222</v>
      </c>
      <c r="P186" s="198" t="s">
        <v>560</v>
      </c>
      <c r="Q186" s="198"/>
      <c r="R186" s="110" t="s">
        <v>673</v>
      </c>
      <c r="S186" s="95">
        <v>18</v>
      </c>
      <c r="T186" s="95" t="str">
        <f t="shared" si="16"/>
        <v>Art Scavenger Hunt in Mayfair @ London Gallery Weekend</v>
      </c>
      <c r="U186" s="96">
        <f t="shared" si="26"/>
        <v>45445</v>
      </c>
      <c r="V186" s="95">
        <f t="shared" si="17"/>
        <v>6</v>
      </c>
      <c r="W186" s="95">
        <f t="shared" si="20"/>
        <v>0</v>
      </c>
      <c r="X186" s="95" t="s">
        <v>843</v>
      </c>
      <c r="Y186" s="95"/>
      <c r="Z186">
        <f>VLOOKUP(S186,Sessions!A:K,11,FALSE)</f>
        <v>4</v>
      </c>
    </row>
    <row r="187" spans="1:26" ht="16" x14ac:dyDescent="0.2">
      <c r="A187" s="111">
        <v>45444.289583333331</v>
      </c>
      <c r="B187" s="110" t="s">
        <v>689</v>
      </c>
      <c r="C187" s="110" t="s">
        <v>475</v>
      </c>
      <c r="D187" s="110" t="s">
        <v>476</v>
      </c>
      <c r="E187" s="118" t="s">
        <v>474</v>
      </c>
      <c r="F187" s="110">
        <v>0</v>
      </c>
      <c r="G187" s="110" t="s">
        <v>868</v>
      </c>
      <c r="H187" s="95">
        <v>18</v>
      </c>
      <c r="I187" s="157">
        <v>45445</v>
      </c>
      <c r="J187" s="110">
        <v>1</v>
      </c>
      <c r="K187" s="110" t="s">
        <v>697</v>
      </c>
      <c r="L187" s="110">
        <v>30</v>
      </c>
      <c r="M187" s="110"/>
      <c r="N187" s="110" t="s">
        <v>475</v>
      </c>
      <c r="O187" s="110" t="s">
        <v>476</v>
      </c>
      <c r="P187" s="198" t="s">
        <v>474</v>
      </c>
      <c r="Q187" s="198"/>
      <c r="R187" s="110" t="s">
        <v>673</v>
      </c>
      <c r="S187" s="95">
        <v>18</v>
      </c>
      <c r="T187" s="95" t="str">
        <f t="shared" si="16"/>
        <v>Art Scavenger Hunt in Mayfair @ London Gallery Weekend</v>
      </c>
      <c r="U187" s="96">
        <f t="shared" si="26"/>
        <v>45445</v>
      </c>
      <c r="V187" s="95">
        <f t="shared" si="17"/>
        <v>6</v>
      </c>
      <c r="W187" s="95">
        <f t="shared" si="20"/>
        <v>0</v>
      </c>
      <c r="X187" s="95" t="s">
        <v>843</v>
      </c>
      <c r="Y187" s="18" t="s">
        <v>165</v>
      </c>
      <c r="Z187">
        <f>VLOOKUP(S187,Sessions!A:K,11,FALSE)</f>
        <v>4</v>
      </c>
    </row>
    <row r="188" spans="1:26" ht="16" x14ac:dyDescent="0.2">
      <c r="A188" s="111">
        <v>45444.643750000003</v>
      </c>
      <c r="B188" s="110" t="s">
        <v>670</v>
      </c>
      <c r="C188" s="110" t="s">
        <v>229</v>
      </c>
      <c r="D188" s="110" t="s">
        <v>229</v>
      </c>
      <c r="E188" s="118" t="s">
        <v>138</v>
      </c>
      <c r="F188" s="110">
        <v>7877845663</v>
      </c>
      <c r="G188" s="110" t="s">
        <v>868</v>
      </c>
      <c r="H188" s="95">
        <v>18</v>
      </c>
      <c r="I188" s="157">
        <v>45445</v>
      </c>
      <c r="J188" s="110">
        <v>1</v>
      </c>
      <c r="K188" s="110" t="s">
        <v>691</v>
      </c>
      <c r="L188" s="110">
        <v>15</v>
      </c>
      <c r="M188" s="110"/>
      <c r="N188" s="110" t="s">
        <v>229</v>
      </c>
      <c r="O188" s="110" t="s">
        <v>229</v>
      </c>
      <c r="P188" s="110" t="s">
        <v>138</v>
      </c>
      <c r="Q188" s="110" t="s">
        <v>768</v>
      </c>
      <c r="R188" s="110" t="s">
        <v>673</v>
      </c>
      <c r="S188" s="95">
        <v>18</v>
      </c>
      <c r="T188" s="95" t="str">
        <f t="shared" si="16"/>
        <v>Art Scavenger Hunt in Mayfair @ London Gallery Weekend</v>
      </c>
      <c r="U188" s="96">
        <f t="shared" si="26"/>
        <v>45445</v>
      </c>
      <c r="V188" s="95">
        <f t="shared" si="17"/>
        <v>6</v>
      </c>
      <c r="W188" s="95" t="str">
        <f t="shared" si="20"/>
        <v>oddtdtcreator</v>
      </c>
      <c r="X188" s="95" t="s">
        <v>843</v>
      </c>
      <c r="Y188" s="95"/>
      <c r="Z188">
        <f>VLOOKUP(S188,Sessions!A:K,11,FALSE)</f>
        <v>4</v>
      </c>
    </row>
    <row r="189" spans="1:26" ht="16" customHeight="1" x14ac:dyDescent="0.2">
      <c r="A189" s="111">
        <v>45444.724999999999</v>
      </c>
      <c r="B189" s="110" t="s">
        <v>670</v>
      </c>
      <c r="C189" s="110" t="s">
        <v>190</v>
      </c>
      <c r="D189" s="110" t="s">
        <v>191</v>
      </c>
      <c r="E189" s="118" t="s">
        <v>132</v>
      </c>
      <c r="F189" s="130" t="s">
        <v>866</v>
      </c>
      <c r="G189" s="110" t="s">
        <v>868</v>
      </c>
      <c r="H189" s="95">
        <v>18</v>
      </c>
      <c r="I189" s="157">
        <v>45445</v>
      </c>
      <c r="J189" s="110">
        <v>1</v>
      </c>
      <c r="K189" s="110" t="s">
        <v>691</v>
      </c>
      <c r="L189" s="110">
        <v>15</v>
      </c>
      <c r="M189" s="110"/>
      <c r="N189" s="110" t="s">
        <v>190</v>
      </c>
      <c r="O189" s="110" t="s">
        <v>191</v>
      </c>
      <c r="P189" s="198" t="s">
        <v>132</v>
      </c>
      <c r="Q189" s="198"/>
      <c r="R189" s="110" t="s">
        <v>673</v>
      </c>
      <c r="S189" s="95">
        <v>18</v>
      </c>
      <c r="T189" s="95" t="str">
        <f t="shared" si="16"/>
        <v>Art Scavenger Hunt in Mayfair @ London Gallery Weekend</v>
      </c>
      <c r="U189" s="96">
        <f t="shared" si="26"/>
        <v>45445</v>
      </c>
      <c r="V189" s="95">
        <f t="shared" si="17"/>
        <v>6</v>
      </c>
      <c r="W189" s="95">
        <f t="shared" si="20"/>
        <v>0</v>
      </c>
      <c r="X189" s="95" t="s">
        <v>843</v>
      </c>
      <c r="Y189" s="95"/>
      <c r="Z189">
        <f>VLOOKUP(S189,Sessions!A:K,11,FALSE)</f>
        <v>4</v>
      </c>
    </row>
    <row r="190" spans="1:26" ht="16" x14ac:dyDescent="0.2">
      <c r="A190" s="111">
        <v>45446.614583333336</v>
      </c>
      <c r="B190" s="110" t="s">
        <v>670</v>
      </c>
      <c r="C190" s="110" t="s">
        <v>527</v>
      </c>
      <c r="D190" s="110" t="s">
        <v>528</v>
      </c>
      <c r="E190" s="118" t="s">
        <v>526</v>
      </c>
      <c r="F190" s="110">
        <v>7841262698</v>
      </c>
      <c r="G190" s="110" t="s">
        <v>886</v>
      </c>
      <c r="H190" s="95">
        <v>24</v>
      </c>
      <c r="I190" s="157">
        <v>45451</v>
      </c>
      <c r="J190" s="110">
        <v>1</v>
      </c>
      <c r="K190" s="110" t="s">
        <v>691</v>
      </c>
      <c r="L190" s="110">
        <v>15</v>
      </c>
      <c r="M190" s="110"/>
      <c r="N190" s="110" t="s">
        <v>527</v>
      </c>
      <c r="O190" s="110" t="s">
        <v>528</v>
      </c>
      <c r="P190" s="110" t="s">
        <v>526</v>
      </c>
      <c r="Q190" s="110" t="s">
        <v>739</v>
      </c>
      <c r="R190" s="110" t="s">
        <v>673</v>
      </c>
      <c r="S190" s="95">
        <v>24</v>
      </c>
      <c r="T190" s="95" t="str">
        <f t="shared" si="16"/>
        <v>Hidden Gems: Art Gallery Stroll in South London (Bermondsey)</v>
      </c>
      <c r="U190" s="96">
        <f t="shared" si="26"/>
        <v>45451</v>
      </c>
      <c r="V190" s="95">
        <f t="shared" si="17"/>
        <v>6</v>
      </c>
      <c r="W190" s="95" t="str">
        <f t="shared" si="20"/>
        <v>WhatsApp</v>
      </c>
      <c r="X190" s="95" t="s">
        <v>843</v>
      </c>
      <c r="Y190" s="95"/>
      <c r="Z190">
        <f>VLOOKUP(S190,Sessions!A:K,11,FALSE)</f>
        <v>4</v>
      </c>
    </row>
    <row r="191" spans="1:26" ht="16" x14ac:dyDescent="0.2">
      <c r="A191" s="111">
        <v>45446.692361111112</v>
      </c>
      <c r="B191" s="110" t="s">
        <v>670</v>
      </c>
      <c r="C191" s="110" t="s">
        <v>887</v>
      </c>
      <c r="D191" s="110" t="s">
        <v>888</v>
      </c>
      <c r="E191" s="118" t="s">
        <v>889</v>
      </c>
      <c r="F191" s="110">
        <v>7463715472</v>
      </c>
      <c r="G191" s="110" t="s">
        <v>886</v>
      </c>
      <c r="H191" s="95">
        <v>24</v>
      </c>
      <c r="I191" s="157">
        <v>45451</v>
      </c>
      <c r="J191" s="110">
        <v>1</v>
      </c>
      <c r="K191" s="110" t="s">
        <v>691</v>
      </c>
      <c r="L191" s="110">
        <v>15</v>
      </c>
      <c r="M191" s="110"/>
      <c r="N191" s="110" t="s">
        <v>887</v>
      </c>
      <c r="O191" s="110" t="s">
        <v>888</v>
      </c>
      <c r="P191" s="110" t="s">
        <v>889</v>
      </c>
      <c r="Q191" s="110" t="s">
        <v>739</v>
      </c>
      <c r="R191" s="110" t="s">
        <v>673</v>
      </c>
      <c r="S191" s="95">
        <v>24</v>
      </c>
      <c r="T191" s="95" t="str">
        <f t="shared" si="16"/>
        <v>Hidden Gems: Art Gallery Stroll in South London (Bermondsey)</v>
      </c>
      <c r="U191" s="96">
        <f t="shared" si="26"/>
        <v>45451</v>
      </c>
      <c r="V191" s="95">
        <f t="shared" si="17"/>
        <v>6</v>
      </c>
      <c r="W191" s="95" t="str">
        <f t="shared" si="20"/>
        <v>WhatsApp</v>
      </c>
      <c r="X191" s="95" t="s">
        <v>843</v>
      </c>
      <c r="Y191" s="95"/>
      <c r="Z191">
        <f>VLOOKUP(S191,Sessions!A:K,11,FALSE)</f>
        <v>4</v>
      </c>
    </row>
    <row r="192" spans="1:26" ht="16" x14ac:dyDescent="0.2">
      <c r="A192" s="111">
        <v>45447.663194444445</v>
      </c>
      <c r="B192" s="110" t="s">
        <v>670</v>
      </c>
      <c r="C192" s="110" t="s">
        <v>890</v>
      </c>
      <c r="D192" s="110" t="s">
        <v>891</v>
      </c>
      <c r="E192" s="118" t="s">
        <v>892</v>
      </c>
      <c r="F192" s="110">
        <v>7926962119</v>
      </c>
      <c r="G192" s="110" t="s">
        <v>886</v>
      </c>
      <c r="H192" s="95">
        <v>24</v>
      </c>
      <c r="I192" s="157">
        <v>45451</v>
      </c>
      <c r="J192" s="110">
        <v>1</v>
      </c>
      <c r="K192" s="110" t="s">
        <v>697</v>
      </c>
      <c r="L192" s="110">
        <v>0</v>
      </c>
      <c r="M192" s="110"/>
      <c r="N192" s="110" t="s">
        <v>890</v>
      </c>
      <c r="O192" s="110" t="s">
        <v>891</v>
      </c>
      <c r="P192" s="110" t="s">
        <v>892</v>
      </c>
      <c r="Q192" s="110" t="s">
        <v>893</v>
      </c>
      <c r="R192" s="110" t="s">
        <v>673</v>
      </c>
      <c r="S192" s="95">
        <v>24</v>
      </c>
      <c r="T192" s="95" t="str">
        <f t="shared" si="16"/>
        <v>Hidden Gems: Art Gallery Stroll in South London (Bermondsey)</v>
      </c>
      <c r="U192" s="96">
        <f t="shared" si="26"/>
        <v>45451</v>
      </c>
      <c r="V192" s="95">
        <f t="shared" si="17"/>
        <v>6</v>
      </c>
      <c r="W192" s="95" t="str">
        <f t="shared" si="20"/>
        <v>AV</v>
      </c>
      <c r="X192" s="95" t="s">
        <v>843</v>
      </c>
      <c r="Y192" s="95"/>
      <c r="Z192">
        <f>VLOOKUP(S192,Sessions!A:K,11,FALSE)</f>
        <v>4</v>
      </c>
    </row>
    <row r="193" spans="1:26" ht="16" customHeight="1" x14ac:dyDescent="0.2">
      <c r="A193" s="111">
        <v>45448.240277777775</v>
      </c>
      <c r="B193" s="110" t="s">
        <v>670</v>
      </c>
      <c r="C193" s="110" t="s">
        <v>190</v>
      </c>
      <c r="D193" s="110" t="s">
        <v>191</v>
      </c>
      <c r="E193" s="198" t="s">
        <v>132</v>
      </c>
      <c r="F193" s="198"/>
      <c r="G193" s="110" t="s">
        <v>894</v>
      </c>
      <c r="H193" s="95">
        <v>28</v>
      </c>
      <c r="I193" s="157">
        <v>45457</v>
      </c>
      <c r="J193" s="110">
        <v>1</v>
      </c>
      <c r="K193" s="110" t="s">
        <v>895</v>
      </c>
      <c r="L193" s="110">
        <v>0</v>
      </c>
      <c r="M193" s="110"/>
      <c r="N193" s="110" t="s">
        <v>190</v>
      </c>
      <c r="O193" s="110" t="s">
        <v>191</v>
      </c>
      <c r="P193" s="110" t="s">
        <v>132</v>
      </c>
      <c r="Q193" s="110"/>
      <c r="R193" s="110" t="s">
        <v>673</v>
      </c>
      <c r="S193" s="95">
        <v>28</v>
      </c>
      <c r="T193" s="95" t="str">
        <f t="shared" si="16"/>
        <v>Members’ Night at Tate Britain</v>
      </c>
      <c r="U193" s="96">
        <f t="shared" si="26"/>
        <v>45457</v>
      </c>
      <c r="V193" s="95">
        <f t="shared" ref="V193:V230" si="27">MONTH(U193)</f>
        <v>6</v>
      </c>
      <c r="W193" s="95">
        <f t="shared" si="20"/>
        <v>0</v>
      </c>
      <c r="X193" s="95" t="s">
        <v>843</v>
      </c>
      <c r="Y193" s="95"/>
      <c r="Z193">
        <f>VLOOKUP(S193,Sessions!A:K,11,FALSE)</f>
        <v>1</v>
      </c>
    </row>
    <row r="194" spans="1:26" ht="16" x14ac:dyDescent="0.2">
      <c r="A194" s="111">
        <v>45448.241666666669</v>
      </c>
      <c r="B194" s="110" t="s">
        <v>670</v>
      </c>
      <c r="C194" s="110" t="s">
        <v>226</v>
      </c>
      <c r="D194" s="110" t="s">
        <v>227</v>
      </c>
      <c r="E194" s="198" t="s">
        <v>165</v>
      </c>
      <c r="F194" s="198"/>
      <c r="G194" s="110" t="s">
        <v>894</v>
      </c>
      <c r="H194" s="95">
        <v>28</v>
      </c>
      <c r="I194" s="157">
        <v>45457</v>
      </c>
      <c r="J194" s="110">
        <v>1</v>
      </c>
      <c r="K194" s="110" t="s">
        <v>895</v>
      </c>
      <c r="L194" s="110">
        <v>0</v>
      </c>
      <c r="M194" s="110"/>
      <c r="N194" s="110" t="s">
        <v>226</v>
      </c>
      <c r="O194" s="110" t="s">
        <v>227</v>
      </c>
      <c r="P194" s="110" t="s">
        <v>165</v>
      </c>
      <c r="Q194" s="110"/>
      <c r="R194" s="110" t="s">
        <v>673</v>
      </c>
      <c r="S194" s="95">
        <v>28</v>
      </c>
      <c r="T194" s="95" t="str">
        <f t="shared" ref="T194:T230" si="28">G194</f>
        <v>Members’ Night at Tate Britain</v>
      </c>
      <c r="U194" s="96">
        <f t="shared" si="26"/>
        <v>45457</v>
      </c>
      <c r="V194" s="95">
        <f t="shared" si="27"/>
        <v>6</v>
      </c>
      <c r="W194" s="95">
        <f t="shared" si="20"/>
        <v>0</v>
      </c>
      <c r="X194" s="95" t="s">
        <v>843</v>
      </c>
      <c r="Y194" s="95"/>
      <c r="Z194">
        <f>VLOOKUP(S194,Sessions!A:K,11,FALSE)</f>
        <v>1</v>
      </c>
    </row>
    <row r="195" spans="1:26" ht="16" x14ac:dyDescent="0.2">
      <c r="A195" s="111">
        <v>45448.242361111108</v>
      </c>
      <c r="B195" s="110" t="s">
        <v>689</v>
      </c>
      <c r="C195" s="110" t="s">
        <v>216</v>
      </c>
      <c r="D195" s="110" t="s">
        <v>217</v>
      </c>
      <c r="E195" s="198" t="s">
        <v>127</v>
      </c>
      <c r="F195" s="198"/>
      <c r="G195" s="110" t="s">
        <v>894</v>
      </c>
      <c r="H195" s="95">
        <v>28</v>
      </c>
      <c r="I195" s="157">
        <v>45457</v>
      </c>
      <c r="J195" s="110">
        <v>1</v>
      </c>
      <c r="K195" s="110" t="s">
        <v>895</v>
      </c>
      <c r="L195" s="110">
        <v>0</v>
      </c>
      <c r="M195" s="110"/>
      <c r="N195" s="110" t="s">
        <v>216</v>
      </c>
      <c r="O195" s="110" t="s">
        <v>217</v>
      </c>
      <c r="P195" s="110" t="s">
        <v>127</v>
      </c>
      <c r="Q195" s="110"/>
      <c r="R195" s="110" t="s">
        <v>673</v>
      </c>
      <c r="S195" s="95">
        <v>28</v>
      </c>
      <c r="T195" s="95" t="str">
        <f t="shared" si="28"/>
        <v>Members’ Night at Tate Britain</v>
      </c>
      <c r="U195" s="96">
        <f t="shared" si="26"/>
        <v>45457</v>
      </c>
      <c r="V195" s="95">
        <f t="shared" si="27"/>
        <v>6</v>
      </c>
      <c r="W195" s="95">
        <f t="shared" si="20"/>
        <v>0</v>
      </c>
      <c r="X195" s="95" t="s">
        <v>843</v>
      </c>
      <c r="Y195" s="95"/>
      <c r="Z195">
        <f>VLOOKUP(S195,Sessions!A:K,11,FALSE)</f>
        <v>1</v>
      </c>
    </row>
    <row r="196" spans="1:26" ht="16" x14ac:dyDescent="0.2">
      <c r="A196" s="111">
        <v>45448.34652777778</v>
      </c>
      <c r="B196" s="110" t="s">
        <v>670</v>
      </c>
      <c r="C196" s="110" t="s">
        <v>460</v>
      </c>
      <c r="D196" s="110" t="s">
        <v>461</v>
      </c>
      <c r="E196" s="118" t="s">
        <v>459</v>
      </c>
      <c r="F196" s="110">
        <v>7300421972</v>
      </c>
      <c r="G196" s="110" t="s">
        <v>886</v>
      </c>
      <c r="H196" s="95">
        <v>24</v>
      </c>
      <c r="I196" s="157">
        <v>45451</v>
      </c>
      <c r="J196" s="110">
        <v>1</v>
      </c>
      <c r="K196" s="110" t="s">
        <v>691</v>
      </c>
      <c r="L196" s="110">
        <v>15</v>
      </c>
      <c r="M196" s="110"/>
      <c r="N196" s="110" t="s">
        <v>460</v>
      </c>
      <c r="O196" s="110" t="s">
        <v>461</v>
      </c>
      <c r="P196" s="110" t="s">
        <v>459</v>
      </c>
      <c r="Q196" s="110" t="s">
        <v>791</v>
      </c>
      <c r="R196" s="110" t="s">
        <v>673</v>
      </c>
      <c r="S196" s="95">
        <v>24</v>
      </c>
      <c r="T196" s="95" t="str">
        <f t="shared" si="28"/>
        <v>Hidden Gems: Art Gallery Stroll in South London (Bermondsey)</v>
      </c>
      <c r="U196" s="96">
        <f t="shared" si="26"/>
        <v>45451</v>
      </c>
      <c r="V196" s="95">
        <f t="shared" si="27"/>
        <v>6</v>
      </c>
      <c r="W196" s="95" t="str">
        <f t="shared" si="20"/>
        <v>ebesessearch</v>
      </c>
      <c r="X196" s="95" t="s">
        <v>843</v>
      </c>
      <c r="Y196" s="95"/>
      <c r="Z196">
        <f>VLOOKUP(S196,Sessions!A:K,11,FALSE)</f>
        <v>4</v>
      </c>
    </row>
    <row r="197" spans="1:26" ht="16" x14ac:dyDescent="0.2">
      <c r="A197" s="111">
        <v>45448.34652777778</v>
      </c>
      <c r="B197" s="110" t="s">
        <v>670</v>
      </c>
      <c r="C197" s="164" t="s">
        <v>566</v>
      </c>
      <c r="D197" s="164" t="s">
        <v>567</v>
      </c>
      <c r="E197" s="164" t="s">
        <v>565</v>
      </c>
      <c r="F197" s="110">
        <v>7300421972</v>
      </c>
      <c r="G197" s="110" t="s">
        <v>886</v>
      </c>
      <c r="H197" s="95">
        <v>24</v>
      </c>
      <c r="I197" s="157">
        <v>45451</v>
      </c>
      <c r="J197" s="110">
        <v>1</v>
      </c>
      <c r="K197" s="110" t="s">
        <v>691</v>
      </c>
      <c r="L197" s="110">
        <v>15</v>
      </c>
      <c r="M197" s="110"/>
      <c r="N197" s="164" t="s">
        <v>566</v>
      </c>
      <c r="O197" s="164" t="s">
        <v>567</v>
      </c>
      <c r="P197" s="164" t="s">
        <v>565</v>
      </c>
      <c r="Q197" s="110" t="s">
        <v>791</v>
      </c>
      <c r="R197" s="110" t="s">
        <v>673</v>
      </c>
      <c r="S197" s="95">
        <v>24</v>
      </c>
      <c r="T197" s="95" t="str">
        <f t="shared" si="28"/>
        <v>Hidden Gems: Art Gallery Stroll in South London (Bermondsey)</v>
      </c>
      <c r="U197" s="96">
        <f t="shared" si="26"/>
        <v>45451</v>
      </c>
      <c r="V197" s="95">
        <f t="shared" si="27"/>
        <v>6</v>
      </c>
      <c r="W197" s="95" t="str">
        <f t="shared" si="20"/>
        <v>ebesessearch</v>
      </c>
      <c r="X197" s="95" t="s">
        <v>843</v>
      </c>
      <c r="Y197" s="95"/>
      <c r="Z197">
        <f>VLOOKUP(S197,Sessions!A:K,11,FALSE)</f>
        <v>4</v>
      </c>
    </row>
    <row r="198" spans="1:26" ht="16" x14ac:dyDescent="0.2">
      <c r="A198" s="111">
        <v>45449.547222222223</v>
      </c>
      <c r="B198" s="110" t="s">
        <v>670</v>
      </c>
      <c r="C198" s="110" t="s">
        <v>303</v>
      </c>
      <c r="D198" s="110" t="s">
        <v>304</v>
      </c>
      <c r="E198" s="118" t="s">
        <v>125</v>
      </c>
      <c r="F198" s="130" t="s">
        <v>883</v>
      </c>
      <c r="G198" s="110" t="s">
        <v>886</v>
      </c>
      <c r="H198" s="95">
        <v>24</v>
      </c>
      <c r="I198" s="157">
        <v>45451</v>
      </c>
      <c r="J198" s="110">
        <v>1</v>
      </c>
      <c r="K198" s="110" t="s">
        <v>691</v>
      </c>
      <c r="L198" s="110">
        <v>15</v>
      </c>
      <c r="M198" s="110"/>
      <c r="N198" s="110" t="s">
        <v>303</v>
      </c>
      <c r="O198" s="110" t="s">
        <v>304</v>
      </c>
      <c r="P198" s="110" t="s">
        <v>125</v>
      </c>
      <c r="Q198" s="110"/>
      <c r="R198" s="110" t="s">
        <v>673</v>
      </c>
      <c r="S198" s="95">
        <v>24</v>
      </c>
      <c r="T198" s="95" t="str">
        <f t="shared" si="28"/>
        <v>Hidden Gems: Art Gallery Stroll in South London (Bermondsey)</v>
      </c>
      <c r="U198" s="96">
        <f t="shared" si="26"/>
        <v>45451</v>
      </c>
      <c r="V198" s="95">
        <f t="shared" si="27"/>
        <v>6</v>
      </c>
      <c r="W198" s="95">
        <f t="shared" ref="W198:W230" si="29">Q198</f>
        <v>0</v>
      </c>
      <c r="X198" s="95" t="s">
        <v>843</v>
      </c>
      <c r="Y198" s="95"/>
      <c r="Z198">
        <f>VLOOKUP(S198,Sessions!A:K,11,FALSE)</f>
        <v>4</v>
      </c>
    </row>
    <row r="199" spans="1:26" ht="16" x14ac:dyDescent="0.2">
      <c r="A199" s="111">
        <v>45454.48541666667</v>
      </c>
      <c r="B199" s="110" t="s">
        <v>670</v>
      </c>
      <c r="C199" s="110" t="s">
        <v>307</v>
      </c>
      <c r="D199" s="110" t="s">
        <v>531</v>
      </c>
      <c r="E199" s="198" t="s">
        <v>530</v>
      </c>
      <c r="F199" s="198"/>
      <c r="G199" s="110" t="s">
        <v>894</v>
      </c>
      <c r="H199" s="95">
        <v>28</v>
      </c>
      <c r="I199" s="157">
        <v>45457</v>
      </c>
      <c r="J199" s="110">
        <v>1</v>
      </c>
      <c r="K199" s="110" t="s">
        <v>895</v>
      </c>
      <c r="L199" s="110">
        <v>0</v>
      </c>
      <c r="M199" s="110"/>
      <c r="N199" s="110" t="s">
        <v>307</v>
      </c>
      <c r="O199" s="110" t="s">
        <v>531</v>
      </c>
      <c r="P199" s="110" t="s">
        <v>530</v>
      </c>
      <c r="Q199" s="110"/>
      <c r="R199" s="110" t="s">
        <v>673</v>
      </c>
      <c r="S199" s="97">
        <f t="shared" ref="S199:S230" si="30">H199</f>
        <v>28</v>
      </c>
      <c r="T199" s="95" t="str">
        <f t="shared" si="28"/>
        <v>Members’ Night at Tate Britain</v>
      </c>
      <c r="U199" s="96">
        <f t="shared" si="26"/>
        <v>45457</v>
      </c>
      <c r="V199" s="95">
        <f t="shared" si="27"/>
        <v>6</v>
      </c>
      <c r="W199" s="95">
        <f t="shared" si="29"/>
        <v>0</v>
      </c>
      <c r="X199" s="95" t="s">
        <v>843</v>
      </c>
      <c r="Y199" s="95"/>
      <c r="Z199">
        <f>VLOOKUP(S199,Sessions!A:K,11,FALSE)</f>
        <v>1</v>
      </c>
    </row>
    <row r="200" spans="1:26" ht="16" x14ac:dyDescent="0.2">
      <c r="E200" s="198"/>
      <c r="F200" s="198"/>
      <c r="S200" s="97">
        <f t="shared" si="30"/>
        <v>0</v>
      </c>
      <c r="T200" s="95">
        <f t="shared" si="28"/>
        <v>0</v>
      </c>
      <c r="U200" s="96">
        <f t="shared" si="26"/>
        <v>0</v>
      </c>
      <c r="V200" s="95">
        <f t="shared" si="27"/>
        <v>1</v>
      </c>
      <c r="W200" s="95">
        <f t="shared" si="29"/>
        <v>0</v>
      </c>
      <c r="X200" s="95" t="s">
        <v>843</v>
      </c>
      <c r="Y200" s="95"/>
      <c r="Z200" t="e">
        <f>VLOOKUP(S200,Sessions!A:K,11,FALSE)</f>
        <v>#N/A</v>
      </c>
    </row>
    <row r="201" spans="1:26" ht="16" x14ac:dyDescent="0.2">
      <c r="S201" s="97">
        <f t="shared" si="30"/>
        <v>0</v>
      </c>
      <c r="T201" s="95">
        <f t="shared" si="28"/>
        <v>0</v>
      </c>
      <c r="U201" s="96">
        <f t="shared" si="26"/>
        <v>0</v>
      </c>
      <c r="V201" s="95">
        <f t="shared" si="27"/>
        <v>1</v>
      </c>
      <c r="W201" s="95">
        <f t="shared" si="29"/>
        <v>0</v>
      </c>
      <c r="X201" s="95" t="s">
        <v>843</v>
      </c>
      <c r="Y201" s="95"/>
      <c r="Z201" t="e">
        <f>VLOOKUP(S201,Sessions!A:K,11,FALSE)</f>
        <v>#N/A</v>
      </c>
    </row>
    <row r="202" spans="1:26" ht="16" x14ac:dyDescent="0.2">
      <c r="S202" s="97">
        <f t="shared" si="30"/>
        <v>0</v>
      </c>
      <c r="T202" s="95">
        <f t="shared" si="28"/>
        <v>0</v>
      </c>
      <c r="U202" s="96">
        <f t="shared" si="26"/>
        <v>0</v>
      </c>
      <c r="V202" s="95">
        <f t="shared" si="27"/>
        <v>1</v>
      </c>
      <c r="W202" s="95">
        <f t="shared" si="29"/>
        <v>0</v>
      </c>
      <c r="X202" s="95" t="s">
        <v>843</v>
      </c>
      <c r="Y202" s="95"/>
      <c r="Z202" t="e">
        <f>VLOOKUP(S202,Sessions!A:K,11,FALSE)</f>
        <v>#N/A</v>
      </c>
    </row>
    <row r="203" spans="1:26" ht="16" x14ac:dyDescent="0.2">
      <c r="S203" s="97">
        <f t="shared" si="30"/>
        <v>0</v>
      </c>
      <c r="T203" s="95">
        <f t="shared" si="28"/>
        <v>0</v>
      </c>
      <c r="U203" s="96">
        <f t="shared" si="26"/>
        <v>0</v>
      </c>
      <c r="V203" s="95">
        <f t="shared" si="27"/>
        <v>1</v>
      </c>
      <c r="W203" s="95">
        <f t="shared" si="29"/>
        <v>0</v>
      </c>
      <c r="X203" s="95" t="s">
        <v>843</v>
      </c>
      <c r="Y203" s="95"/>
      <c r="Z203" t="e">
        <f>VLOOKUP(S203,Sessions!A:K,11,FALSE)</f>
        <v>#N/A</v>
      </c>
    </row>
    <row r="204" spans="1:26" ht="16" x14ac:dyDescent="0.2">
      <c r="S204" s="97">
        <f t="shared" si="30"/>
        <v>0</v>
      </c>
      <c r="T204" s="95">
        <f t="shared" si="28"/>
        <v>0</v>
      </c>
      <c r="U204" s="96">
        <f t="shared" si="26"/>
        <v>0</v>
      </c>
      <c r="V204" s="95">
        <f t="shared" si="27"/>
        <v>1</v>
      </c>
      <c r="W204" s="95">
        <f t="shared" si="29"/>
        <v>0</v>
      </c>
      <c r="X204" s="95" t="s">
        <v>843</v>
      </c>
      <c r="Y204" s="95"/>
      <c r="Z204" t="e">
        <f>VLOOKUP(S204,Sessions!A:K,11,FALSE)</f>
        <v>#N/A</v>
      </c>
    </row>
    <row r="205" spans="1:26" ht="16" x14ac:dyDescent="0.2">
      <c r="S205" s="97">
        <f t="shared" si="30"/>
        <v>0</v>
      </c>
      <c r="T205" s="95">
        <f t="shared" si="28"/>
        <v>0</v>
      </c>
      <c r="U205" s="96">
        <f t="shared" si="26"/>
        <v>0</v>
      </c>
      <c r="V205" s="95">
        <f t="shared" si="27"/>
        <v>1</v>
      </c>
      <c r="W205" s="95">
        <f t="shared" si="29"/>
        <v>0</v>
      </c>
      <c r="X205" s="95" t="s">
        <v>843</v>
      </c>
      <c r="Y205" s="95"/>
      <c r="Z205" t="e">
        <f>VLOOKUP(S205,Sessions!A:K,11,FALSE)</f>
        <v>#N/A</v>
      </c>
    </row>
    <row r="206" spans="1:26" ht="16" x14ac:dyDescent="0.2">
      <c r="S206" s="97">
        <f t="shared" si="30"/>
        <v>0</v>
      </c>
      <c r="T206" s="95">
        <f t="shared" si="28"/>
        <v>0</v>
      </c>
      <c r="U206" s="96">
        <f t="shared" si="26"/>
        <v>0</v>
      </c>
      <c r="V206" s="95">
        <f t="shared" si="27"/>
        <v>1</v>
      </c>
      <c r="W206" s="95">
        <f t="shared" si="29"/>
        <v>0</v>
      </c>
      <c r="X206" s="95" t="s">
        <v>843</v>
      </c>
      <c r="Y206" s="95"/>
      <c r="Z206" t="e">
        <f>VLOOKUP(S206,Sessions!A:K,11,FALSE)</f>
        <v>#N/A</v>
      </c>
    </row>
    <row r="207" spans="1:26" ht="16" x14ac:dyDescent="0.2">
      <c r="S207" s="97">
        <f t="shared" si="30"/>
        <v>0</v>
      </c>
      <c r="T207" s="95">
        <f t="shared" si="28"/>
        <v>0</v>
      </c>
      <c r="U207" s="96">
        <f t="shared" si="26"/>
        <v>0</v>
      </c>
      <c r="V207" s="95">
        <f t="shared" si="27"/>
        <v>1</v>
      </c>
      <c r="W207" s="95">
        <f t="shared" si="29"/>
        <v>0</v>
      </c>
      <c r="X207" s="95" t="s">
        <v>843</v>
      </c>
      <c r="Y207" s="95"/>
      <c r="Z207" t="e">
        <f>VLOOKUP(S207,Sessions!A:K,11,FALSE)</f>
        <v>#N/A</v>
      </c>
    </row>
    <row r="208" spans="1:26" ht="16" x14ac:dyDescent="0.2">
      <c r="S208" s="97">
        <f t="shared" si="30"/>
        <v>0</v>
      </c>
      <c r="T208" s="95">
        <f t="shared" si="28"/>
        <v>0</v>
      </c>
      <c r="U208" s="96">
        <f t="shared" si="26"/>
        <v>0</v>
      </c>
      <c r="V208" s="95">
        <f t="shared" si="27"/>
        <v>1</v>
      </c>
      <c r="W208" s="95">
        <f t="shared" si="29"/>
        <v>0</v>
      </c>
      <c r="X208" s="95" t="s">
        <v>843</v>
      </c>
      <c r="Y208" s="95"/>
      <c r="Z208" t="e">
        <f>VLOOKUP(S208,Sessions!A:K,11,FALSE)</f>
        <v>#N/A</v>
      </c>
    </row>
    <row r="209" spans="19:26" ht="16" x14ac:dyDescent="0.2">
      <c r="S209" s="97">
        <f t="shared" si="30"/>
        <v>0</v>
      </c>
      <c r="T209" s="95">
        <f t="shared" si="28"/>
        <v>0</v>
      </c>
      <c r="U209" s="96">
        <f t="shared" si="26"/>
        <v>0</v>
      </c>
      <c r="V209" s="95">
        <f t="shared" si="27"/>
        <v>1</v>
      </c>
      <c r="W209" s="95">
        <f t="shared" si="29"/>
        <v>0</v>
      </c>
      <c r="X209" s="95" t="s">
        <v>843</v>
      </c>
      <c r="Y209" s="95"/>
      <c r="Z209" t="e">
        <f>VLOOKUP(S209,Sessions!A:K,11,FALSE)</f>
        <v>#N/A</v>
      </c>
    </row>
    <row r="210" spans="19:26" ht="16" x14ac:dyDescent="0.2">
      <c r="S210" s="97">
        <f t="shared" si="30"/>
        <v>0</v>
      </c>
      <c r="T210" s="95">
        <f t="shared" si="28"/>
        <v>0</v>
      </c>
      <c r="U210" s="96">
        <f t="shared" si="26"/>
        <v>0</v>
      </c>
      <c r="V210" s="95">
        <f t="shared" si="27"/>
        <v>1</v>
      </c>
      <c r="W210" s="95">
        <f t="shared" si="29"/>
        <v>0</v>
      </c>
      <c r="X210" s="95" t="s">
        <v>843</v>
      </c>
      <c r="Y210" s="95"/>
      <c r="Z210" t="e">
        <f>VLOOKUP(S210,Sessions!A:K,11,FALSE)</f>
        <v>#N/A</v>
      </c>
    </row>
    <row r="211" spans="19:26" ht="16" x14ac:dyDescent="0.2">
      <c r="S211" s="97">
        <f t="shared" si="30"/>
        <v>0</v>
      </c>
      <c r="T211" s="95">
        <f t="shared" si="28"/>
        <v>0</v>
      </c>
      <c r="U211" s="96">
        <f t="shared" si="26"/>
        <v>0</v>
      </c>
      <c r="V211" s="95">
        <f t="shared" si="27"/>
        <v>1</v>
      </c>
      <c r="W211" s="95">
        <f t="shared" si="29"/>
        <v>0</v>
      </c>
      <c r="X211" s="95" t="s">
        <v>843</v>
      </c>
      <c r="Y211" s="95"/>
      <c r="Z211" t="e">
        <f>VLOOKUP(S211,Sessions!A:K,11,FALSE)</f>
        <v>#N/A</v>
      </c>
    </row>
    <row r="212" spans="19:26" ht="16" x14ac:dyDescent="0.2">
      <c r="S212" s="97">
        <f t="shared" si="30"/>
        <v>0</v>
      </c>
      <c r="T212" s="95">
        <f t="shared" si="28"/>
        <v>0</v>
      </c>
      <c r="U212" s="96">
        <f t="shared" si="26"/>
        <v>0</v>
      </c>
      <c r="V212" s="95">
        <f t="shared" si="27"/>
        <v>1</v>
      </c>
      <c r="W212" s="95">
        <f t="shared" si="29"/>
        <v>0</v>
      </c>
      <c r="X212" s="95" t="s">
        <v>843</v>
      </c>
      <c r="Y212" s="95"/>
      <c r="Z212" t="e">
        <f>VLOOKUP(S212,Sessions!A:K,11,FALSE)</f>
        <v>#N/A</v>
      </c>
    </row>
    <row r="213" spans="19:26" ht="16" x14ac:dyDescent="0.2">
      <c r="S213" s="97">
        <f t="shared" si="30"/>
        <v>0</v>
      </c>
      <c r="T213" s="95">
        <f t="shared" si="28"/>
        <v>0</v>
      </c>
      <c r="U213" s="96">
        <f t="shared" si="26"/>
        <v>0</v>
      </c>
      <c r="V213" s="95">
        <f t="shared" si="27"/>
        <v>1</v>
      </c>
      <c r="W213" s="95">
        <f t="shared" si="29"/>
        <v>0</v>
      </c>
      <c r="X213" s="95" t="s">
        <v>843</v>
      </c>
      <c r="Y213" s="95"/>
      <c r="Z213" t="e">
        <f>VLOOKUP(S213,Sessions!A:K,11,FALSE)</f>
        <v>#N/A</v>
      </c>
    </row>
    <row r="214" spans="19:26" ht="16" x14ac:dyDescent="0.2">
      <c r="S214" s="97">
        <f t="shared" si="30"/>
        <v>0</v>
      </c>
      <c r="T214" s="95">
        <f t="shared" si="28"/>
        <v>0</v>
      </c>
      <c r="U214" s="96">
        <f t="shared" si="26"/>
        <v>0</v>
      </c>
      <c r="V214" s="95">
        <f t="shared" si="27"/>
        <v>1</v>
      </c>
      <c r="W214" s="95">
        <f t="shared" si="29"/>
        <v>0</v>
      </c>
      <c r="X214" s="95" t="s">
        <v>843</v>
      </c>
      <c r="Y214" s="95"/>
      <c r="Z214" t="e">
        <f>VLOOKUP(S214,Sessions!A:K,11,FALSE)</f>
        <v>#N/A</v>
      </c>
    </row>
    <row r="215" spans="19:26" ht="16" x14ac:dyDescent="0.2">
      <c r="S215" s="97">
        <f t="shared" si="30"/>
        <v>0</v>
      </c>
      <c r="T215" s="95">
        <f t="shared" si="28"/>
        <v>0</v>
      </c>
      <c r="U215" s="96">
        <f t="shared" ref="U215:U230" si="31">I215</f>
        <v>0</v>
      </c>
      <c r="V215" s="95">
        <f t="shared" si="27"/>
        <v>1</v>
      </c>
      <c r="W215" s="95">
        <f t="shared" si="29"/>
        <v>0</v>
      </c>
      <c r="X215" s="95" t="s">
        <v>843</v>
      </c>
      <c r="Y215" s="95"/>
      <c r="Z215" t="e">
        <f>VLOOKUP(S215,Sessions!A:K,11,FALSE)</f>
        <v>#N/A</v>
      </c>
    </row>
    <row r="216" spans="19:26" ht="16" x14ac:dyDescent="0.2">
      <c r="S216" s="97">
        <f t="shared" si="30"/>
        <v>0</v>
      </c>
      <c r="T216" s="95">
        <f t="shared" si="28"/>
        <v>0</v>
      </c>
      <c r="U216" s="96">
        <f t="shared" si="31"/>
        <v>0</v>
      </c>
      <c r="V216" s="95">
        <f t="shared" si="27"/>
        <v>1</v>
      </c>
      <c r="W216" s="95">
        <f t="shared" si="29"/>
        <v>0</v>
      </c>
      <c r="X216" s="95" t="s">
        <v>843</v>
      </c>
      <c r="Y216" s="95"/>
      <c r="Z216" t="e">
        <f>VLOOKUP(S216,Sessions!A:K,11,FALSE)</f>
        <v>#N/A</v>
      </c>
    </row>
    <row r="217" spans="19:26" ht="16" x14ac:dyDescent="0.2">
      <c r="S217" s="97">
        <f t="shared" si="30"/>
        <v>0</v>
      </c>
      <c r="T217" s="95">
        <f t="shared" si="28"/>
        <v>0</v>
      </c>
      <c r="U217" s="96">
        <f t="shared" si="31"/>
        <v>0</v>
      </c>
      <c r="V217" s="95">
        <f t="shared" si="27"/>
        <v>1</v>
      </c>
      <c r="W217" s="95">
        <f t="shared" si="29"/>
        <v>0</v>
      </c>
      <c r="X217" s="95" t="s">
        <v>843</v>
      </c>
      <c r="Y217" s="95"/>
      <c r="Z217" t="e">
        <f>VLOOKUP(S217,Sessions!A:K,11,FALSE)</f>
        <v>#N/A</v>
      </c>
    </row>
    <row r="218" spans="19:26" ht="16" x14ac:dyDescent="0.2">
      <c r="S218" s="97">
        <f t="shared" si="30"/>
        <v>0</v>
      </c>
      <c r="T218" s="95">
        <f t="shared" si="28"/>
        <v>0</v>
      </c>
      <c r="U218" s="96">
        <f t="shared" si="31"/>
        <v>0</v>
      </c>
      <c r="V218" s="95">
        <f t="shared" si="27"/>
        <v>1</v>
      </c>
      <c r="W218" s="95">
        <f t="shared" si="29"/>
        <v>0</v>
      </c>
      <c r="X218" s="95" t="s">
        <v>843</v>
      </c>
      <c r="Y218" s="95"/>
      <c r="Z218" t="e">
        <f>VLOOKUP(S218,Sessions!A:K,11,FALSE)</f>
        <v>#N/A</v>
      </c>
    </row>
    <row r="219" spans="19:26" ht="16" x14ac:dyDescent="0.2">
      <c r="S219" s="97">
        <f t="shared" si="30"/>
        <v>0</v>
      </c>
      <c r="T219" s="95">
        <f t="shared" si="28"/>
        <v>0</v>
      </c>
      <c r="U219" s="96">
        <f t="shared" si="31"/>
        <v>0</v>
      </c>
      <c r="V219" s="95">
        <f t="shared" si="27"/>
        <v>1</v>
      </c>
      <c r="W219" s="95">
        <f t="shared" si="29"/>
        <v>0</v>
      </c>
      <c r="X219" s="95" t="s">
        <v>843</v>
      </c>
      <c r="Y219" s="95"/>
      <c r="Z219" t="e">
        <f>VLOOKUP(S219,Sessions!A:K,11,FALSE)</f>
        <v>#N/A</v>
      </c>
    </row>
    <row r="220" spans="19:26" ht="16" x14ac:dyDescent="0.2">
      <c r="S220" s="97">
        <f t="shared" si="30"/>
        <v>0</v>
      </c>
      <c r="T220" s="95">
        <f t="shared" si="28"/>
        <v>0</v>
      </c>
      <c r="U220" s="96">
        <f t="shared" si="31"/>
        <v>0</v>
      </c>
      <c r="V220" s="95">
        <f t="shared" si="27"/>
        <v>1</v>
      </c>
      <c r="W220" s="95">
        <f t="shared" si="29"/>
        <v>0</v>
      </c>
      <c r="X220" s="95" t="s">
        <v>843</v>
      </c>
      <c r="Y220" s="95"/>
      <c r="Z220" t="e">
        <f>VLOOKUP(S220,Sessions!A:K,11,FALSE)</f>
        <v>#N/A</v>
      </c>
    </row>
    <row r="221" spans="19:26" ht="16" x14ac:dyDescent="0.2">
      <c r="S221" s="97">
        <f t="shared" si="30"/>
        <v>0</v>
      </c>
      <c r="T221" s="95">
        <f t="shared" si="28"/>
        <v>0</v>
      </c>
      <c r="U221" s="96">
        <f t="shared" si="31"/>
        <v>0</v>
      </c>
      <c r="V221" s="95">
        <f t="shared" si="27"/>
        <v>1</v>
      </c>
      <c r="W221" s="95">
        <f t="shared" si="29"/>
        <v>0</v>
      </c>
      <c r="X221" s="95" t="s">
        <v>843</v>
      </c>
      <c r="Y221" s="95"/>
      <c r="Z221" t="e">
        <f>VLOOKUP(S221,Sessions!A:K,11,FALSE)</f>
        <v>#N/A</v>
      </c>
    </row>
    <row r="222" spans="19:26" ht="16" x14ac:dyDescent="0.2">
      <c r="S222" s="97">
        <f t="shared" si="30"/>
        <v>0</v>
      </c>
      <c r="T222" s="95">
        <f t="shared" si="28"/>
        <v>0</v>
      </c>
      <c r="U222" s="96">
        <f t="shared" si="31"/>
        <v>0</v>
      </c>
      <c r="V222" s="95">
        <f t="shared" si="27"/>
        <v>1</v>
      </c>
      <c r="W222" s="95">
        <f t="shared" si="29"/>
        <v>0</v>
      </c>
      <c r="X222" s="95" t="s">
        <v>843</v>
      </c>
      <c r="Y222" s="95"/>
      <c r="Z222" t="e">
        <f>VLOOKUP(S222,Sessions!A:K,11,FALSE)</f>
        <v>#N/A</v>
      </c>
    </row>
    <row r="223" spans="19:26" ht="16" x14ac:dyDescent="0.2">
      <c r="S223" s="97">
        <f t="shared" si="30"/>
        <v>0</v>
      </c>
      <c r="T223" s="95">
        <f t="shared" si="28"/>
        <v>0</v>
      </c>
      <c r="U223" s="96">
        <f t="shared" si="31"/>
        <v>0</v>
      </c>
      <c r="V223" s="95">
        <f t="shared" si="27"/>
        <v>1</v>
      </c>
      <c r="W223" s="95">
        <f t="shared" si="29"/>
        <v>0</v>
      </c>
      <c r="X223" s="95" t="s">
        <v>843</v>
      </c>
      <c r="Y223" s="95"/>
      <c r="Z223" t="e">
        <f>VLOOKUP(S223,Sessions!A:K,11,FALSE)</f>
        <v>#N/A</v>
      </c>
    </row>
    <row r="224" spans="19:26" ht="16" x14ac:dyDescent="0.2">
      <c r="S224" s="97">
        <f t="shared" si="30"/>
        <v>0</v>
      </c>
      <c r="T224" s="95">
        <f t="shared" si="28"/>
        <v>0</v>
      </c>
      <c r="U224" s="96">
        <f t="shared" si="31"/>
        <v>0</v>
      </c>
      <c r="V224" s="95">
        <f t="shared" si="27"/>
        <v>1</v>
      </c>
      <c r="W224" s="95">
        <f t="shared" si="29"/>
        <v>0</v>
      </c>
      <c r="X224" s="95" t="s">
        <v>843</v>
      </c>
      <c r="Y224" s="95"/>
    </row>
    <row r="225" spans="19:25" ht="16" x14ac:dyDescent="0.2">
      <c r="S225" s="97">
        <f t="shared" si="30"/>
        <v>0</v>
      </c>
      <c r="T225" s="95">
        <f t="shared" si="28"/>
        <v>0</v>
      </c>
      <c r="U225" s="96">
        <f t="shared" si="31"/>
        <v>0</v>
      </c>
      <c r="V225" s="95">
        <f t="shared" si="27"/>
        <v>1</v>
      </c>
      <c r="W225" s="95">
        <f t="shared" si="29"/>
        <v>0</v>
      </c>
      <c r="X225" s="95" t="s">
        <v>843</v>
      </c>
      <c r="Y225" s="95"/>
    </row>
    <row r="226" spans="19:25" ht="16" x14ac:dyDescent="0.2">
      <c r="S226" s="97">
        <f t="shared" si="30"/>
        <v>0</v>
      </c>
      <c r="T226" s="95">
        <f t="shared" si="28"/>
        <v>0</v>
      </c>
      <c r="U226" s="96">
        <f t="shared" si="31"/>
        <v>0</v>
      </c>
      <c r="V226" s="95">
        <f t="shared" si="27"/>
        <v>1</v>
      </c>
      <c r="W226" s="95">
        <f t="shared" si="29"/>
        <v>0</v>
      </c>
      <c r="X226" s="95" t="s">
        <v>843</v>
      </c>
      <c r="Y226" s="95"/>
    </row>
    <row r="227" spans="19:25" ht="16" x14ac:dyDescent="0.2">
      <c r="S227" s="97">
        <f t="shared" si="30"/>
        <v>0</v>
      </c>
      <c r="T227" s="95">
        <f t="shared" si="28"/>
        <v>0</v>
      </c>
      <c r="U227" s="96">
        <f t="shared" si="31"/>
        <v>0</v>
      </c>
      <c r="V227" s="95">
        <f t="shared" si="27"/>
        <v>1</v>
      </c>
      <c r="W227" s="95">
        <f t="shared" si="29"/>
        <v>0</v>
      </c>
      <c r="X227" s="95" t="s">
        <v>843</v>
      </c>
      <c r="Y227" s="95"/>
    </row>
    <row r="228" spans="19:25" ht="16" x14ac:dyDescent="0.2">
      <c r="S228" s="97">
        <f t="shared" si="30"/>
        <v>0</v>
      </c>
      <c r="T228" s="95">
        <f t="shared" si="28"/>
        <v>0</v>
      </c>
      <c r="U228" s="96">
        <f t="shared" si="31"/>
        <v>0</v>
      </c>
      <c r="V228" s="95">
        <f t="shared" si="27"/>
        <v>1</v>
      </c>
      <c r="W228" s="95">
        <f t="shared" si="29"/>
        <v>0</v>
      </c>
      <c r="X228" s="95" t="s">
        <v>843</v>
      </c>
      <c r="Y228" s="95"/>
    </row>
    <row r="229" spans="19:25" ht="16" x14ac:dyDescent="0.2">
      <c r="S229" s="97">
        <f t="shared" si="30"/>
        <v>0</v>
      </c>
      <c r="T229" s="95">
        <f t="shared" si="28"/>
        <v>0</v>
      </c>
      <c r="U229" s="96">
        <f t="shared" si="31"/>
        <v>0</v>
      </c>
      <c r="V229" s="95">
        <f t="shared" si="27"/>
        <v>1</v>
      </c>
      <c r="W229" s="95">
        <f t="shared" si="29"/>
        <v>0</v>
      </c>
      <c r="X229" s="95" t="s">
        <v>843</v>
      </c>
      <c r="Y229" s="95"/>
    </row>
    <row r="230" spans="19:25" ht="16" x14ac:dyDescent="0.2">
      <c r="S230" s="97">
        <f t="shared" si="30"/>
        <v>0</v>
      </c>
      <c r="T230" s="95">
        <f t="shared" si="28"/>
        <v>0</v>
      </c>
      <c r="U230" s="96">
        <f t="shared" si="31"/>
        <v>0</v>
      </c>
      <c r="V230" s="95">
        <f t="shared" si="27"/>
        <v>1</v>
      </c>
      <c r="W230" s="95">
        <f t="shared" si="29"/>
        <v>0</v>
      </c>
      <c r="X230" s="95" t="s">
        <v>843</v>
      </c>
      <c r="Y230" s="95"/>
    </row>
    <row r="231" spans="19:25" ht="15.75" customHeight="1" x14ac:dyDescent="0.2">
      <c r="S231" s="97">
        <f t="shared" ref="S231:S251" si="32">H231</f>
        <v>0</v>
      </c>
      <c r="Y231" s="95"/>
    </row>
    <row r="232" spans="19:25" ht="15.75" customHeight="1" x14ac:dyDescent="0.2">
      <c r="S232" s="97">
        <f t="shared" si="32"/>
        <v>0</v>
      </c>
      <c r="Y232" s="95"/>
    </row>
    <row r="233" spans="19:25" ht="15.75" customHeight="1" x14ac:dyDescent="0.2">
      <c r="S233" s="97">
        <f t="shared" si="32"/>
        <v>0</v>
      </c>
      <c r="Y233" s="95"/>
    </row>
    <row r="234" spans="19:25" ht="15.75" customHeight="1" x14ac:dyDescent="0.2">
      <c r="S234" s="97">
        <f t="shared" si="32"/>
        <v>0</v>
      </c>
      <c r="Y234" s="95"/>
    </row>
    <row r="235" spans="19:25" ht="15.75" customHeight="1" x14ac:dyDescent="0.2">
      <c r="S235" s="97">
        <f t="shared" si="32"/>
        <v>0</v>
      </c>
      <c r="Y235" s="95"/>
    </row>
    <row r="236" spans="19:25" ht="15.75" customHeight="1" x14ac:dyDescent="0.2">
      <c r="S236" s="97">
        <f t="shared" si="32"/>
        <v>0</v>
      </c>
      <c r="Y236" s="95"/>
    </row>
    <row r="237" spans="19:25" ht="15.75" customHeight="1" x14ac:dyDescent="0.2">
      <c r="S237" s="97">
        <f t="shared" si="32"/>
        <v>0</v>
      </c>
      <c r="Y237" s="95"/>
    </row>
    <row r="238" spans="19:25" ht="15.75" customHeight="1" x14ac:dyDescent="0.2">
      <c r="S238" s="97">
        <f t="shared" si="32"/>
        <v>0</v>
      </c>
      <c r="Y238" s="95"/>
    </row>
    <row r="239" spans="19:25" ht="15.75" customHeight="1" x14ac:dyDescent="0.2">
      <c r="S239" s="97">
        <f t="shared" si="32"/>
        <v>0</v>
      </c>
      <c r="Y239" s="95"/>
    </row>
    <row r="240" spans="19:25" ht="15.75" customHeight="1" x14ac:dyDescent="0.2">
      <c r="S240" s="97">
        <f t="shared" si="32"/>
        <v>0</v>
      </c>
      <c r="Y240" s="95"/>
    </row>
    <row r="241" spans="19:25" ht="15.75" customHeight="1" x14ac:dyDescent="0.2">
      <c r="S241" s="97">
        <f t="shared" si="32"/>
        <v>0</v>
      </c>
      <c r="Y241" s="95"/>
    </row>
    <row r="242" spans="19:25" ht="15.75" customHeight="1" x14ac:dyDescent="0.2">
      <c r="S242" s="97">
        <f t="shared" si="32"/>
        <v>0</v>
      </c>
      <c r="Y242" s="95"/>
    </row>
    <row r="243" spans="19:25" ht="15.75" customHeight="1" x14ac:dyDescent="0.2">
      <c r="S243" s="97">
        <f t="shared" si="32"/>
        <v>0</v>
      </c>
      <c r="Y243" s="95"/>
    </row>
    <row r="244" spans="19:25" ht="15.75" customHeight="1" x14ac:dyDescent="0.2">
      <c r="S244" s="97">
        <f t="shared" si="32"/>
        <v>0</v>
      </c>
      <c r="Y244" s="95"/>
    </row>
    <row r="245" spans="19:25" ht="15.75" customHeight="1" x14ac:dyDescent="0.2">
      <c r="S245" s="97">
        <f t="shared" si="32"/>
        <v>0</v>
      </c>
      <c r="Y245" s="95"/>
    </row>
    <row r="246" spans="19:25" ht="15.75" customHeight="1" x14ac:dyDescent="0.2">
      <c r="S246" s="97">
        <f t="shared" si="32"/>
        <v>0</v>
      </c>
      <c r="Y246" s="95"/>
    </row>
    <row r="247" spans="19:25" ht="15.75" customHeight="1" x14ac:dyDescent="0.2">
      <c r="S247" s="97">
        <f t="shared" si="32"/>
        <v>0</v>
      </c>
      <c r="Y247" s="95"/>
    </row>
    <row r="248" spans="19:25" ht="15.75" customHeight="1" x14ac:dyDescent="0.2">
      <c r="S248" s="97">
        <f t="shared" si="32"/>
        <v>0</v>
      </c>
      <c r="Y248" s="95"/>
    </row>
    <row r="249" spans="19:25" ht="15.75" customHeight="1" x14ac:dyDescent="0.2">
      <c r="S249" s="97">
        <f t="shared" si="32"/>
        <v>0</v>
      </c>
      <c r="Y249" s="95"/>
    </row>
    <row r="250" spans="19:25" ht="15.75" customHeight="1" x14ac:dyDescent="0.2">
      <c r="S250" s="97">
        <f t="shared" si="32"/>
        <v>0</v>
      </c>
      <c r="Y250" s="95"/>
    </row>
    <row r="251" spans="19:25" ht="15.75" customHeight="1" x14ac:dyDescent="0.2">
      <c r="S251" s="97">
        <f t="shared" si="32"/>
        <v>0</v>
      </c>
      <c r="Y251" s="95"/>
    </row>
    <row r="252" spans="19:25" ht="15.75" customHeight="1" x14ac:dyDescent="0.2">
      <c r="Y252" s="95"/>
    </row>
    <row r="253" spans="19:25" ht="15.75" customHeight="1" x14ac:dyDescent="0.2">
      <c r="Y253" s="95"/>
    </row>
    <row r="254" spans="19:25" ht="15.75" customHeight="1" x14ac:dyDescent="0.2">
      <c r="Y254" s="95"/>
    </row>
    <row r="255" spans="19:25" ht="15.75" customHeight="1" x14ac:dyDescent="0.2">
      <c r="Y255" s="95"/>
    </row>
    <row r="256" spans="19:25" ht="15.75" customHeight="1" x14ac:dyDescent="0.2">
      <c r="Y256" s="95"/>
    </row>
    <row r="257" spans="25:25" ht="15.75" customHeight="1" x14ac:dyDescent="0.2">
      <c r="Y257" s="95"/>
    </row>
    <row r="258" spans="25:25" ht="15.75" customHeight="1" x14ac:dyDescent="0.2">
      <c r="Y258" s="95"/>
    </row>
    <row r="259" spans="25:25" ht="15.75" customHeight="1" x14ac:dyDescent="0.2">
      <c r="Y259" s="95"/>
    </row>
    <row r="260" spans="25:25" ht="15.75" customHeight="1" x14ac:dyDescent="0.2">
      <c r="Y260" s="95"/>
    </row>
    <row r="261" spans="25:25" ht="15.75" customHeight="1" x14ac:dyDescent="0.2">
      <c r="Y261" s="95"/>
    </row>
    <row r="262" spans="25:25" ht="15.75" customHeight="1" x14ac:dyDescent="0.2">
      <c r="Y262" s="95"/>
    </row>
    <row r="263" spans="25:25" ht="15.75" customHeight="1" x14ac:dyDescent="0.2">
      <c r="Y263" s="95"/>
    </row>
    <row r="264" spans="25:25" ht="15.75" customHeight="1" x14ac:dyDescent="0.2">
      <c r="Y264" s="95"/>
    </row>
    <row r="265" spans="25:25" ht="15.75" customHeight="1" x14ac:dyDescent="0.2">
      <c r="Y265" s="95"/>
    </row>
    <row r="266" spans="25:25" ht="15.75" customHeight="1" x14ac:dyDescent="0.2">
      <c r="Y266" s="95"/>
    </row>
    <row r="267" spans="25:25" ht="15.75" customHeight="1" x14ac:dyDescent="0.2">
      <c r="Y267" s="95"/>
    </row>
    <row r="268" spans="25:25" ht="15.75" customHeight="1" x14ac:dyDescent="0.2">
      <c r="Y268" s="95"/>
    </row>
    <row r="269" spans="25:25" ht="15.75" customHeight="1" x14ac:dyDescent="0.2">
      <c r="Y269" s="95"/>
    </row>
    <row r="270" spans="25:25" ht="15.75" customHeight="1" x14ac:dyDescent="0.2">
      <c r="Y270" s="95"/>
    </row>
    <row r="271" spans="25:25" ht="15.75" customHeight="1" x14ac:dyDescent="0.2">
      <c r="Y271" s="95"/>
    </row>
    <row r="272" spans="25:25" ht="15.75" customHeight="1" x14ac:dyDescent="0.2">
      <c r="Y272" s="95"/>
    </row>
    <row r="273" spans="25:25" ht="15.75" customHeight="1" x14ac:dyDescent="0.2">
      <c r="Y273" s="95"/>
    </row>
    <row r="274" spans="25:25" ht="15.75" customHeight="1" x14ac:dyDescent="0.2">
      <c r="Y274" s="95"/>
    </row>
    <row r="275" spans="25:25" ht="15.75" customHeight="1" x14ac:dyDescent="0.2">
      <c r="Y275" s="95"/>
    </row>
    <row r="276" spans="25:25" ht="15.75" customHeight="1" x14ac:dyDescent="0.2">
      <c r="Y276" s="95"/>
    </row>
    <row r="277" spans="25:25" ht="15.75" customHeight="1" x14ac:dyDescent="0.2">
      <c r="Y277" s="95"/>
    </row>
    <row r="278" spans="25:25" ht="15.75" customHeight="1" x14ac:dyDescent="0.2">
      <c r="Y278" s="95"/>
    </row>
    <row r="279" spans="25:25" ht="15.75" customHeight="1" x14ac:dyDescent="0.2">
      <c r="Y279" s="95"/>
    </row>
    <row r="280" spans="25:25" ht="15.75" customHeight="1" x14ac:dyDescent="0.2">
      <c r="Y280" s="95"/>
    </row>
    <row r="281" spans="25:25" ht="15.75" customHeight="1" x14ac:dyDescent="0.2">
      <c r="Y281" s="95"/>
    </row>
    <row r="282" spans="25:25" ht="15.75" customHeight="1" x14ac:dyDescent="0.2">
      <c r="Y282" s="95"/>
    </row>
    <row r="283" spans="25:25" ht="15.75" customHeight="1" x14ac:dyDescent="0.2">
      <c r="Y283" s="95"/>
    </row>
    <row r="284" spans="25:25" ht="15.75" customHeight="1" x14ac:dyDescent="0.2">
      <c r="Y284" s="95"/>
    </row>
    <row r="285" spans="25:25" ht="15.75" customHeight="1" x14ac:dyDescent="0.2">
      <c r="Y285" s="95"/>
    </row>
    <row r="286" spans="25:25" ht="15.75" customHeight="1" x14ac:dyDescent="0.2">
      <c r="Y286" s="95"/>
    </row>
    <row r="287" spans="25:25" ht="15.75" customHeight="1" x14ac:dyDescent="0.2">
      <c r="Y287" s="95"/>
    </row>
    <row r="288" spans="25:25" ht="15.75" customHeight="1" x14ac:dyDescent="0.2">
      <c r="Y288" s="95"/>
    </row>
    <row r="289" spans="25:25" ht="15.75" customHeight="1" x14ac:dyDescent="0.2">
      <c r="Y289" s="95"/>
    </row>
    <row r="290" spans="25:25" ht="15.75" customHeight="1" x14ac:dyDescent="0.2">
      <c r="Y290" s="95"/>
    </row>
    <row r="291" spans="25:25" ht="15.75" customHeight="1" x14ac:dyDescent="0.2">
      <c r="Y291" s="95"/>
    </row>
    <row r="292" spans="25:25" ht="15.75" customHeight="1" x14ac:dyDescent="0.2">
      <c r="Y292" s="95"/>
    </row>
    <row r="293" spans="25:25" ht="15.75" customHeight="1" x14ac:dyDescent="0.2">
      <c r="Y293" s="95"/>
    </row>
    <row r="294" spans="25:25" ht="15.75" customHeight="1" x14ac:dyDescent="0.2">
      <c r="Y294" s="95"/>
    </row>
    <row r="295" spans="25:25" ht="15.75" customHeight="1" x14ac:dyDescent="0.2">
      <c r="Y295" s="95"/>
    </row>
    <row r="296" spans="25:25" ht="15.75" customHeight="1" x14ac:dyDescent="0.2">
      <c r="Y296" s="95"/>
    </row>
    <row r="297" spans="25:25" ht="15.75" customHeight="1" x14ac:dyDescent="0.2">
      <c r="Y297" s="95"/>
    </row>
    <row r="298" spans="25:25" ht="15.75" customHeight="1" x14ac:dyDescent="0.2">
      <c r="Y298" s="95"/>
    </row>
    <row r="299" spans="25:25" ht="15.75" customHeight="1" x14ac:dyDescent="0.2">
      <c r="Y299" s="95"/>
    </row>
    <row r="300" spans="25:25" ht="15.75" customHeight="1" x14ac:dyDescent="0.2">
      <c r="Y300" s="95"/>
    </row>
    <row r="301" spans="25:25" ht="15.75" customHeight="1" x14ac:dyDescent="0.2">
      <c r="Y301" s="95"/>
    </row>
    <row r="302" spans="25:25" ht="15.75" customHeight="1" x14ac:dyDescent="0.2">
      <c r="Y302" s="95"/>
    </row>
    <row r="303" spans="25:25" ht="15.75" customHeight="1" x14ac:dyDescent="0.2">
      <c r="Y303" s="95"/>
    </row>
    <row r="304" spans="25:25" ht="15.75" customHeight="1" x14ac:dyDescent="0.2">
      <c r="Y304" s="95"/>
    </row>
    <row r="305" spans="25:25" ht="15.75" customHeight="1" x14ac:dyDescent="0.2">
      <c r="Y305" s="95"/>
    </row>
    <row r="306" spans="25:25" ht="15.75" customHeight="1" x14ac:dyDescent="0.2">
      <c r="Y306" s="95"/>
    </row>
    <row r="307" spans="25:25" ht="15.75" customHeight="1" x14ac:dyDescent="0.2">
      <c r="Y307" s="95"/>
    </row>
    <row r="308" spans="25:25" ht="15.75" customHeight="1" x14ac:dyDescent="0.2">
      <c r="Y308" s="95"/>
    </row>
    <row r="309" spans="25:25" ht="15.75" customHeight="1" x14ac:dyDescent="0.2">
      <c r="Y309" s="95"/>
    </row>
    <row r="310" spans="25:25" ht="15.75" customHeight="1" x14ac:dyDescent="0.2">
      <c r="Y310" s="95"/>
    </row>
    <row r="311" spans="25:25" ht="15.75" customHeight="1" x14ac:dyDescent="0.2">
      <c r="Y311" s="95"/>
    </row>
    <row r="312" spans="25:25" ht="15.75" customHeight="1" x14ac:dyDescent="0.2">
      <c r="Y312" s="95"/>
    </row>
    <row r="313" spans="25:25" ht="15.75" customHeight="1" x14ac:dyDescent="0.2">
      <c r="Y313" s="95"/>
    </row>
    <row r="314" spans="25:25" ht="15.75" customHeight="1" x14ac:dyDescent="0.2">
      <c r="Y314" s="95"/>
    </row>
    <row r="315" spans="25:25" ht="15.75" customHeight="1" x14ac:dyDescent="0.2">
      <c r="Y315" s="95"/>
    </row>
    <row r="316" spans="25:25" ht="15.75" customHeight="1" x14ac:dyDescent="0.2">
      <c r="Y316" s="95"/>
    </row>
    <row r="317" spans="25:25" ht="15.75" customHeight="1" x14ac:dyDescent="0.2">
      <c r="Y317" s="95"/>
    </row>
    <row r="318" spans="25:25" ht="15.75" customHeight="1" x14ac:dyDescent="0.2">
      <c r="Y318" s="95"/>
    </row>
    <row r="319" spans="25:25" ht="15.75" customHeight="1" x14ac:dyDescent="0.2">
      <c r="Y319" s="95"/>
    </row>
    <row r="320" spans="25:25" ht="15.75" customHeight="1" x14ac:dyDescent="0.2">
      <c r="Y320" s="95"/>
    </row>
    <row r="321" spans="25:25" ht="15.75" customHeight="1" x14ac:dyDescent="0.2">
      <c r="Y321" s="95"/>
    </row>
    <row r="322" spans="25:25" ht="15.75" customHeight="1" x14ac:dyDescent="0.2">
      <c r="Y322" s="95"/>
    </row>
    <row r="323" spans="25:25" ht="15.75" customHeight="1" x14ac:dyDescent="0.2">
      <c r="Y323" s="95"/>
    </row>
    <row r="324" spans="25:25" ht="15.75" customHeight="1" x14ac:dyDescent="0.2">
      <c r="Y324" s="95"/>
    </row>
    <row r="325" spans="25:25" ht="15.75" customHeight="1" x14ac:dyDescent="0.2">
      <c r="Y325" s="95"/>
    </row>
    <row r="326" spans="25:25" ht="15.75" customHeight="1" x14ac:dyDescent="0.2">
      <c r="Y326" s="95"/>
    </row>
    <row r="327" spans="25:25" ht="15.75" customHeight="1" x14ac:dyDescent="0.2">
      <c r="Y327" s="95"/>
    </row>
    <row r="328" spans="25:25" ht="15.75" customHeight="1" x14ac:dyDescent="0.2">
      <c r="Y328" s="95"/>
    </row>
    <row r="329" spans="25:25" ht="15.75" customHeight="1" x14ac:dyDescent="0.2">
      <c r="Y329" s="95"/>
    </row>
    <row r="330" spans="25:25" ht="15.75" customHeight="1" x14ac:dyDescent="0.2">
      <c r="Y330" s="95"/>
    </row>
    <row r="331" spans="25:25" ht="15.75" customHeight="1" x14ac:dyDescent="0.2">
      <c r="Y331" s="95"/>
    </row>
    <row r="332" spans="25:25" ht="15.75" customHeight="1" x14ac:dyDescent="0.2">
      <c r="Y332" s="95"/>
    </row>
    <row r="333" spans="25:25" ht="15.75" customHeight="1" x14ac:dyDescent="0.2">
      <c r="Y333" s="95"/>
    </row>
    <row r="334" spans="25:25" ht="15.75" customHeight="1" x14ac:dyDescent="0.2">
      <c r="Y334" s="95"/>
    </row>
    <row r="335" spans="25:25" ht="15.75" customHeight="1" x14ac:dyDescent="0.2">
      <c r="Y335" s="95"/>
    </row>
    <row r="336" spans="25:25" ht="15.75" customHeight="1" x14ac:dyDescent="0.2">
      <c r="Y336" s="95"/>
    </row>
    <row r="337" spans="25:25" ht="15.75" customHeight="1" x14ac:dyDescent="0.2">
      <c r="Y337" s="95"/>
    </row>
    <row r="338" spans="25:25" ht="15.75" customHeight="1" x14ac:dyDescent="0.2">
      <c r="Y338" s="95"/>
    </row>
    <row r="339" spans="25:25" ht="15.75" customHeight="1" x14ac:dyDescent="0.2">
      <c r="Y339" s="95"/>
    </row>
    <row r="340" spans="25:25" ht="15.75" customHeight="1" x14ac:dyDescent="0.2">
      <c r="Y340" s="95"/>
    </row>
    <row r="341" spans="25:25" ht="15.75" customHeight="1" x14ac:dyDescent="0.2">
      <c r="Y341" s="95"/>
    </row>
    <row r="342" spans="25:25" ht="15.75" customHeight="1" x14ac:dyDescent="0.2">
      <c r="Y342" s="95"/>
    </row>
    <row r="343" spans="25:25" ht="15.75" customHeight="1" x14ac:dyDescent="0.2">
      <c r="Y343" s="95"/>
    </row>
    <row r="344" spans="25:25" ht="15.75" customHeight="1" x14ac:dyDescent="0.2">
      <c r="Y344" s="95"/>
    </row>
    <row r="345" spans="25:25" ht="15.75" customHeight="1" x14ac:dyDescent="0.2">
      <c r="Y345" s="95"/>
    </row>
    <row r="346" spans="25:25" ht="15.75" customHeight="1" x14ac:dyDescent="0.2">
      <c r="Y346" s="95"/>
    </row>
    <row r="347" spans="25:25" ht="15.75" customHeight="1" x14ac:dyDescent="0.2">
      <c r="Y347" s="95"/>
    </row>
    <row r="348" spans="25:25" ht="15.75" customHeight="1" x14ac:dyDescent="0.2">
      <c r="Y348" s="95"/>
    </row>
    <row r="349" spans="25:25" ht="15.75" customHeight="1" x14ac:dyDescent="0.2">
      <c r="Y349" s="95"/>
    </row>
    <row r="350" spans="25:25" ht="15.75" customHeight="1" x14ac:dyDescent="0.2">
      <c r="Y350" s="95"/>
    </row>
    <row r="351" spans="25:25" ht="15.75" customHeight="1" x14ac:dyDescent="0.2">
      <c r="Y351" s="95"/>
    </row>
    <row r="352" spans="25:25" ht="15.75" customHeight="1" x14ac:dyDescent="0.2">
      <c r="Y352" s="95"/>
    </row>
    <row r="353" spans="25:25" ht="15.75" customHeight="1" x14ac:dyDescent="0.2">
      <c r="Y353" s="95"/>
    </row>
    <row r="354" spans="25:25" ht="15.75" customHeight="1" x14ac:dyDescent="0.2">
      <c r="Y354" s="95"/>
    </row>
    <row r="355" spans="25:25" ht="15.75" customHeight="1" x14ac:dyDescent="0.2">
      <c r="Y355" s="95"/>
    </row>
    <row r="356" spans="25:25" ht="15.75" customHeight="1" x14ac:dyDescent="0.2">
      <c r="Y356" s="95"/>
    </row>
    <row r="357" spans="25:25" ht="15.75" customHeight="1" x14ac:dyDescent="0.2">
      <c r="Y357" s="95"/>
    </row>
    <row r="358" spans="25:25" ht="15.75" customHeight="1" x14ac:dyDescent="0.2">
      <c r="Y358" s="95"/>
    </row>
    <row r="359" spans="25:25" ht="15.75" customHeight="1" x14ac:dyDescent="0.2">
      <c r="Y359" s="95"/>
    </row>
    <row r="360" spans="25:25" ht="15.75" customHeight="1" x14ac:dyDescent="0.2">
      <c r="Y360" s="95"/>
    </row>
    <row r="361" spans="25:25" ht="15.75" customHeight="1" x14ac:dyDescent="0.2">
      <c r="Y361" s="95"/>
    </row>
    <row r="362" spans="25:25" ht="15.75" customHeight="1" x14ac:dyDescent="0.2">
      <c r="Y362" s="95"/>
    </row>
    <row r="363" spans="25:25" ht="15.75" customHeight="1" x14ac:dyDescent="0.2">
      <c r="Y363" s="95"/>
    </row>
    <row r="364" spans="25:25" ht="15.75" customHeight="1" x14ac:dyDescent="0.2">
      <c r="Y364" s="95"/>
    </row>
    <row r="365" spans="25:25" ht="15.75" customHeight="1" x14ac:dyDescent="0.2">
      <c r="Y365" s="95"/>
    </row>
    <row r="366" spans="25:25" ht="15.75" customHeight="1" x14ac:dyDescent="0.2">
      <c r="Y366" s="95"/>
    </row>
    <row r="367" spans="25:25" ht="15.75" customHeight="1" x14ac:dyDescent="0.2">
      <c r="Y367" s="95"/>
    </row>
    <row r="368" spans="25:25" ht="15.75" customHeight="1" x14ac:dyDescent="0.2">
      <c r="Y368" s="95"/>
    </row>
    <row r="369" spans="25:25" ht="15.75" customHeight="1" x14ac:dyDescent="0.2">
      <c r="Y369" s="95"/>
    </row>
    <row r="370" spans="25:25" ht="15.75" customHeight="1" x14ac:dyDescent="0.2">
      <c r="Y370" s="95"/>
    </row>
    <row r="371" spans="25:25" ht="15.75" customHeight="1" x14ac:dyDescent="0.2">
      <c r="Y371" s="95"/>
    </row>
    <row r="372" spans="25:25" ht="15.75" customHeight="1" x14ac:dyDescent="0.2">
      <c r="Y372" s="95"/>
    </row>
    <row r="373" spans="25:25" ht="15.75" customHeight="1" x14ac:dyDescent="0.2">
      <c r="Y373" s="95"/>
    </row>
    <row r="374" spans="25:25" ht="15.75" customHeight="1" x14ac:dyDescent="0.2">
      <c r="Y374" s="95"/>
    </row>
    <row r="375" spans="25:25" ht="15.75" customHeight="1" x14ac:dyDescent="0.2">
      <c r="Y375" s="95"/>
    </row>
    <row r="376" spans="25:25" ht="15.75" customHeight="1" x14ac:dyDescent="0.2">
      <c r="Y376" s="95"/>
    </row>
    <row r="377" spans="25:25" ht="15.75" customHeight="1" x14ac:dyDescent="0.2">
      <c r="Y377" s="95"/>
    </row>
    <row r="378" spans="25:25" ht="15.75" customHeight="1" x14ac:dyDescent="0.2">
      <c r="Y378" s="95"/>
    </row>
    <row r="379" spans="25:25" ht="15.75" customHeight="1" x14ac:dyDescent="0.2">
      <c r="Y379" s="95"/>
    </row>
    <row r="380" spans="25:25" ht="15.75" customHeight="1" x14ac:dyDescent="0.2">
      <c r="Y380" s="95"/>
    </row>
    <row r="381" spans="25:25" ht="15.75" customHeight="1" x14ac:dyDescent="0.2">
      <c r="Y381" s="95"/>
    </row>
    <row r="382" spans="25:25" ht="15.75" customHeight="1" x14ac:dyDescent="0.2">
      <c r="Y382" s="95"/>
    </row>
    <row r="383" spans="25:25" ht="15.75" customHeight="1" x14ac:dyDescent="0.2">
      <c r="Y383" s="95"/>
    </row>
    <row r="384" spans="25:25" ht="15.75" customHeight="1" x14ac:dyDescent="0.2">
      <c r="Y384" s="95"/>
    </row>
    <row r="385" spans="25:25" ht="15.75" customHeight="1" x14ac:dyDescent="0.2">
      <c r="Y385" s="95"/>
    </row>
    <row r="386" spans="25:25" ht="15.75" customHeight="1" x14ac:dyDescent="0.2">
      <c r="Y386" s="95"/>
    </row>
    <row r="387" spans="25:25" ht="15.75" customHeight="1" x14ac:dyDescent="0.2">
      <c r="Y387" s="95"/>
    </row>
    <row r="388" spans="25:25" ht="15.75" customHeight="1" x14ac:dyDescent="0.2">
      <c r="Y388" s="95"/>
    </row>
    <row r="389" spans="25:25" ht="15.75" customHeight="1" x14ac:dyDescent="0.2">
      <c r="Y389" s="95"/>
    </row>
    <row r="390" spans="25:25" ht="15.75" customHeight="1" x14ac:dyDescent="0.2">
      <c r="Y390" s="95"/>
    </row>
    <row r="391" spans="25:25" ht="15.75" customHeight="1" x14ac:dyDescent="0.2">
      <c r="Y391" s="95"/>
    </row>
    <row r="392" spans="25:25" ht="15.75" customHeight="1" x14ac:dyDescent="0.2">
      <c r="Y392" s="95"/>
    </row>
    <row r="393" spans="25:25" ht="15.75" customHeight="1" x14ac:dyDescent="0.2">
      <c r="Y393" s="95"/>
    </row>
    <row r="394" spans="25:25" ht="15.75" customHeight="1" x14ac:dyDescent="0.2">
      <c r="Y394" s="95"/>
    </row>
    <row r="395" spans="25:25" ht="15.75" customHeight="1" x14ac:dyDescent="0.2">
      <c r="Y395" s="95"/>
    </row>
    <row r="396" spans="25:25" ht="15.75" customHeight="1" x14ac:dyDescent="0.2">
      <c r="Y396" s="95"/>
    </row>
    <row r="397" spans="25:25" ht="15.75" customHeight="1" x14ac:dyDescent="0.2">
      <c r="Y397" s="95"/>
    </row>
    <row r="398" spans="25:25" ht="15.75" customHeight="1" x14ac:dyDescent="0.2">
      <c r="Y398" s="95"/>
    </row>
    <row r="399" spans="25:25" ht="15.75" customHeight="1" x14ac:dyDescent="0.2">
      <c r="Y399" s="95"/>
    </row>
    <row r="400" spans="25:25" ht="15.75" customHeight="1" x14ac:dyDescent="0.2">
      <c r="Y400" s="95"/>
    </row>
    <row r="401" spans="25:25" ht="15.75" customHeight="1" x14ac:dyDescent="0.2">
      <c r="Y401" s="95"/>
    </row>
    <row r="402" spans="25:25" ht="15.75" customHeight="1" x14ac:dyDescent="0.2">
      <c r="Y402" s="95"/>
    </row>
    <row r="403" spans="25:25" ht="15.75" customHeight="1" x14ac:dyDescent="0.2">
      <c r="Y403" s="95"/>
    </row>
    <row r="404" spans="25:25" ht="15.75" customHeight="1" x14ac:dyDescent="0.2">
      <c r="Y404" s="95"/>
    </row>
    <row r="405" spans="25:25" ht="15.75" customHeight="1" x14ac:dyDescent="0.2">
      <c r="Y405" s="95"/>
    </row>
    <row r="406" spans="25:25" ht="15.75" customHeight="1" x14ac:dyDescent="0.2">
      <c r="Y406" s="95"/>
    </row>
    <row r="407" spans="25:25" ht="15.75" customHeight="1" x14ac:dyDescent="0.2">
      <c r="Y407" s="95"/>
    </row>
    <row r="408" spans="25:25" ht="15.75" customHeight="1" x14ac:dyDescent="0.2">
      <c r="Y408" s="95"/>
    </row>
    <row r="409" spans="25:25" ht="15.75" customHeight="1" x14ac:dyDescent="0.2">
      <c r="Y409" s="95"/>
    </row>
    <row r="410" spans="25:25" ht="15.75" customHeight="1" x14ac:dyDescent="0.2">
      <c r="Y410" s="95"/>
    </row>
    <row r="411" spans="25:25" ht="15.75" customHeight="1" x14ac:dyDescent="0.2">
      <c r="Y411" s="95"/>
    </row>
    <row r="412" spans="25:25" ht="15.75" customHeight="1" x14ac:dyDescent="0.2">
      <c r="Y412" s="95"/>
    </row>
    <row r="413" spans="25:25" ht="15.75" customHeight="1" x14ac:dyDescent="0.2">
      <c r="Y413" s="95"/>
    </row>
    <row r="414" spans="25:25" ht="15.75" customHeight="1" x14ac:dyDescent="0.2">
      <c r="Y414" s="95"/>
    </row>
    <row r="415" spans="25:25" ht="15.75" customHeight="1" x14ac:dyDescent="0.2">
      <c r="Y415" s="95"/>
    </row>
    <row r="416" spans="25:25" ht="15.75" customHeight="1" x14ac:dyDescent="0.2">
      <c r="Y416" s="95"/>
    </row>
    <row r="417" spans="25:25" ht="15.75" customHeight="1" x14ac:dyDescent="0.2">
      <c r="Y417" s="95"/>
    </row>
    <row r="418" spans="25:25" ht="15.75" customHeight="1" x14ac:dyDescent="0.2">
      <c r="Y418" s="95"/>
    </row>
    <row r="419" spans="25:25" ht="15.75" customHeight="1" x14ac:dyDescent="0.2">
      <c r="Y419" s="95"/>
    </row>
    <row r="420" spans="25:25" ht="15.75" customHeight="1" x14ac:dyDescent="0.2">
      <c r="Y420" s="95"/>
    </row>
    <row r="421" spans="25:25" ht="15.75" customHeight="1" x14ac:dyDescent="0.2">
      <c r="Y421" s="95"/>
    </row>
    <row r="422" spans="25:25" ht="15.75" customHeight="1" x14ac:dyDescent="0.2">
      <c r="Y422" s="95"/>
    </row>
    <row r="423" spans="25:25" ht="15.75" customHeight="1" x14ac:dyDescent="0.2">
      <c r="Y423" s="95"/>
    </row>
    <row r="424" spans="25:25" ht="15.75" customHeight="1" x14ac:dyDescent="0.2">
      <c r="Y424" s="95"/>
    </row>
    <row r="425" spans="25:25" ht="15.75" customHeight="1" x14ac:dyDescent="0.2">
      <c r="Y425" s="95"/>
    </row>
    <row r="426" spans="25:25" ht="15.75" customHeight="1" x14ac:dyDescent="0.2">
      <c r="Y426" s="95"/>
    </row>
    <row r="427" spans="25:25" ht="15.75" customHeight="1" x14ac:dyDescent="0.2">
      <c r="Y427" s="95"/>
    </row>
    <row r="428" spans="25:25" ht="15.75" customHeight="1" x14ac:dyDescent="0.2">
      <c r="Y428" s="95"/>
    </row>
    <row r="429" spans="25:25" ht="15.75" customHeight="1" x14ac:dyDescent="0.2">
      <c r="Y429" s="95"/>
    </row>
    <row r="430" spans="25:25" ht="15.75" customHeight="1" x14ac:dyDescent="0.2">
      <c r="Y430" s="95"/>
    </row>
    <row r="431" spans="25:25" ht="15.75" customHeight="1" x14ac:dyDescent="0.2">
      <c r="Y431" s="95"/>
    </row>
    <row r="432" spans="25:25" ht="15.75" customHeight="1" x14ac:dyDescent="0.2">
      <c r="Y432" s="95"/>
    </row>
    <row r="433" spans="25:25" ht="15.75" customHeight="1" x14ac:dyDescent="0.2">
      <c r="Y433" s="95"/>
    </row>
    <row r="434" spans="25:25" ht="15.75" customHeight="1" x14ac:dyDescent="0.2">
      <c r="Y434" s="95"/>
    </row>
    <row r="435" spans="25:25" ht="15.75" customHeight="1" x14ac:dyDescent="0.2">
      <c r="Y435" s="95"/>
    </row>
    <row r="436" spans="25:25" ht="15.75" customHeight="1" x14ac:dyDescent="0.2">
      <c r="Y436" s="95"/>
    </row>
    <row r="437" spans="25:25" ht="15.75" customHeight="1" x14ac:dyDescent="0.2">
      <c r="Y437" s="95"/>
    </row>
    <row r="438" spans="25:25" ht="15.75" customHeight="1" x14ac:dyDescent="0.2">
      <c r="Y438" s="95"/>
    </row>
    <row r="439" spans="25:25" ht="15.75" customHeight="1" x14ac:dyDescent="0.2">
      <c r="Y439" s="95"/>
    </row>
    <row r="440" spans="25:25" ht="15.75" customHeight="1" x14ac:dyDescent="0.2">
      <c r="Y440" s="95"/>
    </row>
    <row r="441" spans="25:25" ht="15.75" customHeight="1" x14ac:dyDescent="0.2">
      <c r="Y441" s="95"/>
    </row>
    <row r="442" spans="25:25" ht="15.75" customHeight="1" x14ac:dyDescent="0.2">
      <c r="Y442" s="95"/>
    </row>
    <row r="443" spans="25:25" ht="15.75" customHeight="1" x14ac:dyDescent="0.2">
      <c r="Y443" s="95"/>
    </row>
    <row r="444" spans="25:25" ht="15.75" customHeight="1" x14ac:dyDescent="0.2">
      <c r="Y444" s="95"/>
    </row>
    <row r="445" spans="25:25" ht="15.75" customHeight="1" x14ac:dyDescent="0.2">
      <c r="Y445" s="95"/>
    </row>
    <row r="446" spans="25:25" ht="15.75" customHeight="1" x14ac:dyDescent="0.2">
      <c r="Y446" s="95"/>
    </row>
    <row r="447" spans="25:25" ht="15.75" customHeight="1" x14ac:dyDescent="0.2">
      <c r="Y447" s="95"/>
    </row>
    <row r="448" spans="25:25" ht="15.75" customHeight="1" x14ac:dyDescent="0.2">
      <c r="Y448" s="95"/>
    </row>
    <row r="449" spans="25:25" ht="15.75" customHeight="1" x14ac:dyDescent="0.2">
      <c r="Y449" s="95"/>
    </row>
    <row r="450" spans="25:25" ht="15.75" customHeight="1" x14ac:dyDescent="0.2">
      <c r="Y450" s="95"/>
    </row>
    <row r="451" spans="25:25" ht="15.75" customHeight="1" x14ac:dyDescent="0.2">
      <c r="Y451" s="95"/>
    </row>
    <row r="452" spans="25:25" ht="15.75" customHeight="1" x14ac:dyDescent="0.2">
      <c r="Y452" s="95"/>
    </row>
    <row r="453" spans="25:25" ht="15.75" customHeight="1" x14ac:dyDescent="0.2">
      <c r="Y453" s="95"/>
    </row>
    <row r="454" spans="25:25" ht="15.75" customHeight="1" x14ac:dyDescent="0.2">
      <c r="Y454" s="95"/>
    </row>
  </sheetData>
  <autoFilter ref="A1:AB230" xr:uid="{37FBA19A-A2B1-3340-9D41-94F7497AB614}">
    <sortState xmlns:xlrd2="http://schemas.microsoft.com/office/spreadsheetml/2017/richdata2" ref="A2:AB89">
      <sortCondition ref="U1:U89"/>
    </sortState>
  </autoFilter>
  <mergeCells count="36">
    <mergeCell ref="E200:F200"/>
    <mergeCell ref="P149:Q149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1:Q161"/>
    <mergeCell ref="P162:Q162"/>
    <mergeCell ref="P163:Q163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82:Q182"/>
    <mergeCell ref="P183:Q183"/>
    <mergeCell ref="P184:Q184"/>
    <mergeCell ref="P186:Q186"/>
    <mergeCell ref="P187:Q187"/>
    <mergeCell ref="E199:F199"/>
    <mergeCell ref="E193:F193"/>
    <mergeCell ref="E194:F194"/>
    <mergeCell ref="E195:F195"/>
    <mergeCell ref="P189:Q189"/>
  </mergeCells>
  <phoneticPr fontId="4" type="noConversion"/>
  <hyperlinks>
    <hyperlink ref="E110" r:id="rId1" xr:uid="{4C031E9F-571E-4C73-8CD6-015F5BFEDE1A}"/>
    <hyperlink ref="E107" r:id="rId2" xr:uid="{90A7AB63-1361-4429-8B21-FB0653F59BF4}"/>
    <hyperlink ref="P110" r:id="rId3" xr:uid="{C65973AE-68C8-46D4-B647-7366E25AD242}"/>
    <hyperlink ref="E109" r:id="rId4" xr:uid="{905EBFE0-ACA3-4FE3-8C85-2CC87F4D038B}"/>
    <hyperlink ref="P109" r:id="rId5" xr:uid="{E7321098-F476-4208-8FAD-A0C8F7348C75}"/>
    <hyperlink ref="E151" r:id="rId6" xr:uid="{6E12962F-28AD-40A5-9D69-75E7E4DB4A32}"/>
    <hyperlink ref="P133" r:id="rId7" xr:uid="{6C287A05-FBBE-2747-AE21-E0F338B9AE1E}"/>
    <hyperlink ref="E133" r:id="rId8" xr:uid="{D2584F2A-DE87-844A-8273-55F4E3CC8364}"/>
    <hyperlink ref="E17" r:id="rId9" xr:uid="{CDE8A76A-8680-9B4E-8415-614BFA01F0D5}"/>
    <hyperlink ref="E23" r:id="rId10" xr:uid="{893FD946-D9B7-BE47-9258-0C4DC3DA03E6}"/>
    <hyperlink ref="P23" r:id="rId11" xr:uid="{E4667509-0037-1348-B68D-576C9663D21E}"/>
    <hyperlink ref="E28" r:id="rId12" xr:uid="{D93964D0-6C35-AC4B-9546-92CC21A323BE}"/>
    <hyperlink ref="P28" r:id="rId13" xr:uid="{5FEA71A9-1AE8-4442-912C-53C49A8AA98E}"/>
  </hyperlinks>
  <pageMargins left="0.7" right="0.7" top="0.75" bottom="0.75" header="0.3" footer="0.3"/>
  <legacyDrawing r:id="rId1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CA2-D1CF-4D33-A75F-F1DC1B33A52E}">
  <dimension ref="A1:B9"/>
  <sheetViews>
    <sheetView workbookViewId="0">
      <selection activeCell="A10" sqref="A10"/>
    </sheetView>
  </sheetViews>
  <sheetFormatPr baseColWidth="10" defaultColWidth="8.83203125" defaultRowHeight="16" x14ac:dyDescent="0.2"/>
  <sheetData>
    <row r="1" spans="1:2" x14ac:dyDescent="0.2">
      <c r="A1" t="s">
        <v>333</v>
      </c>
    </row>
    <row r="3" spans="1:2" x14ac:dyDescent="0.2">
      <c r="A3">
        <v>1</v>
      </c>
      <c r="B3" t="s">
        <v>896</v>
      </c>
    </row>
    <row r="4" spans="1:2" x14ac:dyDescent="0.2">
      <c r="A4">
        <v>2</v>
      </c>
      <c r="B4" t="s">
        <v>897</v>
      </c>
    </row>
    <row r="5" spans="1:2" x14ac:dyDescent="0.2">
      <c r="A5">
        <v>3</v>
      </c>
      <c r="B5" t="s">
        <v>898</v>
      </c>
    </row>
    <row r="6" spans="1:2" x14ac:dyDescent="0.2">
      <c r="A6">
        <v>4</v>
      </c>
      <c r="B6" t="s">
        <v>899</v>
      </c>
    </row>
    <row r="7" spans="1:2" x14ac:dyDescent="0.2">
      <c r="A7">
        <v>5</v>
      </c>
      <c r="B7" t="s">
        <v>900</v>
      </c>
    </row>
    <row r="8" spans="1:2" x14ac:dyDescent="0.2">
      <c r="A8">
        <v>6</v>
      </c>
      <c r="B8" t="s">
        <v>901</v>
      </c>
    </row>
    <row r="9" spans="1:2" x14ac:dyDescent="0.2">
      <c r="A9">
        <v>7</v>
      </c>
      <c r="B9" t="s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754B-58A4-6249-AA7B-EA5638CBD835}">
  <sheetPr>
    <tabColor rgb="FFFFFF00"/>
  </sheetPr>
  <dimension ref="A1:O26"/>
  <sheetViews>
    <sheetView zoomScale="130" zoomScaleNormal="130" workbookViewId="0">
      <selection activeCell="F17" sqref="F17"/>
    </sheetView>
  </sheetViews>
  <sheetFormatPr baseColWidth="10" defaultColWidth="11" defaultRowHeight="15.75" customHeight="1" x14ac:dyDescent="0.2"/>
  <cols>
    <col min="1" max="1" width="12.83203125" style="6" customWidth="1"/>
    <col min="2" max="4" width="12.83203125" style="46" customWidth="1"/>
    <col min="5" max="5" width="10.83203125" style="101"/>
    <col min="6" max="8" width="12.83203125" style="101" customWidth="1"/>
    <col min="9" max="13" width="14.83203125" style="5" customWidth="1"/>
    <col min="14" max="20" width="12.83203125" customWidth="1"/>
  </cols>
  <sheetData>
    <row r="1" spans="1:15" ht="22" x14ac:dyDescent="0.3">
      <c r="A1" s="7" t="s">
        <v>0</v>
      </c>
      <c r="B1" s="5"/>
      <c r="C1" s="5"/>
      <c r="D1" s="5"/>
      <c r="E1" s="5"/>
      <c r="F1" s="5"/>
      <c r="G1" s="5"/>
      <c r="H1" s="5"/>
    </row>
    <row r="2" spans="1:15" ht="22" x14ac:dyDescent="0.3">
      <c r="A2" s="7"/>
      <c r="B2" s="5"/>
      <c r="C2" s="5"/>
      <c r="D2" s="5"/>
      <c r="E2" s="5"/>
      <c r="F2" s="5"/>
      <c r="G2" s="5"/>
      <c r="H2" s="5"/>
    </row>
    <row r="3" spans="1:15" ht="22" x14ac:dyDescent="0.3">
      <c r="A3" s="4"/>
      <c r="B3" s="199" t="s">
        <v>903</v>
      </c>
      <c r="C3" s="199"/>
      <c r="D3" s="199"/>
      <c r="E3" s="200" t="s">
        <v>904</v>
      </c>
      <c r="F3" s="200"/>
      <c r="G3" s="200"/>
      <c r="H3" s="200"/>
      <c r="I3" s="197" t="s">
        <v>905</v>
      </c>
      <c r="J3" s="197"/>
      <c r="K3" s="197"/>
      <c r="L3" s="197"/>
      <c r="M3" s="197"/>
      <c r="N3" t="s">
        <v>906</v>
      </c>
      <c r="O3" t="s">
        <v>907</v>
      </c>
    </row>
    <row r="4" spans="1:15" s="3" customFormat="1" ht="34" x14ac:dyDescent="0.2">
      <c r="A4" s="104" t="s">
        <v>908</v>
      </c>
      <c r="B4" s="103" t="s">
        <v>909</v>
      </c>
      <c r="C4" s="103" t="s">
        <v>910</v>
      </c>
      <c r="D4" s="103" t="s">
        <v>911</v>
      </c>
      <c r="E4" s="102" t="s">
        <v>912</v>
      </c>
      <c r="F4" s="102" t="s">
        <v>913</v>
      </c>
      <c r="G4" s="102" t="s">
        <v>914</v>
      </c>
      <c r="H4" s="102" t="s">
        <v>915</v>
      </c>
      <c r="I4" s="3" t="s">
        <v>916</v>
      </c>
      <c r="J4" s="3" t="s">
        <v>917</v>
      </c>
      <c r="K4" s="3" t="s">
        <v>918</v>
      </c>
      <c r="L4" s="3" t="s">
        <v>919</v>
      </c>
      <c r="M4" s="3" t="s">
        <v>920</v>
      </c>
      <c r="N4" s="3" t="s">
        <v>921</v>
      </c>
      <c r="O4" s="3" t="s">
        <v>852</v>
      </c>
    </row>
    <row r="5" spans="1:15" ht="16" x14ac:dyDescent="0.2">
      <c r="A5" s="6">
        <f t="shared" ref="A5:A13" si="0">A6-7</f>
        <v>45368</v>
      </c>
      <c r="E5" s="101">
        <f>COUNTIFS(Visits!U:U,"&lt;="&amp;'Manual Input'!A5,Visits!U:U, "&gt;"&amp;A5-7)</f>
        <v>0</v>
      </c>
      <c r="F5" s="101">
        <f>COUNTIFS(Visits!U:U,"&lt;="&amp;'Manual Input'!A5,Visits!U:U, "&gt;"&amp;A5-7,Visits!B:B,"Attended")</f>
        <v>0</v>
      </c>
      <c r="G5" s="101">
        <f>COUNTIFS(Sessions!C:C,"&lt;="&amp;'Manual Input'!A5,Sessions!C:C, "&gt;"&amp;A5-7)</f>
        <v>0</v>
      </c>
      <c r="H5" s="101">
        <f t="shared" ref="H5:H8" si="1">IFERROR(F5/G5,0)</f>
        <v>0</v>
      </c>
      <c r="I5" s="5">
        <f>COUNTIFS(Visits!U:U,"&lt;="&amp;'Manual Input'!A5,Visits!U:U, "&gt;"&amp;A5-7,Visits!B:B,"Attended", Visits!Q:Q,"Linkedin")</f>
        <v>0</v>
      </c>
      <c r="J5" s="5">
        <f>COUNTIFS(Visits!U:U,"&lt;="&amp;'Manual Input'!A5,Visits!U:U, "&gt;"&amp;A5-7,Visits!B:B,"Attended", Visits!Q:Q,"Instagram")</f>
        <v>0</v>
      </c>
      <c r="K5" s="5">
        <f>COUNTIFS(Visits!U:U,"&lt;="&amp;'Manual Input'!A5,Visits!U:U, "&gt;"&amp;A5-7,Visits!B:B,"Attended", Visits!Q:Q,"Eventbrite")</f>
        <v>0</v>
      </c>
      <c r="L5" s="5">
        <f>COUNTIFS(Visits!U:U,"&lt;="&amp;'Manual Input'!A5,Visits!U:U, "&gt;"&amp;A5-7,Visits!B:B,"Attended", Visits!Q:Q,"Locals")</f>
        <v>0</v>
      </c>
      <c r="M5" s="5">
        <f>COUNTIFS(Visits!U:U,"&lt;="&amp;'Manual Input'!A5,Visits!U:U, "&gt;"&amp;A5-7,Visits!B:B,"Attended", Visits!Q:Q,"Meetup")</f>
        <v>0</v>
      </c>
      <c r="O5">
        <f>COUNTIFS(Visits!U:U,"&lt;="&amp;'Manual Input'!A5,Visits!U:U, "&gt;"&amp;A5-7,Visits!B:B,"Attended", Visits!Q:Q,"Referral")</f>
        <v>0</v>
      </c>
    </row>
    <row r="6" spans="1:15" ht="16" x14ac:dyDescent="0.2">
      <c r="A6" s="6">
        <f t="shared" si="0"/>
        <v>45375</v>
      </c>
      <c r="E6" s="101">
        <f>COUNTIFS(Visits!U:U,"&lt;="&amp;'Manual Input'!A6,Visits!U:U, "&gt;"&amp;A6-7)</f>
        <v>11</v>
      </c>
      <c r="F6" s="101">
        <f>COUNTIFS(Visits!U:U,"&lt;="&amp;'Manual Input'!A6,Visits!U:U, "&gt;"&amp;A6-7,Visits!B:B,"Attended")</f>
        <v>11</v>
      </c>
      <c r="G6" s="101">
        <f>COUNTIFS(Sessions!C:C,"&lt;="&amp;'Manual Input'!A6,Sessions!C:C, "&gt;"&amp;A6-7)</f>
        <v>1</v>
      </c>
      <c r="H6" s="101">
        <f t="shared" si="1"/>
        <v>11</v>
      </c>
      <c r="I6" s="5">
        <f>COUNTIFS(Visits!U:U,"&lt;="&amp;'Manual Input'!A6,Visits!U:U, "&gt;"&amp;A6-7,Visits!B:B,"Attended", Visits!Q:Q,"Linkedin")</f>
        <v>0</v>
      </c>
      <c r="J6" s="5">
        <f>COUNTIFS(Visits!U:U,"&lt;="&amp;'Manual Input'!A6,Visits!U:U, "&gt;"&amp;A6-7,Visits!B:B,"Attended", Visits!Q:Q,"Instagram")</f>
        <v>0</v>
      </c>
      <c r="K6" s="5">
        <f>COUNTIFS(Visits!U:U,"&lt;="&amp;'Manual Input'!A6,Visits!U:U, "&gt;"&amp;A6-7,Visits!B:B,"Attended", Visits!Q:Q,"Eventbrite")</f>
        <v>0</v>
      </c>
      <c r="L6" s="5">
        <f>COUNTIFS(Visits!U:U,"&lt;="&amp;'Manual Input'!A6,Visits!U:U, "&gt;"&amp;A6-7,Visits!B:B,"Attended", Visits!Q:Q,"Locals")</f>
        <v>0</v>
      </c>
      <c r="M6" s="5">
        <f>COUNTIFS(Visits!U:U,"&lt;="&amp;'Manual Input'!A6,Visits!U:U, "&gt;"&amp;A6-7,Visits!B:B,"Attended", Visits!Q:Q,"Meetup")</f>
        <v>0</v>
      </c>
      <c r="O6">
        <f>COUNTIFS(Visits!U:U,"&lt;="&amp;'Manual Input'!A6,Visits!U:U, "&gt;"&amp;A6-7,Visits!B:B,"Attended", Visits!Q:Q,"Referral")</f>
        <v>0</v>
      </c>
    </row>
    <row r="7" spans="1:15" ht="16" x14ac:dyDescent="0.2">
      <c r="A7" s="6">
        <f t="shared" si="0"/>
        <v>45382</v>
      </c>
      <c r="E7" s="101">
        <f>COUNTIFS(Visits!U:U,"&lt;="&amp;'Manual Input'!A7,Visits!U:U, "&gt;"&amp;A7-7)</f>
        <v>18</v>
      </c>
      <c r="F7" s="101">
        <f>COUNTIFS(Visits!U:U,"&lt;="&amp;'Manual Input'!A7,Visits!U:U, "&gt;"&amp;A7-7,Visits!B:B,"Attended")</f>
        <v>12</v>
      </c>
      <c r="G7" s="101">
        <f>COUNTIFS(Sessions!C:C,"&lt;="&amp;'Manual Input'!A7,Sessions!C:C, "&gt;"&amp;A7-7)</f>
        <v>2</v>
      </c>
      <c r="H7" s="101">
        <f t="shared" si="1"/>
        <v>6</v>
      </c>
      <c r="I7" s="5">
        <f>COUNTIFS(Visits!U:U,"&lt;="&amp;'Manual Input'!A7,Visits!U:U, "&gt;"&amp;A7-7,Visits!B:B,"Attended", Visits!Q:Q,"Linkedin")</f>
        <v>0</v>
      </c>
      <c r="J7" s="5">
        <f>COUNTIFS(Visits!U:U,"&lt;="&amp;'Manual Input'!A7,Visits!U:U, "&gt;"&amp;A7-7,Visits!B:B,"Attended", Visits!Q:Q,"Instagram")</f>
        <v>0</v>
      </c>
      <c r="K7" s="5">
        <f>COUNTIFS(Visits!U:U,"&lt;="&amp;'Manual Input'!A7,Visits!U:U, "&gt;"&amp;A7-7,Visits!B:B,"Attended", Visits!Q:Q,"Eventbrite")</f>
        <v>0</v>
      </c>
      <c r="L7" s="5">
        <f>COUNTIFS(Visits!U:U,"&lt;="&amp;'Manual Input'!A7,Visits!U:U, "&gt;"&amp;A7-7,Visits!B:B,"Attended", Visits!Q:Q,"Locals")</f>
        <v>0</v>
      </c>
      <c r="M7" s="5">
        <f>COUNTIFS(Visits!U:U,"&lt;="&amp;'Manual Input'!A7,Visits!U:U, "&gt;"&amp;A7-7,Visits!B:B,"Attended", Visits!Q:Q,"Meetup")</f>
        <v>0</v>
      </c>
      <c r="O7">
        <f>COUNTIFS(Visits!U:U,"&lt;="&amp;'Manual Input'!A7,Visits!U:U, "&gt;"&amp;A7-7,Visits!B:B,"Attended", Visits!Q:Q,"Referral")</f>
        <v>0</v>
      </c>
    </row>
    <row r="8" spans="1:15" ht="16" x14ac:dyDescent="0.2">
      <c r="A8" s="6">
        <f t="shared" si="0"/>
        <v>45389</v>
      </c>
      <c r="B8" s="46">
        <v>346</v>
      </c>
      <c r="E8" s="101">
        <f>COUNTIFS(Visits!U:U,"&lt;="&amp;'Manual Input'!A8,Visits!U:U, "&gt;"&amp;A8-7)</f>
        <v>29</v>
      </c>
      <c r="F8" s="101">
        <f>COUNTIFS(Visits!U:U,"&lt;="&amp;'Manual Input'!A8,Visits!U:U, "&gt;"&amp;A8-7,Visits!B:B,"Attended")</f>
        <v>27</v>
      </c>
      <c r="G8" s="101">
        <f>COUNTIFS(Sessions!C:C,"&lt;="&amp;'Manual Input'!A8,Sessions!C:C, "&gt;"&amp;A8-7)</f>
        <v>3</v>
      </c>
      <c r="H8" s="101">
        <f t="shared" si="1"/>
        <v>9</v>
      </c>
      <c r="I8" s="5">
        <f>COUNTIFS(Visits!U:U,"&lt;="&amp;'Manual Input'!A8,Visits!U:U, "&gt;"&amp;A8-7,Visits!B:B,"Attended", Visits!Q:Q,"Linkedin")</f>
        <v>0</v>
      </c>
      <c r="J8" s="5">
        <f>COUNTIFS(Visits!U:U,"&lt;="&amp;'Manual Input'!A8,Visits!U:U, "&gt;"&amp;A8-7,Visits!B:B,"Attended", Visits!Q:Q,"Instagram")</f>
        <v>0</v>
      </c>
      <c r="K8" s="5">
        <f>COUNTIFS(Visits!U:U,"&lt;="&amp;'Manual Input'!A8,Visits!U:U, "&gt;"&amp;A8-7,Visits!B:B,"Attended", Visits!Q:Q,"Eventbrite")</f>
        <v>0</v>
      </c>
      <c r="L8" s="5">
        <f>COUNTIFS(Visits!U:U,"&lt;="&amp;'Manual Input'!A8,Visits!U:U, "&gt;"&amp;A8-7,Visits!B:B,"Attended", Visits!Q:Q,"Locals")</f>
        <v>5</v>
      </c>
      <c r="M8" s="5">
        <f>COUNTIFS(Visits!U:U,"&lt;="&amp;'Manual Input'!A8,Visits!U:U, "&gt;"&amp;A8-7,Visits!B:B,"Attended", Visits!Q:Q,"Meetup")</f>
        <v>0</v>
      </c>
      <c r="O8">
        <f>COUNTIFS(Visits!U:U,"&lt;="&amp;'Manual Input'!A8,Visits!U:U, "&gt;"&amp;A8-7,Visits!B:B,"Attended", Visits!Q:Q,"Referral")</f>
        <v>0</v>
      </c>
    </row>
    <row r="9" spans="1:15" ht="16" x14ac:dyDescent="0.2">
      <c r="A9" s="6">
        <f t="shared" si="0"/>
        <v>45396</v>
      </c>
      <c r="B9" s="46">
        <v>362</v>
      </c>
      <c r="E9" s="101">
        <f>COUNTIFS(Visits!U:U,"&lt;="&amp;'Manual Input'!A9,Visits!U:U, "&gt;"&amp;A9-7)</f>
        <v>1</v>
      </c>
      <c r="F9" s="101">
        <f>COUNTIFS(Visits!U:U,"&lt;="&amp;'Manual Input'!A9,Visits!U:U, "&gt;"&amp;A9-7,Visits!B:B,"Attended")</f>
        <v>1</v>
      </c>
      <c r="G9" s="101">
        <f>COUNTIFS(Sessions!C:C,"&lt;="&amp;'Manual Input'!A9,Sessions!C:C, "&gt;"&amp;A9-7)</f>
        <v>1</v>
      </c>
      <c r="H9" s="101">
        <f t="shared" ref="H9" si="2">IFERROR(F9/G9,0)</f>
        <v>1</v>
      </c>
      <c r="I9" s="5">
        <f>COUNTIFS(Visits!U:U,"&lt;="&amp;'Manual Input'!A9,Visits!U:U, "&gt;"&amp;A9-7,Visits!B:B,"Attended", Visits!Q:Q,"Linkedin")</f>
        <v>0</v>
      </c>
      <c r="J9" s="5">
        <f>COUNTIFS(Visits!U:U,"&lt;="&amp;'Manual Input'!A9,Visits!U:U, "&gt;"&amp;A9-7,Visits!B:B,"Attended", Visits!Q:Q,"Instagram")</f>
        <v>0</v>
      </c>
      <c r="K9" s="5">
        <f>COUNTIFS(Visits!U:U,"&lt;="&amp;'Manual Input'!A9,Visits!U:U, "&gt;"&amp;A9-7,Visits!B:B,"Attended", Visits!Q:Q,"Eventbrite")</f>
        <v>0</v>
      </c>
      <c r="L9" s="5">
        <f>COUNTIFS(Visits!U:U,"&lt;="&amp;'Manual Input'!A9,Visits!U:U, "&gt;"&amp;A9-7,Visits!B:B,"Attended", Visits!Q:Q,"Locals")</f>
        <v>0</v>
      </c>
      <c r="M9" s="5">
        <f>COUNTIFS(Visits!U:U,"&lt;="&amp;'Manual Input'!A9,Visits!U:U, "&gt;"&amp;A9-7,Visits!B:B,"Attended", Visits!Q:Q,"Meetup")</f>
        <v>0</v>
      </c>
      <c r="O9">
        <f>COUNTIFS(Visits!U:U,"&lt;="&amp;'Manual Input'!A9,Visits!U:U, "&gt;"&amp;A9-7,Visits!B:B,"Attended", Visits!Q:Q,"Referral")</f>
        <v>0</v>
      </c>
    </row>
    <row r="10" spans="1:15" ht="16" x14ac:dyDescent="0.2">
      <c r="A10" s="6">
        <f t="shared" si="0"/>
        <v>45403</v>
      </c>
      <c r="E10" s="101">
        <f>COUNTIFS(Visits!U:U,"&lt;="&amp;'Manual Input'!A10,Visits!U:U, "&gt;"&amp;A10-7)</f>
        <v>0</v>
      </c>
      <c r="F10" s="101">
        <f>COUNTIFS(Visits!U:U,"&lt;="&amp;'Manual Input'!A10,Visits!U:U, "&gt;"&amp;A10-7,Visits!B:B,"Attended")</f>
        <v>0</v>
      </c>
      <c r="G10" s="101">
        <f>COUNTIFS(Sessions!C:C,"&lt;="&amp;'Manual Input'!A10,Sessions!C:C, "&gt;"&amp;A10-7)</f>
        <v>0</v>
      </c>
      <c r="H10" s="101">
        <f t="shared" ref="H10:H11" si="3">IFERROR(F10/G10,0)</f>
        <v>0</v>
      </c>
      <c r="I10" s="5">
        <f>COUNTIFS(Visits!U:U,"&lt;="&amp;'Manual Input'!A10,Visits!U:U, "&gt;"&amp;A10-7,Visits!B:B,"Attended", Visits!Q:Q,"Linkedin")</f>
        <v>0</v>
      </c>
      <c r="J10" s="5">
        <f>COUNTIFS(Visits!U:U,"&lt;="&amp;'Manual Input'!A10,Visits!U:U, "&gt;"&amp;A10-7,Visits!B:B,"Attended", Visits!Q:Q,"Instagram")</f>
        <v>0</v>
      </c>
      <c r="K10" s="5">
        <f>COUNTIFS(Visits!U:U,"&lt;="&amp;'Manual Input'!A10,Visits!U:U, "&gt;"&amp;A10-7,Visits!B:B,"Attended", Visits!Q:Q,"Eventbrite")</f>
        <v>0</v>
      </c>
      <c r="L10" s="5">
        <f>COUNTIFS(Visits!U:U,"&lt;="&amp;'Manual Input'!A10,Visits!U:U, "&gt;"&amp;A10-7,Visits!B:B,"Attended", Visits!Q:Q,"Locals")</f>
        <v>0</v>
      </c>
      <c r="M10" s="5">
        <f>COUNTIFS(Visits!U:U,"&lt;="&amp;'Manual Input'!A10,Visits!U:U, "&gt;"&amp;A10-7,Visits!B:B,"Attended", Visits!Q:Q,"Meetup")</f>
        <v>0</v>
      </c>
      <c r="O10">
        <f>COUNTIFS(Visits!U:U,"&lt;="&amp;'Manual Input'!A10,Visits!U:U, "&gt;"&amp;A10-7,Visits!B:B,"Attended", Visits!Q:Q,"Referral")</f>
        <v>0</v>
      </c>
    </row>
    <row r="11" spans="1:15" ht="16" x14ac:dyDescent="0.2">
      <c r="A11" s="6">
        <f t="shared" si="0"/>
        <v>45410</v>
      </c>
      <c r="E11" s="101">
        <f>COUNTIFS(Visits!U:U,"&lt;="&amp;'Manual Input'!A11,Visits!U:U, "&gt;"&amp;A11-7)</f>
        <v>0</v>
      </c>
      <c r="F11" s="101">
        <f>COUNTIFS(Visits!U:U,"&lt;="&amp;'Manual Input'!A11,Visits!U:U, "&gt;"&amp;A11-7,Visits!B:B,"Attended")</f>
        <v>0</v>
      </c>
      <c r="G11" s="101">
        <f>COUNTIFS(Sessions!C:C,"&lt;="&amp;'Manual Input'!A11,Sessions!C:C, "&gt;"&amp;A11-7)</f>
        <v>0</v>
      </c>
      <c r="H11" s="101">
        <f t="shared" si="3"/>
        <v>0</v>
      </c>
      <c r="I11" s="5">
        <f>COUNTIFS(Visits!U:U,"&lt;="&amp;'Manual Input'!A11,Visits!U:U, "&gt;"&amp;A11-7,Visits!B:B,"Attended", Visits!Q:Q,"Linkedin")</f>
        <v>0</v>
      </c>
      <c r="J11" s="5">
        <f>COUNTIFS(Visits!U:U,"&lt;="&amp;'Manual Input'!A11,Visits!U:U, "&gt;"&amp;A11-7,Visits!B:B,"Attended", Visits!Q:Q,"Instagram")</f>
        <v>0</v>
      </c>
      <c r="K11" s="5">
        <f>COUNTIFS(Visits!U:U,"&lt;="&amp;'Manual Input'!A11,Visits!U:U, "&gt;"&amp;A11-7,Visits!B:B,"Attended", Visits!Q:Q,"Eventbrite")</f>
        <v>0</v>
      </c>
      <c r="L11" s="5">
        <f>COUNTIFS(Visits!U:U,"&lt;="&amp;'Manual Input'!A11,Visits!U:U, "&gt;"&amp;A11-7,Visits!B:B,"Attended", Visits!Q:Q,"Locals")</f>
        <v>0</v>
      </c>
      <c r="M11" s="5">
        <f>COUNTIFS(Visits!U:U,"&lt;="&amp;'Manual Input'!A11,Visits!U:U, "&gt;"&amp;A11-7,Visits!B:B,"Attended", Visits!Q:Q,"Meetup")</f>
        <v>0</v>
      </c>
      <c r="O11">
        <f>COUNTIFS(Visits!U:U,"&lt;="&amp;'Manual Input'!A11,Visits!U:U, "&gt;"&amp;A11-7,Visits!B:B,"Attended", Visits!Q:Q,"Referral")</f>
        <v>0</v>
      </c>
    </row>
    <row r="12" spans="1:15" ht="16" x14ac:dyDescent="0.2">
      <c r="A12" s="6">
        <f t="shared" si="0"/>
        <v>45417</v>
      </c>
      <c r="B12" s="46">
        <v>388</v>
      </c>
      <c r="E12" s="101">
        <f>COUNTIFS(Visits!U:U,"&lt;="&amp;'Manual Input'!A12,Visits!U:U, "&gt;"&amp;A12-7)</f>
        <v>0</v>
      </c>
      <c r="F12" s="101">
        <f>COUNTIFS(Visits!U:U,"&lt;="&amp;'Manual Input'!A12,Visits!U:U, "&gt;"&amp;A12-7,Visits!B:B,"Attended")</f>
        <v>0</v>
      </c>
      <c r="G12" s="101">
        <f>COUNTIFS(Sessions!C:C,"&lt;="&amp;'Manual Input'!A12,Sessions!C:C, "&gt;"&amp;A12-7)</f>
        <v>0</v>
      </c>
      <c r="H12" s="101">
        <f t="shared" ref="H12" si="4">IFERROR(F12/G12,0)</f>
        <v>0</v>
      </c>
      <c r="I12" s="5">
        <f>COUNTIFS(Visits!U:U,"&lt;="&amp;'Manual Input'!A12,Visits!U:U, "&gt;"&amp;A12-7,Visits!B:B,"Attended", Visits!Q:Q,"Linkedin")</f>
        <v>0</v>
      </c>
      <c r="J12" s="5">
        <f>COUNTIFS(Visits!U:U,"&lt;="&amp;'Manual Input'!A12,Visits!U:U, "&gt;"&amp;A12-7,Visits!B:B,"Attended", Visits!Q:Q,"Instagram")</f>
        <v>0</v>
      </c>
      <c r="K12" s="5">
        <f>COUNTIFS(Visits!U:U,"&lt;="&amp;'Manual Input'!A12,Visits!U:U, "&gt;"&amp;A12-7,Visits!B:B,"Attended", Visits!Q:Q,"Eventbrite")</f>
        <v>0</v>
      </c>
      <c r="L12" s="5">
        <f>COUNTIFS(Visits!U:U,"&lt;="&amp;'Manual Input'!A12,Visits!U:U, "&gt;"&amp;A12-7,Visits!B:B,"Attended", Visits!Q:Q,"Locals")</f>
        <v>0</v>
      </c>
      <c r="M12" s="5">
        <f>COUNTIFS(Visits!U:U,"&lt;="&amp;'Manual Input'!A12,Visits!U:U, "&gt;"&amp;A12-7,Visits!B:B,"Attended", Visits!Q:Q,"Meetup")</f>
        <v>0</v>
      </c>
      <c r="O12">
        <f>COUNTIFS(Visits!U:U,"&lt;="&amp;'Manual Input'!A12,Visits!U:U, "&gt;"&amp;A12-7,Visits!B:B,"Attended", Visits!Q:Q,"Referral")</f>
        <v>0</v>
      </c>
    </row>
    <row r="13" spans="1:15" ht="16" x14ac:dyDescent="0.2">
      <c r="A13" s="6">
        <f t="shared" si="0"/>
        <v>45424</v>
      </c>
      <c r="B13" s="46">
        <v>400</v>
      </c>
      <c r="E13" s="101">
        <f>COUNTIFS(Visits!U:U,"&lt;="&amp;'Manual Input'!A13,Visits!U:U, "&gt;"&amp;A13-7)</f>
        <v>8</v>
      </c>
      <c r="F13" s="101">
        <f>COUNTIFS(Visits!U:U,"&lt;="&amp;'Manual Input'!A13,Visits!U:U, "&gt;"&amp;A13-7,Visits!B:B,"Attended")</f>
        <v>7</v>
      </c>
      <c r="G13" s="101">
        <f>COUNTIFS(Sessions!C:C,"&lt;="&amp;'Manual Input'!A13,Sessions!C:C, "&gt;"&amp;A13-7)</f>
        <v>1</v>
      </c>
      <c r="H13" s="101">
        <f>IFERROR(F13/G13,0)</f>
        <v>7</v>
      </c>
      <c r="I13" s="5">
        <f>COUNTIFS(Visits!U:U,"&lt;="&amp;'Manual Input'!A13,Visits!U:U, "&gt;"&amp;A13-7,Visits!B:B,"Attended", Visits!Q:Q,"Linkedin")</f>
        <v>0</v>
      </c>
      <c r="J13" s="5">
        <f>COUNTIFS(Visits!U:U,"&lt;="&amp;'Manual Input'!A13,Visits!U:U, "&gt;"&amp;A13-7,Visits!B:B,"Attended", Visits!Q:Q,"Instagram")</f>
        <v>0</v>
      </c>
      <c r="K13" s="5">
        <f>COUNTIFS(Visits!U:U,"&lt;="&amp;'Manual Input'!A13,Visits!U:U, "&gt;"&amp;A13-7,Visits!B:B,"Attended", Visits!Q:Q,"Eventbrite")</f>
        <v>0</v>
      </c>
      <c r="L13" s="5">
        <f>COUNTIFS(Visits!U:U,"&lt;="&amp;'Manual Input'!A13,Visits!U:U, "&gt;"&amp;A13-7,Visits!B:B,"Attended", Visits!Q:Q,"Locals")</f>
        <v>0</v>
      </c>
      <c r="M13" s="5">
        <f>COUNTIFS(Visits!U:U,"&lt;="&amp;'Manual Input'!A13,Visits!U:U, "&gt;"&amp;A13-7,Visits!B:B,"Attended", Visits!Q:Q,"Meetup")</f>
        <v>1</v>
      </c>
      <c r="O13">
        <f>COUNTIFS(Visits!U:U,"&lt;="&amp;'Manual Input'!A13,Visits!U:U, "&gt;"&amp;A13-7,Visits!B:B,"Attended", Visits!Q:Q,"Referral")</f>
        <v>0</v>
      </c>
    </row>
    <row r="14" spans="1:15" ht="16" x14ac:dyDescent="0.2">
      <c r="A14" s="6">
        <f>A15-7</f>
        <v>45431</v>
      </c>
      <c r="B14" s="46">
        <v>422</v>
      </c>
      <c r="E14" s="101">
        <f>COUNTIFS(Visits!U:U,"&lt;="&amp;'Manual Input'!A14,Visits!U:U, "&gt;"&amp;A14-7)</f>
        <v>0</v>
      </c>
      <c r="F14" s="101">
        <f>COUNTIFS(Visits!U:U,"&lt;="&amp;'Manual Input'!A14,Visits!U:U, "&gt;"&amp;A14-7,Visits!B:B,"Attended")</f>
        <v>0</v>
      </c>
      <c r="G14" s="101">
        <f>COUNTIFS(Sessions!C:C,"&lt;="&amp;'Manual Input'!A14,Sessions!C:C, "&gt;"&amp;A14-7)</f>
        <v>1</v>
      </c>
      <c r="H14" s="101">
        <f t="shared" ref="H14:H26" si="5">IFERROR(F14/G14,0)</f>
        <v>0</v>
      </c>
      <c r="I14" s="5">
        <f>COUNTIFS(Visits!U:U,"&lt;="&amp;'Manual Input'!A14,Visits!U:U, "&gt;"&amp;A14-7,Visits!B:B,"Attended", Visits!Q:Q,"Linkedin")</f>
        <v>0</v>
      </c>
      <c r="J14" s="5">
        <f>COUNTIFS(Visits!U:U,"&lt;="&amp;'Manual Input'!A14,Visits!U:U, "&gt;"&amp;A14-7,Visits!B:B,"Attended", Visits!Q:Q,"Instagram")</f>
        <v>0</v>
      </c>
      <c r="K14" s="5">
        <f>COUNTIFS(Visits!U:U,"&lt;="&amp;'Manual Input'!A14,Visits!U:U, "&gt;"&amp;A14-7,Visits!B:B,"Attended", Visits!Q:Q,"Eventbrite")</f>
        <v>0</v>
      </c>
      <c r="L14" s="5">
        <f>COUNTIFS(Visits!U:U,"&lt;="&amp;'Manual Input'!A14,Visits!U:U, "&gt;"&amp;A14-7,Visits!B:B,"Attended", Visits!Q:Q,"Locals")</f>
        <v>0</v>
      </c>
      <c r="M14" s="5">
        <f>COUNTIFS(Visits!U:U,"&lt;="&amp;'Manual Input'!A14,Visits!U:U, "&gt;"&amp;A14-7,Visits!B:B,"Attended", Visits!Q:Q,"Meetup")</f>
        <v>0</v>
      </c>
      <c r="O14">
        <f>COUNTIFS(Visits!U:U,"&lt;="&amp;'Manual Input'!A14,Visits!U:U, "&gt;"&amp;A14-7,Visits!B:B,"Attended", Visits!Q:Q,"Referral")</f>
        <v>0</v>
      </c>
    </row>
    <row r="15" spans="1:15" ht="16" x14ac:dyDescent="0.2">
      <c r="A15" s="6">
        <v>45438</v>
      </c>
      <c r="D15" s="46">
        <v>163</v>
      </c>
      <c r="E15" s="101">
        <f>COUNTIFS(Visits!U:U,"&lt;="&amp;'Manual Input'!A15,Visits!U:U, "&gt;"&amp;A15-7)</f>
        <v>11</v>
      </c>
      <c r="F15" s="101">
        <f>COUNTIFS(Visits!U:U,"&lt;="&amp;'Manual Input'!A15,Visits!U:U, "&gt;"&amp;A15-7,Visits!B:B,"Attended")</f>
        <v>11</v>
      </c>
      <c r="G15" s="101">
        <f>COUNTIFS(Sessions!C:C,"&lt;="&amp;'Manual Input'!A15,Sessions!C:C, "&gt;"&amp;A15-7)</f>
        <v>5</v>
      </c>
      <c r="H15" s="101">
        <f t="shared" si="5"/>
        <v>2.2000000000000002</v>
      </c>
      <c r="I15" s="5">
        <f>COUNTIFS(Visits!U:U,"&lt;="&amp;'Manual Input'!A15,Visits!U:U, "&gt;"&amp;A15-7,Visits!B:B,"Attended", Visits!Q:Q,"Linkedin")</f>
        <v>0</v>
      </c>
      <c r="J15" s="5">
        <f>COUNTIFS(Visits!U:U,"&lt;="&amp;'Manual Input'!A15,Visits!U:U, "&gt;"&amp;A15-7,Visits!B:B,"Attended", Visits!Q:Q,"Instagram")</f>
        <v>0</v>
      </c>
      <c r="K15" s="5">
        <f>COUNTIFS(Visits!U:U,"&lt;="&amp;'Manual Input'!A15,Visits!U:U, "&gt;"&amp;A15-7,Visits!B:B,"Attended", Visits!Q:Q,"Eventbrite")</f>
        <v>0</v>
      </c>
      <c r="L15" s="5">
        <f>COUNTIFS(Visits!U:U,"&lt;="&amp;'Manual Input'!A15,Visits!U:U, "&gt;"&amp;A15-7,Visits!B:B,"Attended", Visits!Q:Q,"Locals")</f>
        <v>0</v>
      </c>
      <c r="M15" s="5">
        <f>COUNTIFS(Visits!U:U,"&lt;="&amp;'Manual Input'!A15,Visits!U:U, "&gt;"&amp;A15-7,Visits!B:B,"Attended", Visits!Q:Q,"Meetup")</f>
        <v>0</v>
      </c>
      <c r="O15">
        <f>COUNTIFS(Visits!U:U,"&lt;="&amp;'Manual Input'!A15,Visits!U:U, "&gt;"&amp;A15-7,Visits!B:B,"Attended", Visits!Q:Q,"Referral")</f>
        <v>0</v>
      </c>
    </row>
    <row r="16" spans="1:15" ht="16" x14ac:dyDescent="0.2">
      <c r="A16" s="6">
        <f t="shared" ref="A16:A26" si="6">A15+7</f>
        <v>45445</v>
      </c>
      <c r="E16" s="101">
        <f>COUNTIFS(Visits!U:U,"&lt;="&amp;'Manual Input'!A16,Visits!U:U, "&gt;"&amp;A16-7)</f>
        <v>38</v>
      </c>
      <c r="F16" s="101">
        <f>COUNTIFS(Visits!U:U,"&lt;="&amp;'Manual Input'!A16,Visits!U:U, "&gt;"&amp;A16-7,Visits!B:B,"Attended")</f>
        <v>31</v>
      </c>
      <c r="G16" s="101">
        <f>COUNTIFS(Sessions!C:C,"&lt;="&amp;'Manual Input'!A16,Sessions!C:C, "&gt;"&amp;A16-7)</f>
        <v>2</v>
      </c>
      <c r="H16" s="101">
        <f t="shared" si="5"/>
        <v>15.5</v>
      </c>
      <c r="I16" s="5">
        <f>COUNTIFS(Visits!U:U,"&lt;="&amp;'Manual Input'!A16,Visits!U:U, "&gt;"&amp;A16-7,Visits!B:B,"Attended", Visits!Q:Q,"Linkedin")</f>
        <v>0</v>
      </c>
      <c r="J16" s="5">
        <f>COUNTIFS(Visits!U:U,"&lt;="&amp;'Manual Input'!A16,Visits!U:U, "&gt;"&amp;A16-7,Visits!B:B,"Attended", Visits!Q:Q,"Instagram")</f>
        <v>0</v>
      </c>
      <c r="K16" s="5">
        <f>COUNTIFS(Visits!U:U,"&lt;="&amp;'Manual Input'!A16,Visits!U:U, "&gt;"&amp;A16-7,Visits!B:B,"Attended", Visits!Q:Q,"Eventbrite")</f>
        <v>0</v>
      </c>
      <c r="L16" s="5">
        <f>COUNTIFS(Visits!U:U,"&lt;="&amp;'Manual Input'!A16,Visits!U:U, "&gt;"&amp;A16-7,Visits!B:B,"Attended", Visits!Q:Q,"Locals")</f>
        <v>0</v>
      </c>
      <c r="M16" s="5">
        <f>COUNTIFS(Visits!U:U,"&lt;="&amp;'Manual Input'!A16,Visits!U:U, "&gt;"&amp;A16-7,Visits!B:B,"Attended", Visits!Q:Q,"Meetup")</f>
        <v>0</v>
      </c>
      <c r="O16">
        <f>COUNTIFS(Visits!U:U,"&lt;="&amp;'Manual Input'!A16,Visits!U:U, "&gt;"&amp;A16-7,Visits!B:B,"Attended", Visits!Q:Q,"Referral")</f>
        <v>0</v>
      </c>
    </row>
    <row r="17" spans="1:15" ht="16" x14ac:dyDescent="0.2">
      <c r="A17" s="6">
        <f t="shared" si="6"/>
        <v>45452</v>
      </c>
      <c r="E17" s="101">
        <f>COUNTIFS(Visits!U:U,"&lt;="&amp;'Manual Input'!A17,Visits!U:U, "&gt;"&amp;A17-7)</f>
        <v>6</v>
      </c>
      <c r="F17" s="101">
        <f>COUNTIFS(Visits!U:U,"&lt;="&amp;'Manual Input'!A17,Visits!U:U, "&gt;"&amp;A17-7,Visits!B:B,"Attended")</f>
        <v>6</v>
      </c>
      <c r="G17" s="101">
        <f>COUNTIFS(Sessions!C:C,"&lt;="&amp;'Manual Input'!A17,Sessions!C:C, "&gt;"&amp;A17-7)</f>
        <v>2</v>
      </c>
      <c r="H17" s="101">
        <f t="shared" si="5"/>
        <v>3</v>
      </c>
      <c r="I17" s="5">
        <f>COUNTIFS(Visits!U:U,"&lt;="&amp;'Manual Input'!A17,Visits!U:U, "&gt;"&amp;A17-7,Visits!B:B,"Attended", Visits!Q:Q,"Linkedin")</f>
        <v>0</v>
      </c>
      <c r="J17" s="5">
        <f>COUNTIFS(Visits!U:U,"&lt;="&amp;'Manual Input'!A17,Visits!U:U, "&gt;"&amp;A17-7,Visits!B:B,"Attended", Visits!Q:Q,"Instagram")</f>
        <v>0</v>
      </c>
      <c r="K17" s="5">
        <f>COUNTIFS(Visits!U:U,"&lt;="&amp;'Manual Input'!A17,Visits!U:U, "&gt;"&amp;A17-7,Visits!B:B,"Attended", Visits!Q:Q,"Eventbrite")</f>
        <v>0</v>
      </c>
      <c r="L17" s="5">
        <f>COUNTIFS(Visits!U:U,"&lt;="&amp;'Manual Input'!A17,Visits!U:U, "&gt;"&amp;A17-7,Visits!B:B,"Attended", Visits!Q:Q,"Locals")</f>
        <v>0</v>
      </c>
      <c r="M17" s="5">
        <f>COUNTIFS(Visits!U:U,"&lt;="&amp;'Manual Input'!A17,Visits!U:U, "&gt;"&amp;A17-7,Visits!B:B,"Attended", Visits!Q:Q,"Meetup")</f>
        <v>0</v>
      </c>
      <c r="O17">
        <f>COUNTIFS(Visits!U:U,"&lt;="&amp;'Manual Input'!A17,Visits!U:U, "&gt;"&amp;A17-7,Visits!B:B,"Attended", Visits!Q:Q,"Referral")</f>
        <v>0</v>
      </c>
    </row>
    <row r="18" spans="1:15" ht="16" x14ac:dyDescent="0.2">
      <c r="A18" s="6">
        <f t="shared" si="6"/>
        <v>45459</v>
      </c>
      <c r="E18" s="101">
        <f>COUNTIFS(Visits!U:U,"&lt;="&amp;'Manual Input'!A18,Visits!U:U, "&gt;"&amp;A18-7)</f>
        <v>4</v>
      </c>
      <c r="F18" s="101">
        <f>COUNTIFS(Visits!U:U,"&lt;="&amp;'Manual Input'!A18,Visits!U:U, "&gt;"&amp;A18-7,Visits!B:B,"Attended")</f>
        <v>3</v>
      </c>
      <c r="G18" s="101">
        <f>COUNTIFS(Sessions!C:C,"&lt;="&amp;'Manual Input'!A18,Sessions!C:C, "&gt;"&amp;A18-7)</f>
        <v>1</v>
      </c>
      <c r="H18" s="101">
        <f t="shared" si="5"/>
        <v>3</v>
      </c>
      <c r="I18" s="5">
        <f>COUNTIFS(Visits!U:U,"&lt;="&amp;'Manual Input'!A18,Visits!U:U, "&gt;"&amp;A18-7,Visits!B:B,"Attended", Visits!Q:Q,"Linkedin")</f>
        <v>0</v>
      </c>
      <c r="J18" s="5">
        <f>COUNTIFS(Visits!U:U,"&lt;="&amp;'Manual Input'!A18,Visits!U:U, "&gt;"&amp;A18-7,Visits!B:B,"Attended", Visits!Q:Q,"Instagram")</f>
        <v>0</v>
      </c>
      <c r="K18" s="5">
        <f>COUNTIFS(Visits!U:U,"&lt;="&amp;'Manual Input'!A18,Visits!U:U, "&gt;"&amp;A18-7,Visits!B:B,"Attended", Visits!Q:Q,"Eventbrite")</f>
        <v>0</v>
      </c>
      <c r="L18" s="5">
        <f>COUNTIFS(Visits!U:U,"&lt;="&amp;'Manual Input'!A18,Visits!U:U, "&gt;"&amp;A18-7,Visits!B:B,"Attended", Visits!Q:Q,"Locals")</f>
        <v>0</v>
      </c>
      <c r="M18" s="5">
        <f>COUNTIFS(Visits!U:U,"&lt;="&amp;'Manual Input'!A18,Visits!U:U, "&gt;"&amp;A18-7,Visits!B:B,"Attended", Visits!Q:Q,"Meetup")</f>
        <v>0</v>
      </c>
      <c r="O18">
        <f>COUNTIFS(Visits!U:U,"&lt;="&amp;'Manual Input'!A18,Visits!U:U, "&gt;"&amp;A18-7,Visits!B:B,"Attended", Visits!Q:Q,"Referral")</f>
        <v>0</v>
      </c>
    </row>
    <row r="19" spans="1:15" ht="16" x14ac:dyDescent="0.2">
      <c r="A19" s="6">
        <f t="shared" si="6"/>
        <v>45466</v>
      </c>
      <c r="E19" s="101">
        <f>COUNTIFS(Visits!U:U,"&lt;="&amp;'Manual Input'!A19,Visits!U:U, "&gt;"&amp;A19-7)</f>
        <v>0</v>
      </c>
      <c r="F19" s="101">
        <f>COUNTIFS(Visits!U:U,"&lt;="&amp;'Manual Input'!A19,Visits!U:U, "&gt;"&amp;A19-7,Visits!B:B,"Attended")</f>
        <v>0</v>
      </c>
      <c r="G19" s="101">
        <f>COUNTIFS(Sessions!C:C,"&lt;="&amp;'Manual Input'!A19,Sessions!C:C, "&gt;"&amp;A19-7)</f>
        <v>3</v>
      </c>
      <c r="H19" s="101">
        <f t="shared" si="5"/>
        <v>0</v>
      </c>
      <c r="I19" s="5">
        <f>COUNTIFS(Visits!U:U,"&lt;="&amp;'Manual Input'!A19,Visits!U:U, "&gt;"&amp;A19-7,Visits!B:B,"Attended", Visits!Q:Q,"Linkedin")</f>
        <v>0</v>
      </c>
      <c r="J19" s="5">
        <f>COUNTIFS(Visits!U:U,"&lt;="&amp;'Manual Input'!A19,Visits!U:U, "&gt;"&amp;A19-7,Visits!B:B,"Attended", Visits!Q:Q,"Instagram")</f>
        <v>0</v>
      </c>
      <c r="K19" s="5">
        <f>COUNTIFS(Visits!U:U,"&lt;="&amp;'Manual Input'!A19,Visits!U:U, "&gt;"&amp;A19-7,Visits!B:B,"Attended", Visits!Q:Q,"Eventbrite")</f>
        <v>0</v>
      </c>
      <c r="L19" s="5">
        <f>COUNTIFS(Visits!U:U,"&lt;="&amp;'Manual Input'!A19,Visits!U:U, "&gt;"&amp;A19-7,Visits!B:B,"Attended", Visits!Q:Q,"Locals")</f>
        <v>0</v>
      </c>
      <c r="M19" s="5">
        <f>COUNTIFS(Visits!U:U,"&lt;="&amp;'Manual Input'!A19,Visits!U:U, "&gt;"&amp;A19-7,Visits!B:B,"Attended", Visits!Q:Q,"Meetup")</f>
        <v>0</v>
      </c>
      <c r="O19">
        <f>COUNTIFS(Visits!U:U,"&lt;="&amp;'Manual Input'!A19,Visits!U:U, "&gt;"&amp;A19-7,Visits!B:B,"Attended", Visits!Q:Q,"Referral")</f>
        <v>0</v>
      </c>
    </row>
    <row r="20" spans="1:15" ht="16" x14ac:dyDescent="0.2">
      <c r="A20" s="6">
        <f t="shared" si="6"/>
        <v>45473</v>
      </c>
      <c r="E20" s="101">
        <f>COUNTIFS(Visits!U:U,"&lt;="&amp;'Manual Input'!A20,Visits!U:U, "&gt;"&amp;A20-7)</f>
        <v>0</v>
      </c>
      <c r="F20" s="101">
        <f>COUNTIFS(Visits!U:U,"&lt;="&amp;'Manual Input'!A20,Visits!U:U, "&gt;"&amp;A20-7,Visits!B:B,"Attended")</f>
        <v>0</v>
      </c>
      <c r="G20" s="101">
        <f>COUNTIFS(Sessions!C:C,"&lt;="&amp;'Manual Input'!A20,Sessions!C:C, "&gt;"&amp;A20-7)</f>
        <v>3</v>
      </c>
      <c r="H20" s="101">
        <f t="shared" si="5"/>
        <v>0</v>
      </c>
      <c r="I20" s="5">
        <f>COUNTIFS(Visits!U:U,"&lt;="&amp;'Manual Input'!A20,Visits!U:U, "&gt;"&amp;A20-7,Visits!B:B,"Attended", Visits!Q:Q,"Linkedin")</f>
        <v>0</v>
      </c>
      <c r="J20" s="5">
        <f>COUNTIFS(Visits!U:U,"&lt;="&amp;'Manual Input'!A20,Visits!U:U, "&gt;"&amp;A20-7,Visits!B:B,"Attended", Visits!Q:Q,"Instagram")</f>
        <v>0</v>
      </c>
      <c r="K20" s="5">
        <f>COUNTIFS(Visits!U:U,"&lt;="&amp;'Manual Input'!A20,Visits!U:U, "&gt;"&amp;A20-7,Visits!B:B,"Attended", Visits!Q:Q,"Eventbrite")</f>
        <v>0</v>
      </c>
      <c r="L20" s="5">
        <f>COUNTIFS(Visits!U:U,"&lt;="&amp;'Manual Input'!A20,Visits!U:U, "&gt;"&amp;A20-7,Visits!B:B,"Attended", Visits!Q:Q,"Locals")</f>
        <v>0</v>
      </c>
      <c r="M20" s="5">
        <f>COUNTIFS(Visits!U:U,"&lt;="&amp;'Manual Input'!A20,Visits!U:U, "&gt;"&amp;A20-7,Visits!B:B,"Attended", Visits!Q:Q,"Meetup")</f>
        <v>0</v>
      </c>
      <c r="O20">
        <f>COUNTIFS(Visits!U:U,"&lt;="&amp;'Manual Input'!A20,Visits!U:U, "&gt;"&amp;A20-7,Visits!B:B,"Attended", Visits!Q:Q,"Referral")</f>
        <v>0</v>
      </c>
    </row>
    <row r="21" spans="1:15" ht="16" x14ac:dyDescent="0.2">
      <c r="A21" s="6">
        <f t="shared" si="6"/>
        <v>45480</v>
      </c>
      <c r="E21" s="101">
        <f>COUNTIFS(Visits!U:U,"&lt;="&amp;'Manual Input'!A21,Visits!U:U, "&gt;"&amp;A21-7)</f>
        <v>0</v>
      </c>
      <c r="F21" s="101">
        <f>COUNTIFS(Visits!U:U,"&lt;="&amp;'Manual Input'!A21,Visits!U:U, "&gt;"&amp;A21-7,Visits!B:B,"Attended")</f>
        <v>0</v>
      </c>
      <c r="G21" s="101">
        <f>COUNTIFS(Sessions!C:C,"&lt;="&amp;'Manual Input'!A21,Sessions!C:C, "&gt;"&amp;A21-7)</f>
        <v>0</v>
      </c>
      <c r="H21" s="101">
        <f t="shared" si="5"/>
        <v>0</v>
      </c>
      <c r="I21" s="5">
        <f>COUNTIFS(Visits!U:U,"&lt;="&amp;'Manual Input'!A21,Visits!U:U, "&gt;"&amp;A21-7,Visits!B:B,"Attended", Visits!Q:Q,"Linkedin")</f>
        <v>0</v>
      </c>
      <c r="J21" s="5">
        <f>COUNTIFS(Visits!U:U,"&lt;="&amp;'Manual Input'!A21,Visits!U:U, "&gt;"&amp;A21-7,Visits!B:B,"Attended", Visits!Q:Q,"Instagram")</f>
        <v>0</v>
      </c>
      <c r="K21" s="5">
        <f>COUNTIFS(Visits!U:U,"&lt;="&amp;'Manual Input'!A21,Visits!U:U, "&gt;"&amp;A21-7,Visits!B:B,"Attended", Visits!Q:Q,"Eventbrite")</f>
        <v>0</v>
      </c>
      <c r="L21" s="5">
        <f>COUNTIFS(Visits!U:U,"&lt;="&amp;'Manual Input'!A21,Visits!U:U, "&gt;"&amp;A21-7,Visits!B:B,"Attended", Visits!Q:Q,"Locals")</f>
        <v>0</v>
      </c>
      <c r="M21" s="5">
        <f>COUNTIFS(Visits!U:U,"&lt;="&amp;'Manual Input'!A21,Visits!U:U, "&gt;"&amp;A21-7,Visits!B:B,"Attended", Visits!Q:Q,"Meetup")</f>
        <v>0</v>
      </c>
      <c r="O21">
        <f>COUNTIFS(Visits!U:U,"&lt;="&amp;'Manual Input'!A21,Visits!U:U, "&gt;"&amp;A21-7,Visits!B:B,"Attended", Visits!Q:Q,"Referral")</f>
        <v>0</v>
      </c>
    </row>
    <row r="22" spans="1:15" ht="16" x14ac:dyDescent="0.2">
      <c r="A22" s="6">
        <f t="shared" si="6"/>
        <v>45487</v>
      </c>
      <c r="E22" s="101">
        <f>COUNTIFS(Visits!U:U,"&lt;="&amp;'Manual Input'!A22,Visits!U:U, "&gt;"&amp;A22-7)</f>
        <v>0</v>
      </c>
      <c r="F22" s="101">
        <f>COUNTIFS(Visits!U:U,"&lt;="&amp;'Manual Input'!A22,Visits!U:U, "&gt;"&amp;A22-7,Visits!B:B,"Attended")</f>
        <v>0</v>
      </c>
      <c r="G22" s="101">
        <f>COUNTIFS(Sessions!C:C,"&lt;="&amp;'Manual Input'!A22,Sessions!C:C, "&gt;"&amp;A22-7)</f>
        <v>0</v>
      </c>
      <c r="H22" s="101">
        <f t="shared" si="5"/>
        <v>0</v>
      </c>
      <c r="I22" s="5">
        <f>COUNTIFS(Visits!U:U,"&lt;="&amp;'Manual Input'!A22,Visits!U:U, "&gt;"&amp;A22-7,Visits!B:B,"Attended", Visits!Q:Q,"Linkedin")</f>
        <v>0</v>
      </c>
      <c r="J22" s="5">
        <f>COUNTIFS(Visits!U:U,"&lt;="&amp;'Manual Input'!A22,Visits!U:U, "&gt;"&amp;A22-7,Visits!B:B,"Attended", Visits!Q:Q,"Instagram")</f>
        <v>0</v>
      </c>
      <c r="K22" s="5">
        <f>COUNTIFS(Visits!U:U,"&lt;="&amp;'Manual Input'!A22,Visits!U:U, "&gt;"&amp;A22-7,Visits!B:B,"Attended", Visits!Q:Q,"Eventbrite")</f>
        <v>0</v>
      </c>
      <c r="L22" s="5">
        <f>COUNTIFS(Visits!U:U,"&lt;="&amp;'Manual Input'!A22,Visits!U:U, "&gt;"&amp;A22-7,Visits!B:B,"Attended", Visits!Q:Q,"Locals")</f>
        <v>0</v>
      </c>
      <c r="M22" s="5">
        <f>COUNTIFS(Visits!U:U,"&lt;="&amp;'Manual Input'!A22,Visits!U:U, "&gt;"&amp;A22-7,Visits!B:B,"Attended", Visits!Q:Q,"Meetup")</f>
        <v>0</v>
      </c>
      <c r="O22">
        <f>COUNTIFS(Visits!U:U,"&lt;="&amp;'Manual Input'!A22,Visits!U:U, "&gt;"&amp;A22-7,Visits!B:B,"Attended", Visits!Q:Q,"Referral")</f>
        <v>0</v>
      </c>
    </row>
    <row r="23" spans="1:15" ht="16" x14ac:dyDescent="0.2">
      <c r="A23" s="6">
        <f t="shared" si="6"/>
        <v>45494</v>
      </c>
      <c r="E23" s="101">
        <f>COUNTIFS(Visits!U:U,"&lt;="&amp;'Manual Input'!A23,Visits!U:U, "&gt;"&amp;A23-7)</f>
        <v>0</v>
      </c>
      <c r="F23" s="101">
        <f>COUNTIFS(Visits!U:U,"&lt;="&amp;'Manual Input'!A23,Visits!U:U, "&gt;"&amp;A23-7,Visits!B:B,"Attended")</f>
        <v>0</v>
      </c>
      <c r="G23" s="101">
        <f>COUNTIFS(Sessions!C:C,"&lt;="&amp;'Manual Input'!A23,Sessions!C:C, "&gt;"&amp;A23-7)</f>
        <v>0</v>
      </c>
      <c r="H23" s="101">
        <f t="shared" si="5"/>
        <v>0</v>
      </c>
      <c r="I23" s="5">
        <f>COUNTIFS(Visits!U:U,"&lt;="&amp;'Manual Input'!A23,Visits!U:U, "&gt;"&amp;A23-7,Visits!B:B,"Attended", Visits!Q:Q,"Linkedin")</f>
        <v>0</v>
      </c>
      <c r="J23" s="5">
        <f>COUNTIFS(Visits!U:U,"&lt;="&amp;'Manual Input'!A23,Visits!U:U, "&gt;"&amp;A23-7,Visits!B:B,"Attended", Visits!Q:Q,"Instagram")</f>
        <v>0</v>
      </c>
      <c r="K23" s="5">
        <f>COUNTIFS(Visits!U:U,"&lt;="&amp;'Manual Input'!A23,Visits!U:U, "&gt;"&amp;A23-7,Visits!B:B,"Attended", Visits!Q:Q,"Eventbrite")</f>
        <v>0</v>
      </c>
      <c r="L23" s="5">
        <f>COUNTIFS(Visits!U:U,"&lt;="&amp;'Manual Input'!A23,Visits!U:U, "&gt;"&amp;A23-7,Visits!B:B,"Attended", Visits!Q:Q,"Locals")</f>
        <v>0</v>
      </c>
      <c r="M23" s="5">
        <f>COUNTIFS(Visits!U:U,"&lt;="&amp;'Manual Input'!A23,Visits!U:U, "&gt;"&amp;A23-7,Visits!B:B,"Attended", Visits!Q:Q,"Meetup")</f>
        <v>0</v>
      </c>
      <c r="O23">
        <f>COUNTIFS(Visits!U:U,"&lt;="&amp;'Manual Input'!A23,Visits!U:U, "&gt;"&amp;A23-7,Visits!B:B,"Attended", Visits!Q:Q,"Referral")</f>
        <v>0</v>
      </c>
    </row>
    <row r="24" spans="1:15" ht="16" x14ac:dyDescent="0.2">
      <c r="A24" s="6">
        <f t="shared" si="6"/>
        <v>45501</v>
      </c>
      <c r="E24" s="101">
        <f>COUNTIFS(Visits!U:U,"&lt;="&amp;'Manual Input'!A24,Visits!U:U, "&gt;"&amp;A24-7)</f>
        <v>0</v>
      </c>
      <c r="F24" s="101">
        <f>COUNTIFS(Visits!U:U,"&lt;="&amp;'Manual Input'!A24,Visits!U:U, "&gt;"&amp;A24-7,Visits!B:B,"Attended")</f>
        <v>0</v>
      </c>
      <c r="G24" s="101">
        <f>COUNTIFS(Sessions!C:C,"&lt;="&amp;'Manual Input'!A24,Sessions!C:C, "&gt;"&amp;A24-7)</f>
        <v>0</v>
      </c>
      <c r="H24" s="101">
        <f t="shared" si="5"/>
        <v>0</v>
      </c>
      <c r="I24" s="5">
        <f>COUNTIFS(Visits!U:U,"&lt;="&amp;'Manual Input'!A24,Visits!U:U, "&gt;"&amp;A24-7,Visits!B:B,"Attended", Visits!Q:Q,"Linkedin")</f>
        <v>0</v>
      </c>
      <c r="J24" s="5">
        <f>COUNTIFS(Visits!U:U,"&lt;="&amp;'Manual Input'!A24,Visits!U:U, "&gt;"&amp;A24-7,Visits!B:B,"Attended", Visits!Q:Q,"Instagram")</f>
        <v>0</v>
      </c>
      <c r="K24" s="5">
        <f>COUNTIFS(Visits!U:U,"&lt;="&amp;'Manual Input'!A24,Visits!U:U, "&gt;"&amp;A24-7,Visits!B:B,"Attended", Visits!Q:Q,"Eventbrite")</f>
        <v>0</v>
      </c>
      <c r="L24" s="5">
        <f>COUNTIFS(Visits!U:U,"&lt;="&amp;'Manual Input'!A24,Visits!U:U, "&gt;"&amp;A24-7,Visits!B:B,"Attended", Visits!Q:Q,"Locals")</f>
        <v>0</v>
      </c>
      <c r="M24" s="5">
        <f>COUNTIFS(Visits!U:U,"&lt;="&amp;'Manual Input'!A24,Visits!U:U, "&gt;"&amp;A24-7,Visits!B:B,"Attended", Visits!Q:Q,"Meetup")</f>
        <v>0</v>
      </c>
      <c r="O24">
        <f>COUNTIFS(Visits!U:U,"&lt;="&amp;'Manual Input'!A24,Visits!U:U, "&gt;"&amp;A24-7,Visits!B:B,"Attended", Visits!Q:Q,"Referral")</f>
        <v>0</v>
      </c>
    </row>
    <row r="25" spans="1:15" ht="16" x14ac:dyDescent="0.2">
      <c r="A25" s="6">
        <f t="shared" si="6"/>
        <v>45508</v>
      </c>
      <c r="E25" s="101">
        <f>COUNTIFS(Visits!U:U,"&lt;="&amp;'Manual Input'!A25,Visits!U:U, "&gt;"&amp;A25-7)</f>
        <v>0</v>
      </c>
      <c r="F25" s="101">
        <f>COUNTIFS(Visits!U:U,"&lt;="&amp;'Manual Input'!A25,Visits!U:U, "&gt;"&amp;A25-7,Visits!B:B,"Attended")</f>
        <v>0</v>
      </c>
      <c r="G25" s="101">
        <f>COUNTIFS(Sessions!C:C,"&lt;="&amp;'Manual Input'!A25,Sessions!C:C, "&gt;"&amp;A25-7)</f>
        <v>0</v>
      </c>
      <c r="H25" s="101">
        <f t="shared" si="5"/>
        <v>0</v>
      </c>
      <c r="I25" s="5">
        <f>COUNTIFS(Visits!U:U,"&lt;="&amp;'Manual Input'!A25,Visits!U:U, "&gt;"&amp;A25-7,Visits!B:B,"Attended", Visits!Q:Q,"Linkedin")</f>
        <v>0</v>
      </c>
      <c r="J25" s="5">
        <f>COUNTIFS(Visits!U:U,"&lt;="&amp;'Manual Input'!A25,Visits!U:U, "&gt;"&amp;A25-7,Visits!B:B,"Attended", Visits!Q:Q,"Instagram")</f>
        <v>0</v>
      </c>
      <c r="K25" s="5">
        <f>COUNTIFS(Visits!U:U,"&lt;="&amp;'Manual Input'!A25,Visits!U:U, "&gt;"&amp;A25-7,Visits!B:B,"Attended", Visits!Q:Q,"Eventbrite")</f>
        <v>0</v>
      </c>
      <c r="L25" s="5">
        <f>COUNTIFS(Visits!U:U,"&lt;="&amp;'Manual Input'!A25,Visits!U:U, "&gt;"&amp;A25-7,Visits!B:B,"Attended", Visits!Q:Q,"Locals")</f>
        <v>0</v>
      </c>
      <c r="M25" s="5">
        <f>COUNTIFS(Visits!U:U,"&lt;="&amp;'Manual Input'!A25,Visits!U:U, "&gt;"&amp;A25-7,Visits!B:B,"Attended", Visits!Q:Q,"Meetup")</f>
        <v>0</v>
      </c>
      <c r="O25">
        <f>COUNTIFS(Visits!U:U,"&lt;="&amp;'Manual Input'!A25,Visits!U:U, "&gt;"&amp;A25-7,Visits!B:B,"Attended", Visits!Q:Q,"Referral")</f>
        <v>0</v>
      </c>
    </row>
    <row r="26" spans="1:15" ht="16" x14ac:dyDescent="0.2">
      <c r="A26" s="6">
        <f t="shared" si="6"/>
        <v>45515</v>
      </c>
      <c r="E26" s="101">
        <f>COUNTIFS(Visits!U:U,"&lt;="&amp;'Manual Input'!A26,Visits!U:U, "&gt;"&amp;A26-7)</f>
        <v>0</v>
      </c>
      <c r="F26" s="101">
        <f>COUNTIFS(Visits!U:U,"&lt;="&amp;'Manual Input'!A26,Visits!U:U, "&gt;"&amp;A26-7,Visits!B:B,"Attended")</f>
        <v>0</v>
      </c>
      <c r="G26" s="101">
        <f>COUNTIFS(Sessions!C:C,"&lt;="&amp;'Manual Input'!A26,Sessions!C:C, "&gt;"&amp;A26-7)</f>
        <v>0</v>
      </c>
      <c r="H26" s="101">
        <f t="shared" si="5"/>
        <v>0</v>
      </c>
      <c r="I26" s="5">
        <f>COUNTIFS(Visits!U:U,"&lt;="&amp;'Manual Input'!A26,Visits!U:U, "&gt;"&amp;A26-7,Visits!B:B,"Attended", Visits!Q:Q,"Linkedin")</f>
        <v>0</v>
      </c>
      <c r="J26" s="5">
        <f>COUNTIFS(Visits!U:U,"&lt;="&amp;'Manual Input'!A26,Visits!U:U, "&gt;"&amp;A26-7,Visits!B:B,"Attended", Visits!Q:Q,"Instagram")</f>
        <v>0</v>
      </c>
      <c r="K26" s="5">
        <f>COUNTIFS(Visits!U:U,"&lt;="&amp;'Manual Input'!A26,Visits!U:U, "&gt;"&amp;A26-7,Visits!B:B,"Attended", Visits!Q:Q,"Eventbrite")</f>
        <v>0</v>
      </c>
      <c r="L26" s="5">
        <f>COUNTIFS(Visits!U:U,"&lt;="&amp;'Manual Input'!A26,Visits!U:U, "&gt;"&amp;A26-7,Visits!B:B,"Attended", Visits!Q:Q,"Locals")</f>
        <v>0</v>
      </c>
      <c r="M26" s="5">
        <f>COUNTIFS(Visits!U:U,"&lt;="&amp;'Manual Input'!A26,Visits!U:U, "&gt;"&amp;A26-7,Visits!B:B,"Attended", Visits!Q:Q,"Meetup")</f>
        <v>0</v>
      </c>
      <c r="O26">
        <f>COUNTIFS(Visits!U:U,"&lt;="&amp;'Manual Input'!A26,Visits!U:U, "&gt;"&amp;A26-7,Visits!B:B,"Attended", Visits!Q:Q,"Referral")</f>
        <v>0</v>
      </c>
    </row>
  </sheetData>
  <mergeCells count="3">
    <mergeCell ref="I3:M3"/>
    <mergeCell ref="B3:D3"/>
    <mergeCell ref="E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D6AC-3E97-452D-AC66-A01EA503D9FA}">
  <sheetPr>
    <tabColor theme="0"/>
  </sheetPr>
  <dimension ref="A1:E205"/>
  <sheetViews>
    <sheetView workbookViewId="0">
      <selection activeCell="H84" sqref="H84"/>
    </sheetView>
  </sheetViews>
  <sheetFormatPr baseColWidth="10" defaultColWidth="11" defaultRowHeight="16" x14ac:dyDescent="0.2"/>
  <cols>
    <col min="1" max="1" width="36" customWidth="1"/>
    <col min="2" max="2" width="13.1640625" customWidth="1"/>
    <col min="3" max="4" width="16" customWidth="1"/>
  </cols>
  <sheetData>
    <row r="1" spans="1:5" x14ac:dyDescent="0.2">
      <c r="A1" t="str" cm="1">
        <f t="array" ref="A1:A102">_xlfn.UNIQUE(Visits!E:E)</f>
        <v>Email</v>
      </c>
    </row>
    <row r="2" spans="1:5" x14ac:dyDescent="0.2">
      <c r="A2" t="str">
        <v>laurabrown148@gmail.com</v>
      </c>
      <c r="B2" t="str">
        <f>VLOOKUP('Users from Visits'!A2,Visits!E:O,10,FALSE)</f>
        <v>Laura</v>
      </c>
      <c r="C2" t="str">
        <f>VLOOKUP('Users from Visits'!A2,Visits!E:O,11,FALSE)</f>
        <v>Brown</v>
      </c>
      <c r="D2">
        <f>VLOOKUP('Users from Visits'!A2,Visits!E:O,2,FALSE)</f>
        <v>0</v>
      </c>
      <c r="E2" t="str">
        <f>VLOOKUP(A2,Users!A:A,1,FALSE)</f>
        <v>laurabrown148@gmail.com</v>
      </c>
    </row>
    <row r="3" spans="1:5" x14ac:dyDescent="0.2">
      <c r="A3" t="str">
        <v>aidanakassymova@gmail.com</v>
      </c>
      <c r="B3" t="str">
        <f>VLOOKUP('Users from Visits'!A3,Visits!E:O,10,FALSE)</f>
        <v>Aidana</v>
      </c>
      <c r="C3" t="str">
        <f>VLOOKUP('Users from Visits'!A3,Visits!E:O,11,FALSE)</f>
        <v>Kassymova</v>
      </c>
      <c r="D3">
        <f>VLOOKUP('Users from Visits'!A3,Visits!E:O,2,FALSE)</f>
        <v>0</v>
      </c>
      <c r="E3" t="str">
        <f>VLOOKUP(A3,Users!A:A,1,FALSE)</f>
        <v>aidanakassymova@gmail.com</v>
      </c>
    </row>
    <row r="4" spans="1:5" x14ac:dyDescent="0.2">
      <c r="A4" t="str">
        <v>lucyzhou2@hotmail.com</v>
      </c>
      <c r="B4" t="str">
        <f>VLOOKUP('Users from Visits'!A4,Visits!E:O,10,FALSE)</f>
        <v>Lucy</v>
      </c>
      <c r="C4" t="str">
        <f>VLOOKUP('Users from Visits'!A4,Visits!E:O,11,FALSE)</f>
        <v>Zhou</v>
      </c>
      <c r="D4">
        <f>VLOOKUP('Users from Visits'!A4,Visits!E:O,2,FALSE)</f>
        <v>0</v>
      </c>
      <c r="E4" t="str">
        <f>VLOOKUP(A4,Users!A:A,1,FALSE)</f>
        <v>lucyzhou2@hotmail.com</v>
      </c>
    </row>
    <row r="5" spans="1:5" x14ac:dyDescent="0.2">
      <c r="A5" t="str">
        <v>srivaths.s@gmail.com</v>
      </c>
      <c r="B5" t="str">
        <f>VLOOKUP('Users from Visits'!A5,Visits!E:O,10,FALSE)</f>
        <v>Srivaths</v>
      </c>
      <c r="C5" t="str">
        <f>VLOOKUP('Users from Visits'!A5,Visits!E:O,11,FALSE)</f>
        <v>Swaminathan</v>
      </c>
      <c r="D5">
        <f>VLOOKUP('Users from Visits'!A5,Visits!E:O,2,FALSE)</f>
        <v>0</v>
      </c>
      <c r="E5" t="str">
        <f>VLOOKUP(A5,Users!A:A,1,FALSE)</f>
        <v>srivaths.s@gmail.com</v>
      </c>
    </row>
    <row r="6" spans="1:5" x14ac:dyDescent="0.2">
      <c r="A6" t="str">
        <v>alekseypleshkov17@gmail.com</v>
      </c>
      <c r="B6" t="str">
        <f>VLOOKUP('Users from Visits'!A6,Visits!E:O,10,FALSE)</f>
        <v>Aleksejs</v>
      </c>
      <c r="C6" t="str">
        <f>VLOOKUP('Users from Visits'!A6,Visits!E:O,11,FALSE)</f>
        <v>Pleskovs</v>
      </c>
      <c r="D6">
        <f>VLOOKUP('Users from Visits'!A6,Visits!E:O,2,FALSE)</f>
        <v>0</v>
      </c>
      <c r="E6" t="str">
        <f>VLOOKUP(A6,Users!A:A,1,FALSE)</f>
        <v>alekseypleshkov17@gmail.com</v>
      </c>
    </row>
    <row r="7" spans="1:5" x14ac:dyDescent="0.2">
      <c r="A7" t="str">
        <v>thefengshuistory@gmail.com</v>
      </c>
      <c r="B7" t="str">
        <f>VLOOKUP('Users from Visits'!A7,Visits!E:O,10,FALSE)</f>
        <v>Mouna</v>
      </c>
      <c r="C7" t="str">
        <f>VLOOKUP('Users from Visits'!A7,Visits!E:O,11,FALSE)</f>
        <v>Iraqi</v>
      </c>
      <c r="D7">
        <f>VLOOKUP('Users from Visits'!A7,Visits!E:O,2,FALSE)</f>
        <v>0</v>
      </c>
      <c r="E7" t="str">
        <f>VLOOKUP(A7,Users!A:A,1,FALSE)</f>
        <v>thefengshuistory@gmail.com</v>
      </c>
    </row>
    <row r="8" spans="1:5" x14ac:dyDescent="0.2">
      <c r="A8" t="str">
        <v>susandjackson01@gmail.com</v>
      </c>
      <c r="B8" t="str">
        <f>VLOOKUP('Users from Visits'!A8,Visits!E:O,10,FALSE)</f>
        <v>Susan</v>
      </c>
      <c r="C8" t="str">
        <f>VLOOKUP('Users from Visits'!A8,Visits!E:O,11,FALSE)</f>
        <v>Durkan Jackson</v>
      </c>
      <c r="D8">
        <f>VLOOKUP('Users from Visits'!A8,Visits!E:O,2,FALSE)</f>
        <v>0</v>
      </c>
      <c r="E8" t="str">
        <f>VLOOKUP(A8,Users!A:A,1,FALSE)</f>
        <v>susandjackson01@gmail.com</v>
      </c>
    </row>
    <row r="9" spans="1:5" x14ac:dyDescent="0.2">
      <c r="A9" t="str">
        <v>roberthchapman@hotmail.com</v>
      </c>
      <c r="B9" t="str">
        <f>VLOOKUP('Users from Visits'!A9,Visits!E:O,10,FALSE)</f>
        <v>Robert</v>
      </c>
      <c r="C9" t="str">
        <f>VLOOKUP('Users from Visits'!A9,Visits!E:O,11,FALSE)</f>
        <v>Chapman</v>
      </c>
      <c r="D9">
        <f>VLOOKUP('Users from Visits'!A9,Visits!E:O,2,FALSE)</f>
        <v>0</v>
      </c>
      <c r="E9" t="str">
        <f>VLOOKUP(A9,Users!A:A,1,FALSE)</f>
        <v>roberthchapman@hotmail.com</v>
      </c>
    </row>
    <row r="10" spans="1:5" x14ac:dyDescent="0.2">
      <c r="A10" t="str">
        <v>daniel.lugg@yahoo.com</v>
      </c>
      <c r="B10" t="str">
        <f>VLOOKUP('Users from Visits'!A10,Visits!E:O,10,FALSE)</f>
        <v>Dan</v>
      </c>
      <c r="C10" t="str">
        <f>VLOOKUP('Users from Visits'!A10,Visits!E:O,11,FALSE)</f>
        <v>Lugg</v>
      </c>
      <c r="D10">
        <f>VLOOKUP('Users from Visits'!A10,Visits!E:O,2,FALSE)</f>
        <v>0</v>
      </c>
      <c r="E10" t="str">
        <f>VLOOKUP(A10,Users!A:A,1,FALSE)</f>
        <v>daniel.lugg@yahoo.com</v>
      </c>
    </row>
    <row r="11" spans="1:5" x14ac:dyDescent="0.2">
      <c r="A11" t="str">
        <v>walokunrin@yahoo.com</v>
      </c>
      <c r="B11" t="str">
        <f>VLOOKUP('Users from Visits'!A11,Visits!E:O,10,FALSE)</f>
        <v>olawale</v>
      </c>
      <c r="C11" t="str">
        <f>VLOOKUP('Users from Visits'!A11,Visits!E:O,11,FALSE)</f>
        <v>okunrinboye</v>
      </c>
      <c r="D11">
        <f>VLOOKUP('Users from Visits'!A11,Visits!E:O,2,FALSE)</f>
        <v>0</v>
      </c>
      <c r="E11" t="str">
        <f>VLOOKUP(A11,Users!A:A,1,FALSE)</f>
        <v>walokunrin@yahoo.com</v>
      </c>
    </row>
    <row r="12" spans="1:5" x14ac:dyDescent="0.2">
      <c r="A12" t="str">
        <v>ngg971@gmail.com</v>
      </c>
      <c r="B12" t="str">
        <f>VLOOKUP('Users from Visits'!A12,Visits!E:O,10,FALSE)</f>
        <v>Nathanael</v>
      </c>
      <c r="C12" t="str">
        <f>VLOOKUP('Users from Visits'!A12,Visits!E:O,11,FALSE)</f>
        <v>Geman</v>
      </c>
      <c r="D12">
        <f>VLOOKUP('Users from Visits'!A12,Visits!E:O,2,FALSE)</f>
        <v>0</v>
      </c>
      <c r="E12" t="str">
        <f>VLOOKUP(A12,Users!A:A,1,FALSE)</f>
        <v>ngg971@gmail.com</v>
      </c>
    </row>
    <row r="13" spans="1:5" x14ac:dyDescent="0.2">
      <c r="A13" t="str">
        <v>Clairelouisecouchman@hotmail.com</v>
      </c>
      <c r="B13" t="str">
        <f>VLOOKUP('Users from Visits'!A13,Visits!E:O,10,FALSE)</f>
        <v>Claire</v>
      </c>
      <c r="C13" t="str">
        <f>VLOOKUP('Users from Visits'!A13,Visits!E:O,11,FALSE)</f>
        <v>Couchman</v>
      </c>
      <c r="D13">
        <f>VLOOKUP('Users from Visits'!A13,Visits!E:O,2,FALSE)</f>
        <v>0</v>
      </c>
      <c r="E13" t="str">
        <f>VLOOKUP(A13,Users!A:A,1,FALSE)</f>
        <v>Clairelouisecouchman@hotmail.com</v>
      </c>
    </row>
    <row r="14" spans="1:5" x14ac:dyDescent="0.2">
      <c r="A14" t="str">
        <v>katherineyr.kim@gmail.com</v>
      </c>
      <c r="B14" t="str">
        <f>VLOOKUP('Users from Visits'!A14,Visits!E:O,10,FALSE)</f>
        <v>Katherine</v>
      </c>
      <c r="C14" t="str">
        <f>VLOOKUP('Users from Visits'!A14,Visits!E:O,11,FALSE)</f>
        <v>Kim</v>
      </c>
      <c r="D14">
        <f>VLOOKUP('Users from Visits'!A14,Visits!E:O,2,FALSE)</f>
        <v>0</v>
      </c>
      <c r="E14" t="str">
        <f>VLOOKUP(A14,Users!A:A,1,FALSE)</f>
        <v>katherineyr.kim@gmail.com</v>
      </c>
    </row>
    <row r="15" spans="1:5" x14ac:dyDescent="0.2">
      <c r="A15" t="str">
        <v>rtranaita@gmail.com</v>
      </c>
      <c r="B15" t="str">
        <f>VLOOKUP('Users from Visits'!A15,Visits!E:O,10,FALSE)</f>
        <v>Anaita</v>
      </c>
      <c r="C15" t="str">
        <f>VLOOKUP('Users from Visits'!A15,Visits!E:O,11,FALSE)</f>
        <v>Agatic</v>
      </c>
      <c r="D15">
        <f>VLOOKUP('Users from Visits'!A15,Visits!E:O,2,FALSE)</f>
        <v>0</v>
      </c>
      <c r="E15" t="str">
        <f>VLOOKUP(A15,Users!A:A,1,FALSE)</f>
        <v>rtranaita@gmail.com</v>
      </c>
    </row>
    <row r="16" spans="1:5" x14ac:dyDescent="0.2">
      <c r="A16" t="str">
        <v>audreyrebeccahutabarat@gmail.com</v>
      </c>
      <c r="B16" t="str">
        <f>VLOOKUP('Users from Visits'!A16,Visits!E:O,10,FALSE)</f>
        <v>Audrey</v>
      </c>
      <c r="C16" t="str">
        <f>VLOOKUP('Users from Visits'!A16,Visits!E:O,11,FALSE)</f>
        <v>Hutabarat</v>
      </c>
      <c r="D16">
        <f>VLOOKUP('Users from Visits'!A16,Visits!E:O,2,FALSE)</f>
        <v>0</v>
      </c>
      <c r="E16" t="str">
        <f>VLOOKUP(A16,Users!A:A,1,FALSE)</f>
        <v>audreyrebeccahutabarat@gmail.com</v>
      </c>
    </row>
    <row r="17" spans="1:5" x14ac:dyDescent="0.2">
      <c r="A17" t="str">
        <v>tendulkar.rohini@gmail.com</v>
      </c>
      <c r="B17" t="str">
        <f>VLOOKUP('Users from Visits'!A17,Visits!E:O,10,FALSE)</f>
        <v>Rohini</v>
      </c>
      <c r="C17" t="str">
        <f>VLOOKUP('Users from Visits'!A17,Visits!E:O,11,FALSE)</f>
        <v>Tendulkar</v>
      </c>
      <c r="D17">
        <f>VLOOKUP('Users from Visits'!A17,Visits!E:O,2,FALSE)</f>
        <v>0</v>
      </c>
      <c r="E17" t="str">
        <f>VLOOKUP(A17,Users!A:A,1,FALSE)</f>
        <v>tendulkar.rohini@gmail.com</v>
      </c>
    </row>
    <row r="18" spans="1:5" x14ac:dyDescent="0.2">
      <c r="A18" t="str">
        <v>sethi.tanvi@gmail.com</v>
      </c>
      <c r="B18" t="str">
        <f>VLOOKUP('Users from Visits'!A18,Visits!E:O,10,FALSE)</f>
        <v>Tanvi</v>
      </c>
      <c r="C18" t="str">
        <f>VLOOKUP('Users from Visits'!A18,Visits!E:O,11,FALSE)</f>
        <v>Sethi</v>
      </c>
      <c r="D18">
        <f>VLOOKUP('Users from Visits'!A18,Visits!E:O,2,FALSE)</f>
        <v>0</v>
      </c>
      <c r="E18" t="str">
        <f>VLOOKUP(A18,Users!A:A,1,FALSE)</f>
        <v>sethi.tanvi@gmail.com</v>
      </c>
    </row>
    <row r="19" spans="1:5" x14ac:dyDescent="0.2">
      <c r="A19" t="str">
        <v>louise.ly.chow@gmail.com</v>
      </c>
      <c r="B19" t="str">
        <f>VLOOKUP('Users from Visits'!A19,Visits!E:O,10,FALSE)</f>
        <v>Louise</v>
      </c>
      <c r="C19" t="str">
        <f>VLOOKUP('Users from Visits'!A19,Visits!E:O,11,FALSE)</f>
        <v>Chow</v>
      </c>
      <c r="D19">
        <f>VLOOKUP('Users from Visits'!A19,Visits!E:O,2,FALSE)</f>
        <v>0</v>
      </c>
      <c r="E19" t="str">
        <f>VLOOKUP(A19,Users!A:A,1,FALSE)</f>
        <v>louise.ly.chow@gmail.com</v>
      </c>
    </row>
    <row r="20" spans="1:5" x14ac:dyDescent="0.2">
      <c r="A20" t="str">
        <v>monique.blemur@gmail.com</v>
      </c>
      <c r="B20" t="str">
        <f>VLOOKUP('Users from Visits'!A20,Visits!E:O,10,FALSE)</f>
        <v>Monique</v>
      </c>
      <c r="C20" t="str">
        <f>VLOOKUP('Users from Visits'!A20,Visits!E:O,11,FALSE)</f>
        <v>Blemur</v>
      </c>
      <c r="D20">
        <f>VLOOKUP('Users from Visits'!A20,Visits!E:O,2,FALSE)</f>
        <v>0</v>
      </c>
      <c r="E20" t="str">
        <f>VLOOKUP(A20,Users!A:A,1,FALSE)</f>
        <v>monique.blemur@gmail.com</v>
      </c>
    </row>
    <row r="21" spans="1:5" x14ac:dyDescent="0.2">
      <c r="A21" t="str">
        <v>roberthchapman@hotmail.com-friend</v>
      </c>
      <c r="B21" t="str">
        <f>VLOOKUP('Users from Visits'!A21,Visits!E:O,10,FALSE)</f>
        <v>Robert's friend</v>
      </c>
      <c r="C21" t="str">
        <f>VLOOKUP('Users from Visits'!A21,Visits!E:O,11,FALSE)</f>
        <v>Chapman</v>
      </c>
      <c r="D21">
        <f>VLOOKUP('Users from Visits'!A21,Visits!E:O,2,FALSE)</f>
        <v>0</v>
      </c>
      <c r="E21" t="e">
        <f>VLOOKUP(A21,Users!A:A,1,FALSE)</f>
        <v>#N/A</v>
      </c>
    </row>
    <row r="22" spans="1:5" x14ac:dyDescent="0.2">
      <c r="A22" t="str">
        <v>hrational@gmail.com</v>
      </c>
      <c r="B22" t="str">
        <f>VLOOKUP('Users from Visits'!A22,Visits!E:O,10,FALSE)</f>
        <v>Kostas</v>
      </c>
      <c r="C22" t="str">
        <f>VLOOKUP('Users from Visits'!A22,Visits!E:O,11,FALSE)</f>
        <v>Palierakis</v>
      </c>
      <c r="D22">
        <f>VLOOKUP('Users from Visits'!A22,Visits!E:O,2,FALSE)</f>
        <v>0</v>
      </c>
      <c r="E22" t="str">
        <f>VLOOKUP(A22,Users!A:A,1,FALSE)</f>
        <v>hrational@gmail.com</v>
      </c>
    </row>
    <row r="23" spans="1:5" x14ac:dyDescent="0.2">
      <c r="A23" t="str">
        <v>scribu@gmail.com</v>
      </c>
      <c r="B23" t="str">
        <f>VLOOKUP('Users from Visits'!A23,Visits!E:O,10,FALSE)</f>
        <v>Silviu</v>
      </c>
      <c r="C23" t="str">
        <f>VLOOKUP('Users from Visits'!A23,Visits!E:O,11,FALSE)</f>
        <v>Burca</v>
      </c>
      <c r="D23">
        <f>VLOOKUP('Users from Visits'!A23,Visits!E:O,2,FALSE)</f>
        <v>0</v>
      </c>
      <c r="E23" t="str">
        <f>VLOOKUP(A23,Users!A:A,1,FALSE)</f>
        <v>scribu@gmail.com</v>
      </c>
    </row>
    <row r="24" spans="1:5" x14ac:dyDescent="0.2">
      <c r="A24" t="str">
        <v>ezgicaakmak@gmail.com</v>
      </c>
      <c r="B24" t="str">
        <f>VLOOKUP('Users from Visits'!A24,Visits!E:O,10,FALSE)</f>
        <v>ezgi</v>
      </c>
      <c r="C24" t="str">
        <f>VLOOKUP('Users from Visits'!A24,Visits!E:O,11,FALSE)</f>
        <v>çakmak</v>
      </c>
      <c r="D24">
        <f>VLOOKUP('Users from Visits'!A24,Visits!E:O,2,FALSE)</f>
        <v>0</v>
      </c>
      <c r="E24" t="str">
        <f>VLOOKUP(A24,Users!A:A,1,FALSE)</f>
        <v>ezgicaakmak@gmail.com</v>
      </c>
    </row>
    <row r="25" spans="1:5" x14ac:dyDescent="0.2">
      <c r="A25" t="str">
        <v>roberthchapman@hotmail.com-friend2</v>
      </c>
      <c r="B25" t="str">
        <f>VLOOKUP('Users from Visits'!A25,Visits!E:O,10,FALSE)</f>
        <v>Robert's friend 2</v>
      </c>
      <c r="C25" t="str">
        <f>VLOOKUP('Users from Visits'!A25,Visits!E:O,11,FALSE)</f>
        <v>Chapman</v>
      </c>
      <c r="D25">
        <f>VLOOKUP('Users from Visits'!A25,Visits!E:O,2,FALSE)</f>
        <v>0</v>
      </c>
      <c r="E25" t="e">
        <f>VLOOKUP(A25,Users!A:A,1,FALSE)</f>
        <v>#N/A</v>
      </c>
    </row>
    <row r="26" spans="1:5" x14ac:dyDescent="0.2">
      <c r="A26" t="str">
        <v>simon88e@yahoo.com</v>
      </c>
      <c r="B26" t="str">
        <f>VLOOKUP('Users from Visits'!A26,Visits!E:O,10,FALSE)</f>
        <v>Simona</v>
      </c>
      <c r="C26" t="str">
        <f>VLOOKUP('Users from Visits'!A26,Visits!E:O,11,FALSE)</f>
        <v>Vicol</v>
      </c>
      <c r="D26">
        <f>VLOOKUP('Users from Visits'!A26,Visits!E:O,2,FALSE)</f>
        <v>0</v>
      </c>
      <c r="E26" t="str">
        <f>VLOOKUP(A26,Users!A:A,1,FALSE)</f>
        <v>simon88e@yahoo.com</v>
      </c>
    </row>
    <row r="27" spans="1:5" x14ac:dyDescent="0.2">
      <c r="A27" t="str">
        <v>dmbarden@hotmail.co.uk</v>
      </c>
      <c r="B27" t="str">
        <f>VLOOKUP('Users from Visits'!A27,Visits!E:O,10,FALSE)</f>
        <v>David</v>
      </c>
      <c r="C27" t="str">
        <f>VLOOKUP('Users from Visits'!A27,Visits!E:O,11,FALSE)</f>
        <v>Barden</v>
      </c>
      <c r="D27">
        <f>VLOOKUP('Users from Visits'!A27,Visits!E:O,2,FALSE)</f>
        <v>0</v>
      </c>
      <c r="E27" t="str">
        <f>VLOOKUP(A27,Users!A:A,1,FALSE)</f>
        <v>dmbarden@hotmail.co.uk</v>
      </c>
    </row>
    <row r="28" spans="1:5" x14ac:dyDescent="0.2">
      <c r="A28" t="str">
        <v>jones_daniela@yahoo.co.uk</v>
      </c>
      <c r="B28" t="str">
        <f>VLOOKUP('Users from Visits'!A28,Visits!E:O,10,FALSE)</f>
        <v>Daniela</v>
      </c>
      <c r="C28" t="str">
        <f>VLOOKUP('Users from Visits'!A28,Visits!E:O,11,FALSE)</f>
        <v>Jone</v>
      </c>
      <c r="D28" t="str">
        <f>VLOOKUP('Users from Visits'!A28,Visits!E:O,2,FALSE)</f>
        <v>07979647510</v>
      </c>
      <c r="E28" t="str">
        <f>VLOOKUP(A28,Users!A:A,1,FALSE)</f>
        <v>jones_daniela@yahoo.co.uk</v>
      </c>
    </row>
    <row r="29" spans="1:5" x14ac:dyDescent="0.2">
      <c r="A29" t="str">
        <v>natashapavlovskaya23@gmail.com</v>
      </c>
      <c r="B29" t="str">
        <f>VLOOKUP('Users from Visits'!A29,Visits!E:O,10,FALSE)</f>
        <v>Natasha</v>
      </c>
      <c r="C29" t="str">
        <f>VLOOKUP('Users from Visits'!A29,Visits!E:O,11,FALSE)</f>
        <v>P</v>
      </c>
      <c r="D29" t="str">
        <f>VLOOKUP('Users from Visits'!A29,Visits!E:O,2,FALSE)</f>
        <v>07931561897</v>
      </c>
      <c r="E29" t="str">
        <f>VLOOKUP(A29,Users!A:A,1,FALSE)</f>
        <v>natashapavlovskaya23@gmail.com</v>
      </c>
    </row>
    <row r="30" spans="1:5" x14ac:dyDescent="0.2">
      <c r="A30" t="str">
        <v>khan.saretta@gmail.com</v>
      </c>
      <c r="B30" t="str">
        <f>VLOOKUP('Users from Visits'!A30,Visits!E:O,10,FALSE)</f>
        <v>Sara</v>
      </c>
      <c r="C30" t="str">
        <f>VLOOKUP('Users from Visits'!A30,Visits!E:O,11,FALSE)</f>
        <v>Khan</v>
      </c>
      <c r="D30" t="str">
        <f>VLOOKUP('Users from Visits'!A30,Visits!E:O,2,FALSE)</f>
        <v>07871606482</v>
      </c>
      <c r="E30" t="str">
        <f>VLOOKUP(A30,Users!A:A,1,FALSE)</f>
        <v>khan.saretta@gmail.com</v>
      </c>
    </row>
    <row r="31" spans="1:5" x14ac:dyDescent="0.2">
      <c r="A31" t="str">
        <v>eoghannaughton@hotmail.com</v>
      </c>
      <c r="B31" t="str">
        <f>VLOOKUP('Users from Visits'!A31,Visits!E:O,10,FALSE)</f>
        <v>eoghan</v>
      </c>
      <c r="C31" t="str">
        <f>VLOOKUP('Users from Visits'!A31,Visits!E:O,11,FALSE)</f>
        <v>naughton</v>
      </c>
      <c r="D31" t="str">
        <f>VLOOKUP('Users from Visits'!A31,Visits!E:O,2,FALSE)</f>
        <v>07525006790</v>
      </c>
      <c r="E31" t="str">
        <f>VLOOKUP(A31,Users!A:A,1,FALSE)</f>
        <v>eoghannaughton@hotmail.com</v>
      </c>
    </row>
    <row r="32" spans="1:5" x14ac:dyDescent="0.2">
      <c r="A32" t="str">
        <v>sophia.shemlugu@gmail.com</v>
      </c>
      <c r="B32" t="str">
        <f>VLOOKUP('Users from Visits'!A32,Visits!E:O,10,FALSE)</f>
        <v>Sophia</v>
      </c>
      <c r="C32" t="str">
        <f>VLOOKUP('Users from Visits'!A32,Visits!E:O,11,FALSE)</f>
        <v>S</v>
      </c>
      <c r="D32" t="str">
        <f>VLOOKUP('Users from Visits'!A32,Visits!E:O,2,FALSE)</f>
        <v>07947714775</v>
      </c>
      <c r="E32" t="str">
        <f>VLOOKUP(A32,Users!A:A,1,FALSE)</f>
        <v>sophia.shemlugu@gmail.com</v>
      </c>
    </row>
    <row r="33" spans="1:5" x14ac:dyDescent="0.2">
      <c r="A33" t="str">
        <v>sweetkowi@gmail.com</v>
      </c>
      <c r="B33" t="str">
        <f>VLOOKUP('Users from Visits'!A33,Visits!E:O,10,FALSE)</f>
        <v>Cecilia</v>
      </c>
      <c r="C33" t="str">
        <f>VLOOKUP('Users from Visits'!A33,Visits!E:O,11,FALSE)</f>
        <v>Lee</v>
      </c>
      <c r="D33" t="str">
        <f>VLOOKUP('Users from Visits'!A33,Visits!E:O,2,FALSE)</f>
        <v>07380407565</v>
      </c>
      <c r="E33" t="str">
        <f>VLOOKUP(A33,Users!A:A,1,FALSE)</f>
        <v>sweetkowi@gmail.com</v>
      </c>
    </row>
    <row r="34" spans="1:5" x14ac:dyDescent="0.2">
      <c r="A34" t="str">
        <v>anamariaperu@hotmail.co.uk</v>
      </c>
      <c r="B34" t="str">
        <f>VLOOKUP('Users from Visits'!A34,Visits!E:O,10,FALSE)</f>
        <v>Anamaria</v>
      </c>
      <c r="C34" t="str">
        <f>VLOOKUP('Users from Visits'!A34,Visits!E:O,11,FALSE)</f>
        <v>Parsons</v>
      </c>
      <c r="D34" t="str">
        <f>VLOOKUP('Users from Visits'!A34,Visits!E:O,2,FALSE)</f>
        <v>07980320717</v>
      </c>
      <c r="E34" t="str">
        <f>VLOOKUP(A34,Users!A:A,1,FALSE)</f>
        <v>anamariaperu@hotmail.co.uk</v>
      </c>
    </row>
    <row r="35" spans="1:5" x14ac:dyDescent="0.2">
      <c r="A35" t="str">
        <v>claudiapaicu@yahoo.com</v>
      </c>
      <c r="B35" t="str">
        <f>VLOOKUP('Users from Visits'!A35,Visits!E:O,10,FALSE)</f>
        <v>Claudia</v>
      </c>
      <c r="C35" t="str">
        <f>VLOOKUP('Users from Visits'!A35,Visits!E:O,11,FALSE)</f>
        <v>Claudia</v>
      </c>
      <c r="D35" t="str">
        <f>VLOOKUP('Users from Visits'!A35,Visits!E:O,2,FALSE)</f>
        <v>07877845663</v>
      </c>
      <c r="E35" t="str">
        <f>VLOOKUP(A35,Users!A:A,1,FALSE)</f>
        <v>claudiapaicu@yahoo.com</v>
      </c>
    </row>
    <row r="36" spans="1:5" x14ac:dyDescent="0.2">
      <c r="A36" t="str">
        <v>sam.samedzade@gmail.com</v>
      </c>
      <c r="B36" t="str">
        <f>VLOOKUP('Users from Visits'!A36,Visits!E:O,10,FALSE)</f>
        <v>Samedzade</v>
      </c>
      <c r="C36" t="str">
        <f>VLOOKUP('Users from Visits'!A36,Visits!E:O,11,FALSE)</f>
        <v>Samed</v>
      </c>
      <c r="D36" t="str">
        <f>VLOOKUP('Users from Visits'!A36,Visits!E:O,2,FALSE)</f>
        <v>07803757887</v>
      </c>
      <c r="E36" t="str">
        <f>VLOOKUP(A36,Users!A:A,1,FALSE)</f>
        <v>sam.samedzade@gmail.com</v>
      </c>
    </row>
    <row r="37" spans="1:5" x14ac:dyDescent="0.2">
      <c r="A37" t="str">
        <v>hanna.niczyporuk@gmail.com</v>
      </c>
      <c r="B37" t="str">
        <f>VLOOKUP('Users from Visits'!A37,Visits!E:O,10,FALSE)</f>
        <v>Hanna</v>
      </c>
      <c r="C37" t="str">
        <f>VLOOKUP('Users from Visits'!A37,Visits!E:O,11,FALSE)</f>
        <v>N</v>
      </c>
      <c r="D37" t="str">
        <f>VLOOKUP('Users from Visits'!A37,Visits!E:O,2,FALSE)</f>
        <v>+17183086607</v>
      </c>
      <c r="E37" t="str">
        <f>VLOOKUP(A37,Users!A:A,1,FALSE)</f>
        <v>hanna.niczyporuk@gmail.com</v>
      </c>
    </row>
    <row r="38" spans="1:5" x14ac:dyDescent="0.2">
      <c r="A38" t="str">
        <v>jon.chikly@gmail.com</v>
      </c>
      <c r="B38" t="str">
        <f>VLOOKUP('Users from Visits'!A38,Visits!E:O,10,FALSE)</f>
        <v>Jonathan</v>
      </c>
      <c r="C38" t="str">
        <f>VLOOKUP('Users from Visits'!A38,Visits!E:O,11,FALSE)</f>
        <v>Chikly</v>
      </c>
      <c r="D38" t="str">
        <f>VLOOKUP('Users from Visits'!A38,Visits!E:O,2,FALSE)</f>
        <v>07557017341</v>
      </c>
      <c r="E38" t="str">
        <f>VLOOKUP(A38,Users!A:A,1,FALSE)</f>
        <v>jon.chikly@gmail.com</v>
      </c>
    </row>
    <row r="39" spans="1:5" x14ac:dyDescent="0.2">
      <c r="A39" t="str">
        <v>rowan.bashar@gmail.com</v>
      </c>
      <c r="B39" t="str">
        <f>VLOOKUP('Users from Visits'!A39,Visits!E:O,10,FALSE)</f>
        <v>Rowan</v>
      </c>
      <c r="C39" t="str">
        <f>VLOOKUP('Users from Visits'!A39,Visits!E:O,11,FALSE)</f>
        <v>El Atrache</v>
      </c>
      <c r="D39" t="str">
        <f>VLOOKUP('Users from Visits'!A39,Visits!E:O,2,FALSE)</f>
        <v>07436593641</v>
      </c>
      <c r="E39" t="str">
        <f>VLOOKUP(A39,Users!A:A,1,FALSE)</f>
        <v>rowan.bashar@gmail.com</v>
      </c>
    </row>
    <row r="40" spans="1:5" x14ac:dyDescent="0.2">
      <c r="A40" t="str">
        <v>anayosefi@gmail.com</v>
      </c>
      <c r="B40" t="str">
        <f>VLOOKUP('Users from Visits'!A40,Visits!E:O,10,FALSE)</f>
        <v>Anahita</v>
      </c>
      <c r="C40" t="str">
        <f>VLOOKUP('Users from Visits'!A40,Visits!E:O,11,FALSE)</f>
        <v>Yousefi</v>
      </c>
      <c r="D40" t="str">
        <f>VLOOKUP('Users from Visits'!A40,Visits!E:O,2,FALSE)</f>
        <v>+4799386437</v>
      </c>
      <c r="E40" t="str">
        <f>VLOOKUP(A40,Users!A:A,1,FALSE)</f>
        <v>anayosefi@gmail.com</v>
      </c>
    </row>
    <row r="41" spans="1:5" x14ac:dyDescent="0.2">
      <c r="A41" t="str">
        <v>d.v.davideveronese@gmail.com</v>
      </c>
      <c r="B41" t="str">
        <f>VLOOKUP('Users from Visits'!A41,Visits!E:O,10,FALSE)</f>
        <v>Davide</v>
      </c>
      <c r="C41" t="str">
        <f>VLOOKUP('Users from Visits'!A41,Visits!E:O,11,FALSE)</f>
        <v>Veronese</v>
      </c>
      <c r="D41" t="str">
        <f>VLOOKUP('Users from Visits'!A41,Visits!E:O,2,FALSE)</f>
        <v>07342248068</v>
      </c>
      <c r="E41" t="str">
        <f>VLOOKUP(A41,Users!A:A,1,FALSE)</f>
        <v>d.v.davideveronese@gmail.com</v>
      </c>
    </row>
    <row r="42" spans="1:5" x14ac:dyDescent="0.2">
      <c r="A42" t="str">
        <v>taam.isadora@gmail.com</v>
      </c>
      <c r="B42" t="str">
        <f>VLOOKUP('Users from Visits'!A42,Visits!E:O,10,FALSE)</f>
        <v>Isadora</v>
      </c>
      <c r="C42" t="str">
        <f>VLOOKUP('Users from Visits'!A42,Visits!E:O,11,FALSE)</f>
        <v>de Miranda Mello Taam</v>
      </c>
      <c r="D42" t="str">
        <f>VLOOKUP('Users from Visits'!A42,Visits!E:O,2,FALSE)</f>
        <v>4407923190379</v>
      </c>
      <c r="E42" t="str">
        <f>VLOOKUP(A42,Users!A:A,1,FALSE)</f>
        <v>taam.isadora@gmail.com</v>
      </c>
    </row>
    <row r="43" spans="1:5" x14ac:dyDescent="0.2">
      <c r="A43" t="str">
        <v>zinab.rama@gmail.com</v>
      </c>
      <c r="B43" t="str">
        <f>VLOOKUP('Users from Visits'!A43,Visits!E:O,10,FALSE)</f>
        <v>zinab</v>
      </c>
      <c r="C43" t="str">
        <f>VLOOKUP('Users from Visits'!A43,Visits!E:O,11,FALSE)</f>
        <v>al ramathany</v>
      </c>
      <c r="D43" t="str">
        <f>VLOOKUP('Users from Visits'!A43,Visits!E:O,2,FALSE)</f>
        <v>07398634749</v>
      </c>
      <c r="E43" t="str">
        <f>VLOOKUP(A43,Users!A:A,1,FALSE)</f>
        <v>zinab.rama@gmail.com</v>
      </c>
    </row>
    <row r="44" spans="1:5" x14ac:dyDescent="0.2">
      <c r="A44" t="str">
        <v>win.man@icloud.com</v>
      </c>
      <c r="B44" t="str">
        <f>VLOOKUP('Users from Visits'!A44,Visits!E:O,10,FALSE)</f>
        <v>Win</v>
      </c>
      <c r="C44" t="str">
        <f>VLOOKUP('Users from Visits'!A44,Visits!E:O,11,FALSE)</f>
        <v>Man</v>
      </c>
      <c r="D44" t="str">
        <f>VLOOKUP('Users from Visits'!A44,Visits!E:O,2,FALSE)</f>
        <v>07896634620</v>
      </c>
      <c r="E44" t="str">
        <f>VLOOKUP(A44,Users!A:A,1,FALSE)</f>
        <v>win.man@icloud.com</v>
      </c>
    </row>
    <row r="45" spans="1:5" x14ac:dyDescent="0.2">
      <c r="A45" t="str">
        <v>galimova.al.al@gmail.com</v>
      </c>
      <c r="B45" t="str">
        <f>VLOOKUP('Users from Visits'!A45,Visits!E:O,10,FALSE)</f>
        <v>Alina</v>
      </c>
      <c r="C45" t="str">
        <f>VLOOKUP('Users from Visits'!A45,Visits!E:O,11,FALSE)</f>
        <v>Galimova</v>
      </c>
      <c r="D45" t="str">
        <f>VLOOKUP('Users from Visits'!A45,Visits!E:O,2,FALSE)</f>
        <v>07548016207</v>
      </c>
      <c r="E45" t="str">
        <f>VLOOKUP(A45,Users!A:A,1,FALSE)</f>
        <v>galimova.al.al@gmail.com</v>
      </c>
    </row>
    <row r="46" spans="1:5" x14ac:dyDescent="0.2">
      <c r="A46" t="str">
        <v>shaysteele2017@gmail.com</v>
      </c>
      <c r="B46" t="str">
        <f>VLOOKUP('Users from Visits'!A46,Visits!E:O,10,FALSE)</f>
        <v>Shay</v>
      </c>
      <c r="C46" t="str">
        <f>VLOOKUP('Users from Visits'!A46,Visits!E:O,11,FALSE)</f>
        <v>Steele</v>
      </c>
      <c r="D46" t="str">
        <f>VLOOKUP('Users from Visits'!A46,Visits!E:O,2,FALSE)</f>
        <v>7925774705</v>
      </c>
      <c r="E46" t="str">
        <f>VLOOKUP(A46,Users!A:A,1,FALSE)</f>
        <v>shaysteele2017@gmail.com</v>
      </c>
    </row>
    <row r="47" spans="1:5" x14ac:dyDescent="0.2">
      <c r="A47" t="str">
        <v>elena27kuv@gmail.com</v>
      </c>
      <c r="B47" t="str">
        <f>VLOOKUP('Users from Visits'!A47,Visits!E:O,10,FALSE)</f>
        <v>Elena</v>
      </c>
      <c r="C47" t="str">
        <f>VLOOKUP('Users from Visits'!A47,Visits!E:O,11,FALSE)</f>
        <v>Kuvshinnikova</v>
      </c>
      <c r="D47" t="str">
        <f>VLOOKUP('Users from Visits'!A47,Visits!E:O,2,FALSE)</f>
        <v>7890306975</v>
      </c>
      <c r="E47" t="str">
        <f>VLOOKUP(A47,Users!A:A,1,FALSE)</f>
        <v>elena27kuv@gmail.com</v>
      </c>
    </row>
    <row r="48" spans="1:5" x14ac:dyDescent="0.2">
      <c r="A48" t="str">
        <v>egemensiphone@gmail.com</v>
      </c>
      <c r="B48" t="str">
        <f>VLOOKUP('Users from Visits'!A48,Visits!E:O,10,FALSE)</f>
        <v>Egemen</v>
      </c>
      <c r="C48" t="str">
        <f>VLOOKUP('Users from Visits'!A48,Visits!E:O,11,FALSE)</f>
        <v>U</v>
      </c>
      <c r="D48" t="str">
        <f>VLOOKUP('Users from Visits'!A48,Visits!E:O,2,FALSE)</f>
        <v>07789350831</v>
      </c>
      <c r="E48" t="str">
        <f>VLOOKUP(A48,Users!A:A,1,FALSE)</f>
        <v>egemensiphone@gmail.com</v>
      </c>
    </row>
    <row r="49" spans="1:5" x14ac:dyDescent="0.2">
      <c r="A49" t="str">
        <v>yyasemin.mermer@gmail.com</v>
      </c>
      <c r="B49" t="str">
        <f>VLOOKUP('Users from Visits'!A49,Visits!E:O,10,FALSE)</f>
        <v>Yasemin</v>
      </c>
      <c r="C49" t="str">
        <f>VLOOKUP('Users from Visits'!A49,Visits!E:O,11,FALSE)</f>
        <v>Mermer</v>
      </c>
      <c r="D49" t="str">
        <f>VLOOKUP('Users from Visits'!A49,Visits!E:O,2,FALSE)</f>
        <v>+447824492343</v>
      </c>
      <c r="E49" t="str">
        <f>VLOOKUP(A49,Users!A:A,1,FALSE)</f>
        <v>yyasemin.mermer@gmail.com</v>
      </c>
    </row>
    <row r="50" spans="1:5" x14ac:dyDescent="0.2">
      <c r="A50" t="str">
        <v>apbhetherington@gmail.com</v>
      </c>
      <c r="B50" t="str">
        <f>VLOOKUP('Users from Visits'!A50,Visits!E:O,10,FALSE)</f>
        <v>Andrew</v>
      </c>
      <c r="C50" t="str">
        <f>VLOOKUP('Users from Visits'!A50,Visits!E:O,11,FALSE)</f>
        <v>Hetherington</v>
      </c>
      <c r="D50" t="str">
        <f>VLOOKUP('Users from Visits'!A50,Visits!E:O,2,FALSE)</f>
        <v>07540949525</v>
      </c>
      <c r="E50" t="str">
        <f>VLOOKUP(A50,Users!A:A,1,FALSE)</f>
        <v>apbhetherington@gmail.com</v>
      </c>
    </row>
    <row r="51" spans="1:5" x14ac:dyDescent="0.2">
      <c r="A51" t="str">
        <v>tomhsaville@hotmail.co.uk</v>
      </c>
      <c r="B51" t="str">
        <f>VLOOKUP('Users from Visits'!A51,Visits!E:O,10,FALSE)</f>
        <v>T H</v>
      </c>
      <c r="C51" t="str">
        <f>VLOOKUP('Users from Visits'!A51,Visits!E:O,11,FALSE)</f>
        <v>Saville</v>
      </c>
      <c r="D51" t="str">
        <f>VLOOKUP('Users from Visits'!A51,Visits!E:O,2,FALSE)</f>
        <v>07572300777</v>
      </c>
      <c r="E51" t="str">
        <f>VLOOKUP(A51,Users!A:A,1,FALSE)</f>
        <v>tomhsaville@hotmail.co.uk</v>
      </c>
    </row>
    <row r="52" spans="1:5" x14ac:dyDescent="0.2">
      <c r="A52" t="str">
        <v>pragyaptib@gmail.com</v>
      </c>
      <c r="B52" t="str">
        <f>VLOOKUP('Users from Visits'!A52,Visits!E:O,10,FALSE)</f>
        <v>Pragyapti</v>
      </c>
      <c r="C52" t="str">
        <f>VLOOKUP('Users from Visits'!A52,Visits!E:O,11,FALSE)</f>
        <v>Bhandari</v>
      </c>
      <c r="D52" t="str">
        <f>VLOOKUP('Users from Visits'!A52,Visits!E:O,2,FALSE)</f>
        <v>07741694836</v>
      </c>
      <c r="E52" t="str">
        <f>VLOOKUP(A52,Users!A:A,1,FALSE)</f>
        <v>pragyaptib@gmail.com</v>
      </c>
    </row>
    <row r="53" spans="1:5" x14ac:dyDescent="0.2">
      <c r="A53" t="str">
        <v>kittyor.or@gmail.com</v>
      </c>
      <c r="B53" t="str">
        <f>VLOOKUP('Users from Visits'!A53,Visits!E:O,10,FALSE)</f>
        <v>Serena</v>
      </c>
      <c r="C53" t="str">
        <f>VLOOKUP('Users from Visits'!A53,Visits!E:O,11,FALSE)</f>
        <v>Or</v>
      </c>
      <c r="D53" t="str">
        <f>VLOOKUP('Users from Visits'!A53,Visits!E:O,2,FALSE)</f>
        <v>07366956766</v>
      </c>
      <c r="E53" t="str">
        <f>VLOOKUP(A53,Users!A:A,1,FALSE)</f>
        <v>kittyor.or@gmail.com</v>
      </c>
    </row>
    <row r="54" spans="1:5" x14ac:dyDescent="0.2">
      <c r="A54" t="str">
        <v>maestromattheww@yahoo.co.uk</v>
      </c>
      <c r="B54" t="str">
        <f>VLOOKUP('Users from Visits'!A54,Visits!E:O,10,FALSE)</f>
        <v>Matthew</v>
      </c>
      <c r="C54" t="str">
        <f>VLOOKUP('Users from Visits'!A54,Visits!E:O,11,FALSE)</f>
        <v>Watts</v>
      </c>
      <c r="D54" t="str">
        <f>VLOOKUP('Users from Visits'!A54,Visits!E:O,2,FALSE)</f>
        <v>07817234925</v>
      </c>
      <c r="E54" t="str">
        <f>VLOOKUP(A54,Users!A:A,1,FALSE)</f>
        <v>maestromattheww@yahoo.co.uk</v>
      </c>
    </row>
    <row r="55" spans="1:5" x14ac:dyDescent="0.2">
      <c r="A55" t="str">
        <v>jz548282@gmail.com</v>
      </c>
      <c r="B55" t="str">
        <f>VLOOKUP('Users from Visits'!A55,Visits!E:O,10,FALSE)</f>
        <v>Jing</v>
      </c>
      <c r="C55" t="str">
        <f>VLOOKUP('Users from Visits'!A55,Visits!E:O,11,FALSE)</f>
        <v>Zhang</v>
      </c>
      <c r="D55" t="str">
        <f>VLOOKUP('Users from Visits'!A55,Visits!E:O,2,FALSE)</f>
        <v>07961779960</v>
      </c>
      <c r="E55" t="str">
        <f>VLOOKUP(A55,Users!A:A,1,FALSE)</f>
        <v>jz548282@gmail.com</v>
      </c>
    </row>
    <row r="56" spans="1:5" x14ac:dyDescent="0.2">
      <c r="A56" t="str">
        <v>jinishgohil@yahoo.co.in</v>
      </c>
      <c r="B56" t="str">
        <f>VLOOKUP('Users from Visits'!A56,Visits!E:O,10,FALSE)</f>
        <v>Jinish</v>
      </c>
      <c r="C56" t="str">
        <f>VLOOKUP('Users from Visits'!A56,Visits!E:O,11,FALSE)</f>
        <v>Gohil</v>
      </c>
      <c r="D56" t="str">
        <f>VLOOKUP('Users from Visits'!A56,Visits!E:O,2,FALSE)</f>
        <v>07438951508</v>
      </c>
      <c r="E56" t="str">
        <f>VLOOKUP(A56,Users!A:A,1,FALSE)</f>
        <v>jinishgohil@yahoo.co.in</v>
      </c>
    </row>
    <row r="57" spans="1:5" x14ac:dyDescent="0.2">
      <c r="A57" t="str">
        <v>dildeep96@gmail.com</v>
      </c>
      <c r="B57" t="str">
        <f>VLOOKUP('Users from Visits'!A57,Visits!E:O,10,FALSE)</f>
        <v>Dildeep</v>
      </c>
      <c r="C57" t="str">
        <f>VLOOKUP('Users from Visits'!A57,Visits!E:O,11,FALSE)</f>
        <v>Singh</v>
      </c>
      <c r="D57" t="str">
        <f>VLOOKUP('Users from Visits'!A57,Visits!E:O,2,FALSE)</f>
        <v>07506474016</v>
      </c>
      <c r="E57" t="str">
        <f>VLOOKUP(A57,Users!A:A,1,FALSE)</f>
        <v>dildeep96@gmail.com</v>
      </c>
    </row>
    <row r="58" spans="1:5" x14ac:dyDescent="0.2">
      <c r="A58" t="str">
        <v>alena.german.71@gmail.com</v>
      </c>
      <c r="B58" t="str">
        <f>VLOOKUP('Users from Visits'!A58,Visits!E:O,10,FALSE)</f>
        <v>Eugenia</v>
      </c>
      <c r="C58" t="str">
        <f>VLOOKUP('Users from Visits'!A58,Visits!E:O,11,FALSE)</f>
        <v>Herman</v>
      </c>
      <c r="D58" t="str">
        <f>VLOOKUP('Users from Visits'!A58,Visits!E:O,2,FALSE)</f>
        <v>+447553093894</v>
      </c>
      <c r="E58" t="str">
        <f>VLOOKUP(A58,Users!A:A,1,FALSE)</f>
        <v>alena.german.71@gmail.com</v>
      </c>
    </row>
    <row r="59" spans="1:5" x14ac:dyDescent="0.2">
      <c r="A59" t="str">
        <v>tatatamzzz@gmail.com</v>
      </c>
      <c r="B59" t="str">
        <f>VLOOKUP('Users from Visits'!A59,Visits!E:O,10,FALSE)</f>
        <v>Tamara</v>
      </c>
      <c r="C59" t="str">
        <f>VLOOKUP('Users from Visits'!A59,Visits!E:O,11,FALSE)</f>
        <v>Muñoz</v>
      </c>
      <c r="D59" t="str">
        <f>VLOOKUP('Users from Visits'!A59,Visits!E:O,2,FALSE)</f>
        <v>7901584632</v>
      </c>
      <c r="E59" t="str">
        <f>VLOOKUP(A59,Users!A:A,1,FALSE)</f>
        <v>tatatamzzz@gmail.com</v>
      </c>
    </row>
    <row r="60" spans="1:5" x14ac:dyDescent="0.2">
      <c r="A60" t="str">
        <v>yangtianqi2023@163.com</v>
      </c>
      <c r="B60" t="str">
        <f>VLOOKUP('Users from Visits'!A60,Visits!E:O,10,FALSE)</f>
        <v>Tianqi</v>
      </c>
      <c r="C60" t="str">
        <f>VLOOKUP('Users from Visits'!A60,Visits!E:O,11,FALSE)</f>
        <v>Yang</v>
      </c>
      <c r="D60" t="str">
        <f>VLOOKUP('Users from Visits'!A60,Visits!E:O,2,FALSE)</f>
        <v>07756702521</v>
      </c>
      <c r="E60" t="str">
        <f>VLOOKUP(A60,Users!A:A,1,FALSE)</f>
        <v>yangtianqi2023@163.com</v>
      </c>
    </row>
    <row r="61" spans="1:5" x14ac:dyDescent="0.2">
      <c r="A61" t="str">
        <v>federica.martini@live.it</v>
      </c>
      <c r="B61" t="str">
        <f>VLOOKUP('Users from Visits'!A61,Visits!E:O,10,FALSE)</f>
        <v>Federica</v>
      </c>
      <c r="C61" t="str">
        <f>VLOOKUP('Users from Visits'!A61,Visits!E:O,11,FALSE)</f>
        <v>Martini</v>
      </c>
      <c r="D61" t="str">
        <f>VLOOKUP('Users from Visits'!A61,Visits!E:O,2,FALSE)</f>
        <v>+447425103954</v>
      </c>
      <c r="E61" t="str">
        <f>VLOOKUP(A61,Users!A:A,1,FALSE)</f>
        <v>federica.martini@live.it</v>
      </c>
    </row>
    <row r="62" spans="1:5" x14ac:dyDescent="0.2">
      <c r="A62" t="str">
        <v>shlimbc2@gmail.com</v>
      </c>
      <c r="B62" t="str">
        <f>VLOOKUP('Users from Visits'!A62,Visits!E:O,10,FALSE)</f>
        <v>Shay</v>
      </c>
      <c r="C62" t="str">
        <f>VLOOKUP('Users from Visits'!A62,Visits!E:O,11,FALSE)</f>
        <v>Lim</v>
      </c>
      <c r="D62" t="str">
        <f>VLOOKUP('Users from Visits'!A62,Visits!E:O,2,FALSE)</f>
        <v>07925774705</v>
      </c>
      <c r="E62" t="str">
        <f>VLOOKUP(A62,Users!A:A,1,FALSE)</f>
        <v>shlimbc2@gmail.com</v>
      </c>
    </row>
    <row r="63" spans="1:5" x14ac:dyDescent="0.2">
      <c r="A63" t="str">
        <v>Jing's girlfriend</v>
      </c>
      <c r="B63" t="str">
        <f>VLOOKUP('Users from Visits'!A63,Visits!E:O,10,FALSE)</f>
        <v>Jing's girlfriend</v>
      </c>
      <c r="C63">
        <f>VLOOKUP('Users from Visits'!A63,Visits!E:O,11,FALSE)</f>
        <v>0</v>
      </c>
      <c r="D63">
        <f>VLOOKUP('Users from Visits'!A63,Visits!E:O,2,FALSE)</f>
        <v>0</v>
      </c>
      <c r="E63" t="e">
        <f>VLOOKUP(A63,Users!A:A,1,FALSE)</f>
        <v>#N/A</v>
      </c>
    </row>
    <row r="64" spans="1:5" x14ac:dyDescent="0.2">
      <c r="A64" t="str">
        <v>teodor.rd27@gmail.com</v>
      </c>
      <c r="B64" t="str">
        <f>VLOOKUP('Users from Visits'!A64,Visits!E:O,10,FALSE)</f>
        <v>Teodor</v>
      </c>
      <c r="C64" t="str">
        <f>VLOOKUP('Users from Visits'!A64,Visits!E:O,11,FALSE)</f>
        <v>Radu</v>
      </c>
      <c r="D64">
        <f>VLOOKUP('Users from Visits'!A64,Visits!E:O,2,FALSE)</f>
        <v>0</v>
      </c>
      <c r="E64" t="str">
        <f>VLOOKUP(A64,Users!A:A,1,FALSE)</f>
        <v>teodor.rd27@gmail.com</v>
      </c>
    </row>
    <row r="65" spans="1:5" x14ac:dyDescent="0.2">
      <c r="A65" t="str">
        <v>isisding@gmail.com</v>
      </c>
      <c r="B65" t="str">
        <f>VLOOKUP('Users from Visits'!A65,Visits!E:O,10,FALSE)</f>
        <v>ND</v>
      </c>
      <c r="C65">
        <f>VLOOKUP('Users from Visits'!A65,Visits!E:O,11,FALSE)</f>
        <v>0</v>
      </c>
      <c r="D65">
        <f>VLOOKUP('Users from Visits'!A65,Visits!E:O,2,FALSE)</f>
        <v>0</v>
      </c>
      <c r="E65" t="str">
        <f>VLOOKUP(A65,Users!A:A,1,FALSE)</f>
        <v>isisding@gmail.com</v>
      </c>
    </row>
    <row r="66" spans="1:5" x14ac:dyDescent="0.2">
      <c r="A66" t="str">
        <v>blattnerj@gmail.com</v>
      </c>
      <c r="B66" t="str">
        <f>VLOOKUP('Users from Visits'!A66,Visits!E:O,10,FALSE)</f>
        <v>Justin</v>
      </c>
      <c r="C66" t="str">
        <f>VLOOKUP('Users from Visits'!A66,Visits!E:O,11,FALSE)</f>
        <v>Blatner</v>
      </c>
      <c r="D66">
        <f>VLOOKUP('Users from Visits'!A66,Visits!E:O,2,FALSE)</f>
        <v>0</v>
      </c>
      <c r="E66" t="str">
        <f>VLOOKUP(A66,Users!A:A,1,FALSE)</f>
        <v>blattnerj@gmail.com</v>
      </c>
    </row>
    <row r="67" spans="1:5" x14ac:dyDescent="0.2">
      <c r="A67" t="str">
        <v>io.brezeanu@gmail.com</v>
      </c>
      <c r="B67" t="str">
        <f>VLOOKUP('Users from Visits'!A67,Visits!E:O,10,FALSE)</f>
        <v>Ioana</v>
      </c>
      <c r="C67" t="str">
        <f>VLOOKUP('Users from Visits'!A67,Visits!E:O,11,FALSE)</f>
        <v>Brezeanu</v>
      </c>
      <c r="D67" t="str">
        <f>VLOOKUP('Users from Visits'!A67,Visits!E:O,2,FALSE)</f>
        <v>447492693024</v>
      </c>
      <c r="E67" t="str">
        <f>VLOOKUP(A67,Users!A:A,1,FALSE)</f>
        <v>io.brezeanu@gmail.com</v>
      </c>
    </row>
    <row r="68" spans="1:5" x14ac:dyDescent="0.2">
      <c r="A68" t="str">
        <v>lanidoms@gmail.com</v>
      </c>
      <c r="B68" t="str">
        <f>VLOOKUP('Users from Visits'!A68,Visits!E:O,10,FALSE)</f>
        <v>Mercelani</v>
      </c>
      <c r="C68" t="str">
        <f>VLOOKUP('Users from Visits'!A68,Visits!E:O,11,FALSE)</f>
        <v>Dumayday</v>
      </c>
      <c r="D68">
        <f>VLOOKUP('Users from Visits'!A68,Visits!E:O,2,FALSE)</f>
        <v>7503778383</v>
      </c>
      <c r="E68" t="str">
        <f>VLOOKUP(A68,Users!A:A,1,FALSE)</f>
        <v>lanidoms@gmail.com</v>
      </c>
    </row>
    <row r="69" spans="1:5" x14ac:dyDescent="0.2">
      <c r="A69" t="str">
        <v>yskinoue0127@gmail.com</v>
      </c>
      <c r="B69" t="str">
        <f>VLOOKUP('Users from Visits'!A69,Visits!E:O,10,FALSE)</f>
        <v>Yusuke</v>
      </c>
      <c r="C69">
        <f>VLOOKUP('Users from Visits'!A69,Visits!E:O,11,FALSE)</f>
        <v>0</v>
      </c>
      <c r="D69">
        <f>VLOOKUP('Users from Visits'!A69,Visits!E:O,2,FALSE)</f>
        <v>0</v>
      </c>
      <c r="E69" t="str">
        <f>VLOOKUP(A69,Users!A:A,1,FALSE)</f>
        <v>yskinoue0127@gmail.com</v>
      </c>
    </row>
    <row r="70" spans="1:5" x14ac:dyDescent="0.2">
      <c r="A70" t="str">
        <v>estherchen314@gmail.com</v>
      </c>
      <c r="B70" t="str">
        <f>VLOOKUP('Users from Visits'!A70,Visits!E:O,10,FALSE)</f>
        <v>Esther</v>
      </c>
      <c r="C70" t="str">
        <f>VLOOKUP('Users from Visits'!A70,Visits!E:O,11,FALSE)</f>
        <v>Chen</v>
      </c>
      <c r="D70">
        <f>VLOOKUP('Users from Visits'!A70,Visits!E:O,2,FALSE)</f>
        <v>19176000000</v>
      </c>
      <c r="E70" t="str">
        <f>VLOOKUP(A70,Users!A:A,1,FALSE)</f>
        <v>estherchen314@gmail.com</v>
      </c>
    </row>
    <row r="71" spans="1:5" x14ac:dyDescent="0.2">
      <c r="A71" t="str">
        <v>xetta03@hotmail.com</v>
      </c>
      <c r="B71" t="str">
        <f>VLOOKUP('Users from Visits'!A71,Visits!E:O,10,FALSE)</f>
        <v>Karen</v>
      </c>
      <c r="C71" t="str">
        <f>VLOOKUP('Users from Visits'!A71,Visits!E:O,11,FALSE)</f>
        <v>Johnstone</v>
      </c>
      <c r="D71">
        <f>VLOOKUP('Users from Visits'!A71,Visits!E:O,2,FALSE)</f>
        <v>7469394835</v>
      </c>
      <c r="E71" t="str">
        <f>VLOOKUP(A71,Users!A:A,1,FALSE)</f>
        <v>xetta03@hotmail.com</v>
      </c>
    </row>
    <row r="72" spans="1:5" x14ac:dyDescent="0.2">
      <c r="A72" t="str">
        <v>edementyeva@yandex.ru</v>
      </c>
      <c r="B72" t="str">
        <f>VLOOKUP('Users from Visits'!A72,Visits!E:O,10,FALSE)</f>
        <v>Elena</v>
      </c>
      <c r="C72" t="str">
        <f>VLOOKUP('Users from Visits'!A72,Visits!E:O,11,FALSE)</f>
        <v>Dementeva</v>
      </c>
      <c r="D72" t="str">
        <f>VLOOKUP('Users from Visits'!A72,Visits!E:O,2,FALSE)</f>
        <v>+44 7879 043769</v>
      </c>
      <c r="E72" t="str">
        <f>VLOOKUP(A72,Users!A:A,1,FALSE)</f>
        <v>edementyeva@yandex.ru</v>
      </c>
    </row>
    <row r="73" spans="1:5" x14ac:dyDescent="0.2">
      <c r="A73" t="str">
        <v>lonmys@outlook.com</v>
      </c>
      <c r="B73" t="str">
        <f>VLOOKUP('Users from Visits'!A73,Visits!E:O,10,FALSE)</f>
        <v>Malti</v>
      </c>
      <c r="C73" t="str">
        <f>VLOOKUP('Users from Visits'!A73,Visits!E:O,11,FALSE)</f>
        <v>.</v>
      </c>
      <c r="D73">
        <f>VLOOKUP('Users from Visits'!A73,Visits!E:O,2,FALSE)</f>
        <v>0</v>
      </c>
      <c r="E73" t="str">
        <f>VLOOKUP(A73,Users!A:A,1,FALSE)</f>
        <v>lonmys@outlook.com</v>
      </c>
    </row>
    <row r="74" spans="1:5" x14ac:dyDescent="0.2">
      <c r="A74" t="str">
        <v>6.saracchi@gmail.com</v>
      </c>
      <c r="B74" t="str">
        <f>VLOOKUP('Users from Visits'!A74,Visits!E:O,10,FALSE)</f>
        <v>Giacomo</v>
      </c>
      <c r="C74" t="str">
        <f>VLOOKUP('Users from Visits'!A74,Visits!E:O,11,FALSE)</f>
        <v>Saracchi</v>
      </c>
      <c r="D74" t="str">
        <f>VLOOKUP('Users from Visits'!A74,Visits!E:O,2,FALSE)</f>
        <v>+44 7496 933834</v>
      </c>
      <c r="E74" t="str">
        <f>VLOOKUP(A74,Users!A:A,1,FALSE)</f>
        <v>6.saracchi@gmail.com</v>
      </c>
    </row>
    <row r="75" spans="1:5" x14ac:dyDescent="0.2">
      <c r="A75" t="str">
        <v>6.saracchi@gmail.com-friend</v>
      </c>
      <c r="B75" t="str">
        <f>VLOOKUP('Users from Visits'!A75,Visits!E:O,10,FALSE)</f>
        <v>Giacomo</v>
      </c>
      <c r="C75" t="str">
        <f>VLOOKUP('Users from Visits'!A75,Visits!E:O,11,FALSE)</f>
        <v>Saracchi</v>
      </c>
      <c r="D75" t="str">
        <f>VLOOKUP('Users from Visits'!A75,Visits!E:O,2,FALSE)</f>
        <v>+44 7496 933834</v>
      </c>
      <c r="E75" t="e">
        <f>VLOOKUP(A75,Users!A:A,1,FALSE)</f>
        <v>#N/A</v>
      </c>
    </row>
    <row r="76" spans="1:5" x14ac:dyDescent="0.2">
      <c r="A76" t="str">
        <v>tamara.dews@lseg.com</v>
      </c>
      <c r="B76" t="str">
        <f>VLOOKUP('Users from Visits'!A76,Visits!E:O,10,FALSE)</f>
        <v>Tamara</v>
      </c>
      <c r="C76" t="str">
        <f>VLOOKUP('Users from Visits'!A76,Visits!E:O,11,FALSE)</f>
        <v>Dews</v>
      </c>
      <c r="D76" t="str">
        <f>VLOOKUP('Users from Visits'!A76,Visits!E:O,2,FALSE)</f>
        <v>07776960365</v>
      </c>
      <c r="E76" t="str">
        <f>VLOOKUP(A76,Users!A:A,1,FALSE)</f>
        <v>tamara.dews@lseg.com</v>
      </c>
    </row>
    <row r="77" spans="1:5" x14ac:dyDescent="0.2">
      <c r="A77" t="str">
        <v>mm.manolova@yahoo.com</v>
      </c>
      <c r="B77" t="str">
        <f>VLOOKUP('Users from Visits'!A77,Visits!E:O,10,FALSE)</f>
        <v>M</v>
      </c>
      <c r="C77" t="str">
        <f>VLOOKUP('Users from Visits'!A77,Visits!E:O,11,FALSE)</f>
        <v>Manolova</v>
      </c>
      <c r="D77">
        <f>VLOOKUP('Users from Visits'!A77,Visits!E:O,2,FALSE)</f>
        <v>0</v>
      </c>
      <c r="E77" t="str">
        <f>VLOOKUP(A77,Users!A:A,1,FALSE)</f>
        <v>mm.manolova@yahoo.com</v>
      </c>
    </row>
    <row r="78" spans="1:5" x14ac:dyDescent="0.2">
      <c r="A78" t="str">
        <v>gilka5@hotmail.com</v>
      </c>
      <c r="B78" t="str">
        <f>VLOOKUP('Users from Visits'!A78,Visits!E:O,10,FALSE)</f>
        <v>Gil</v>
      </c>
      <c r="C78" t="str">
        <f>VLOOKUP('Users from Visits'!A78,Visits!E:O,11,FALSE)</f>
        <v>K</v>
      </c>
      <c r="D78">
        <f>VLOOKUP('Users from Visits'!A78,Visits!E:O,2,FALSE)</f>
        <v>7841262698</v>
      </c>
      <c r="E78" t="str">
        <f>VLOOKUP(A78,Users!A:A,1,FALSE)</f>
        <v>gilka5@hotmail.com</v>
      </c>
    </row>
    <row r="79" spans="1:5" x14ac:dyDescent="0.2">
      <c r="A79" t="str">
        <v>angelakiva10@gmail.com</v>
      </c>
      <c r="B79" t="str">
        <f>VLOOKUP('Users from Visits'!A79,Visits!E:O,10,FALSE)</f>
        <v>Angela</v>
      </c>
      <c r="C79" t="str">
        <f>VLOOKUP('Users from Visits'!A79,Visits!E:O,11,FALSE)</f>
        <v>K</v>
      </c>
      <c r="D79">
        <f>VLOOKUP('Users from Visits'!A79,Visits!E:O,2,FALSE)</f>
        <v>7730398818</v>
      </c>
      <c r="E79" t="str">
        <f>VLOOKUP(A79,Users!A:A,1,FALSE)</f>
        <v>angelakiva10@gmail.com</v>
      </c>
    </row>
    <row r="80" spans="1:5" x14ac:dyDescent="0.2">
      <c r="A80" t="str">
        <v>celia.sattamino@gmail.com</v>
      </c>
      <c r="B80" t="str">
        <f>VLOOKUP('Users from Visits'!A80,Visits!E:O,10,FALSE)</f>
        <v>Daniel</v>
      </c>
      <c r="C80" t="str">
        <f>VLOOKUP('Users from Visits'!A80,Visits!E:O,11,FALSE)</f>
        <v>Lugg</v>
      </c>
      <c r="D80">
        <f>VLOOKUP('Users from Visits'!A80,Visits!E:O,2,FALSE)</f>
        <v>7476276978</v>
      </c>
      <c r="E80" t="str">
        <f>VLOOKUP(A80,Users!A:A,1,FALSE)</f>
        <v>celia.sattamino@gmail.com</v>
      </c>
    </row>
    <row r="81" spans="1:5" x14ac:dyDescent="0.2">
      <c r="A81" t="str">
        <v>Laure.kroely@gmail.com</v>
      </c>
      <c r="B81" t="str">
        <f>VLOOKUP('Users from Visits'!A81,Visits!E:O,10,FALSE)</f>
        <v>Laure</v>
      </c>
      <c r="C81" t="str">
        <f>VLOOKUP('Users from Visits'!A81,Visits!E:O,11,FALSE)</f>
        <v>Kroely</v>
      </c>
      <c r="D81">
        <f>VLOOKUP('Users from Visits'!A81,Visits!E:O,2,FALSE)</f>
        <v>447551038700</v>
      </c>
      <c r="E81" t="str">
        <f>VLOOKUP(A81,Users!A:A,1,FALSE)</f>
        <v>Laure.kroely@gmail.com</v>
      </c>
    </row>
    <row r="82" spans="1:5" x14ac:dyDescent="0.2">
      <c r="A82" t="str">
        <v>andrew.restlesspanda@gmail.com</v>
      </c>
      <c r="B82" t="str">
        <f>VLOOKUP('Users from Visits'!A82,Visits!E:O,10,FALSE)</f>
        <v>Andrew</v>
      </c>
      <c r="C82" t="str">
        <f>VLOOKUP('Users from Visits'!A82,Visits!E:O,11,FALSE)</f>
        <v>Ikonnikov</v>
      </c>
      <c r="D82">
        <f>VLOOKUP('Users from Visits'!A82,Visits!E:O,2,FALSE)</f>
        <v>447536484874</v>
      </c>
      <c r="E82" t="str">
        <f>VLOOKUP(A82,Users!A:A,1,FALSE)</f>
        <v>andrew.restlesspanda@gmail.com</v>
      </c>
    </row>
    <row r="83" spans="1:5" x14ac:dyDescent="0.2">
      <c r="A83" t="str">
        <v>wil_akanno@hotmail.com</v>
      </c>
      <c r="B83" t="str">
        <f>VLOOKUP('Users from Visits'!A83,Visits!E:O,10,FALSE)</f>
        <v>Wil</v>
      </c>
      <c r="C83" t="str">
        <f>VLOOKUP('Users from Visits'!A83,Visits!E:O,11,FALSE)</f>
        <v>Akanno</v>
      </c>
      <c r="D83" t="str">
        <f>VLOOKUP('Users from Visits'!A83,Visits!E:O,2,FALSE)</f>
        <v>+44 7931 309501</v>
      </c>
      <c r="E83" t="str">
        <f>VLOOKUP(A83,Users!A:A,1,FALSE)</f>
        <v>wil_akanno@hotmail.com</v>
      </c>
    </row>
    <row r="84" spans="1:5" x14ac:dyDescent="0.2">
      <c r="A84" t="str">
        <v>C.Emily.white@gmail.com</v>
      </c>
      <c r="B84" t="str">
        <f>VLOOKUP('Users from Visits'!A84,Visits!E:O,10,FALSE)</f>
        <v>Emily</v>
      </c>
      <c r="C84" t="str">
        <f>VLOOKUP('Users from Visits'!A84,Visits!E:O,11,FALSE)</f>
        <v>White</v>
      </c>
      <c r="D84">
        <f>VLOOKUP('Users from Visits'!A84,Visits!E:O,2,FALSE)</f>
        <v>447545450201</v>
      </c>
      <c r="E84" t="str">
        <f>VLOOKUP(A84,Users!A:A,1,FALSE)</f>
        <v>C.Emily.white@gmail.com</v>
      </c>
    </row>
    <row r="85" spans="1:5" x14ac:dyDescent="0.2">
      <c r="A85" t="str">
        <v>sabinahaytbaeva@gmail.com</v>
      </c>
      <c r="B85" t="str">
        <f>VLOOKUP('Users from Visits'!A85,Visits!E:O,10,FALSE)</f>
        <v>Sabina</v>
      </c>
      <c r="C85" t="str">
        <f>VLOOKUP('Users from Visits'!A85,Visits!E:O,11,FALSE)</f>
        <v>Khaytbaeva</v>
      </c>
      <c r="D85" t="str">
        <f>VLOOKUP('Users from Visits'!A85,Visits!E:O,2,FALSE)</f>
        <v>+44 7564 569465</v>
      </c>
      <c r="E85" t="str">
        <f>VLOOKUP(A85,Users!A:A,1,FALSE)</f>
        <v>sabinahaytbaeva@gmail.com</v>
      </c>
    </row>
    <row r="86" spans="1:5" x14ac:dyDescent="0.2">
      <c r="A86" t="str">
        <v>Nataliokolie@gmail.com</v>
      </c>
      <c r="B86" t="str">
        <f>VLOOKUP('Users from Visits'!A86,Visits!E:O,10,FALSE)</f>
        <v>Natali</v>
      </c>
      <c r="C86" t="str">
        <f>VLOOKUP('Users from Visits'!A86,Visits!E:O,11,FALSE)</f>
        <v>Okolie</v>
      </c>
      <c r="D86" t="str">
        <f>VLOOKUP('Users from Visits'!A86,Visits!E:O,2,FALSE)</f>
        <v>+44 7488 410909</v>
      </c>
      <c r="E86" t="str">
        <f>VLOOKUP(A86,Users!A:A,1,FALSE)</f>
        <v>Nataliokolie@gmail.com</v>
      </c>
    </row>
    <row r="87" spans="1:5" x14ac:dyDescent="0.2">
      <c r="A87" t="str">
        <v>ejike.onuchukwu@gmail.com</v>
      </c>
      <c r="B87" t="str">
        <f>VLOOKUP('Users from Visits'!A87,Visits!E:O,10,FALSE)</f>
        <v>Ejike</v>
      </c>
      <c r="C87" t="str">
        <f>VLOOKUP('Users from Visits'!A87,Visits!E:O,11,FALSE)</f>
        <v>Onuchukwu</v>
      </c>
      <c r="D87" t="str">
        <f>VLOOKUP('Users from Visits'!A87,Visits!E:O,2,FALSE)</f>
        <v>+44 7875 521439</v>
      </c>
      <c r="E87" t="str">
        <f>VLOOKUP(A87,Users!A:A,1,FALSE)</f>
        <v>ejike.onuchukwu@gmail.com</v>
      </c>
    </row>
    <row r="88" spans="1:5" x14ac:dyDescent="0.2">
      <c r="A88" t="str">
        <v>pelconsultingwork@gmail.com</v>
      </c>
      <c r="B88" t="str">
        <f>VLOOKUP('Users from Visits'!A88,Visits!E:O,10,FALSE)</f>
        <v>Ken</v>
      </c>
      <c r="C88" t="str">
        <f>VLOOKUP('Users from Visits'!A88,Visits!E:O,11,FALSE)</f>
        <v>Nyar</v>
      </c>
      <c r="D88" t="str">
        <f>VLOOKUP('Users from Visits'!A88,Visits!E:O,2,FALSE)</f>
        <v>+44 7423 066994</v>
      </c>
      <c r="E88" t="e">
        <f>VLOOKUP(A88,Users!A:A,1,FALSE)</f>
        <v>#N/A</v>
      </c>
    </row>
    <row r="89" spans="1:5" x14ac:dyDescent="0.2">
      <c r="A89" t="str">
        <v>david.flatscher@gmail.com</v>
      </c>
      <c r="B89" t="str">
        <f>VLOOKUP('Users from Visits'!A89,Visits!E:O,10,FALSE)</f>
        <v>David</v>
      </c>
      <c r="C89" t="str">
        <f>VLOOKUP('Users from Visits'!A89,Visits!E:O,11,FALSE)</f>
        <v>Flatscher</v>
      </c>
      <c r="D89" t="str">
        <f>VLOOKUP('Users from Visits'!A89,Visits!E:O,2,FALSE)</f>
        <v>+44 07707665074</v>
      </c>
      <c r="E89" t="str">
        <f>VLOOKUP(A89,Users!A:A,1,FALSE)</f>
        <v>david.flatscher@gmail.com</v>
      </c>
    </row>
    <row r="90" spans="1:5" x14ac:dyDescent="0.2">
      <c r="A90" t="str">
        <v>alina.flatscher@gmail.com</v>
      </c>
      <c r="B90" t="str">
        <f>VLOOKUP('Users from Visits'!A90,Visits!E:O,10,FALSE)</f>
        <v>Alina</v>
      </c>
      <c r="C90" t="str">
        <f>VLOOKUP('Users from Visits'!A90,Visits!E:O,11,FALSE)</f>
        <v>Flatscher</v>
      </c>
      <c r="D90" t="str">
        <f>VLOOKUP('Users from Visits'!A90,Visits!E:O,2,FALSE)</f>
        <v>+44 7443 108741</v>
      </c>
      <c r="E90" t="str">
        <f>VLOOKUP(A90,Users!A:A,1,FALSE)</f>
        <v>alina.flatscher@gmail.com</v>
      </c>
    </row>
    <row r="91" spans="1:5" x14ac:dyDescent="0.2">
      <c r="A91" t="str">
        <v>juanpablo.dltc@gmail.com</v>
      </c>
      <c r="B91" t="str">
        <f>VLOOKUP('Users from Visits'!A91,Visits!E:O,10,FALSE)</f>
        <v>JUAN PABLO</v>
      </c>
      <c r="C91" t="str">
        <f>VLOOKUP('Users from Visits'!A91,Visits!E:O,11,FALSE)</f>
        <v>DE LA TORRE</v>
      </c>
      <c r="D91">
        <f>VLOOKUP('Users from Visits'!A91,Visits!E:O,2,FALSE)</f>
        <v>7846069814</v>
      </c>
      <c r="E91" t="str">
        <f>VLOOKUP(A91,Users!A:A,1,FALSE)</f>
        <v>juanpablo.dltc@gmail.com</v>
      </c>
    </row>
    <row r="92" spans="1:5" x14ac:dyDescent="0.2">
      <c r="A92" t="str">
        <v>dmello.daniel@gmail.com</v>
      </c>
      <c r="B92" t="str">
        <f>VLOOKUP('Users from Visits'!A92,Visits!E:O,10,FALSE)</f>
        <v>Daniel</v>
      </c>
      <c r="C92" t="str">
        <f>VLOOKUP('Users from Visits'!A92,Visits!E:O,11,FALSE)</f>
        <v>Dmello</v>
      </c>
      <c r="D92">
        <f>VLOOKUP('Users from Visits'!A92,Visits!E:O,2,FALSE)</f>
        <v>7774734706</v>
      </c>
      <c r="E92" t="str">
        <f>VLOOKUP(A92,Users!A:A,1,FALSE)</f>
        <v>dmello.daniel@gmail.com</v>
      </c>
    </row>
    <row r="93" spans="1:5" x14ac:dyDescent="0.2">
      <c r="A93" t="str">
        <v>beverly.mccrory@gmail.com</v>
      </c>
      <c r="B93" t="str">
        <f>VLOOKUP('Users from Visits'!A93,Visits!E:O,10,FALSE)</f>
        <v>Bev</v>
      </c>
      <c r="C93" t="str">
        <f>VLOOKUP('Users from Visits'!A93,Visits!E:O,11,FALSE)</f>
        <v>McCrory</v>
      </c>
      <c r="D93">
        <f>VLOOKUP('Users from Visits'!A93,Visits!E:O,2,FALSE)</f>
        <v>7300421972</v>
      </c>
      <c r="E93" t="str">
        <f>VLOOKUP(A93,Users!A:A,1,FALSE)</f>
        <v>beverly.mccrory@gmail.com</v>
      </c>
    </row>
    <row r="94" spans="1:5" x14ac:dyDescent="0.2">
      <c r="A94" t="str">
        <v>matthew.hoza@gmail.com</v>
      </c>
      <c r="B94" t="str">
        <f>VLOOKUP('Users from Visits'!A94,Visits!E:O,10,FALSE)</f>
        <v>Matt</v>
      </c>
      <c r="C94" t="str">
        <f>VLOOKUP('Users from Visits'!A94,Visits!E:O,11,FALSE)</f>
        <v>Hoza</v>
      </c>
      <c r="D94">
        <f>VLOOKUP('Users from Visits'!A94,Visits!E:O,2,FALSE)</f>
        <v>7300421968</v>
      </c>
      <c r="E94" t="str">
        <f>VLOOKUP(A94,Users!A:A,1,FALSE)</f>
        <v>matthew.hoza@gmail.com</v>
      </c>
    </row>
    <row r="95" spans="1:5" x14ac:dyDescent="0.2">
      <c r="A95" t="str">
        <v>simon.brk@gmail.com</v>
      </c>
      <c r="B95" t="str">
        <f>VLOOKUP('Users from Visits'!A95,Visits!E:O,10,FALSE)</f>
        <v>Simon</v>
      </c>
      <c r="C95" t="str">
        <f>VLOOKUP('Users from Visits'!A95,Visits!E:O,11,FALSE)</f>
        <v>Bourke</v>
      </c>
      <c r="D95" t="str">
        <f>VLOOKUP('Users from Visits'!A95,Visits!E:O,2,FALSE)</f>
        <v>+44 7301 979131</v>
      </c>
      <c r="E95" t="str">
        <f>VLOOKUP(A95,Users!A:A,1,FALSE)</f>
        <v>simon.brk@gmail.com</v>
      </c>
    </row>
    <row r="96" spans="1:5" x14ac:dyDescent="0.2">
      <c r="A96" t="str">
        <v>imanbudget@yahoo.co.uk</v>
      </c>
      <c r="B96" t="str">
        <f>VLOOKUP('Users from Visits'!A96,Visits!E:O,10,FALSE)</f>
        <v>Donna</v>
      </c>
      <c r="C96" t="str">
        <f>VLOOKUP('Users from Visits'!A96,Visits!E:O,11,FALSE)</f>
        <v>Achara</v>
      </c>
      <c r="D96" t="str">
        <f>VLOOKUP('Users from Visits'!A96,Visits!E:O,2,FALSE)</f>
        <v>+44 7818 313299</v>
      </c>
      <c r="E96" t="str">
        <f>VLOOKUP(A96,Users!A:A,1,FALSE)</f>
        <v>imanbudget@yahoo.co.uk</v>
      </c>
    </row>
    <row r="97" spans="1:5" x14ac:dyDescent="0.2">
      <c r="A97" t="str">
        <v>Richard_segal@yahoo.com</v>
      </c>
      <c r="B97" t="str">
        <f>VLOOKUP('Users from Visits'!A97,Visits!E:O,10,FALSE)</f>
        <v>Richard</v>
      </c>
      <c r="C97" t="str">
        <f>VLOOKUP('Users from Visits'!A97,Visits!E:O,11,FALSE)</f>
        <v>Segal</v>
      </c>
      <c r="D97" t="str">
        <f>VLOOKUP('Users from Visits'!A97,Visits!E:O,2,FALSE)</f>
        <v>+44 7949 109489</v>
      </c>
      <c r="E97" t="str">
        <f>VLOOKUP(A97,Users!A:A,1,FALSE)</f>
        <v>Richard_segal@yahoo.com</v>
      </c>
    </row>
    <row r="98" spans="1:5" x14ac:dyDescent="0.2">
      <c r="A98" t="str">
        <v>anishasood26@gmail.com</v>
      </c>
      <c r="B98" t="str">
        <f>VLOOKUP('Users from Visits'!A98,Visits!E:O,10,FALSE)</f>
        <v>Anisha</v>
      </c>
      <c r="C98" t="str">
        <f>VLOOKUP('Users from Visits'!A98,Visits!E:O,11,FALSE)</f>
        <v>Sood</v>
      </c>
      <c r="D98">
        <f>VLOOKUP('Users from Visits'!A98,Visits!E:O,2,FALSE)</f>
        <v>7873956356</v>
      </c>
      <c r="E98" t="str">
        <f>VLOOKUP(A98,Users!A:A,1,FALSE)</f>
        <v>Anishasood26@gmail.com</v>
      </c>
    </row>
    <row r="99" spans="1:5" x14ac:dyDescent="0.2">
      <c r="A99" t="str">
        <v>Corneliu.civig@gmail.com</v>
      </c>
      <c r="B99" t="str">
        <f>VLOOKUP('Users from Visits'!A99,Visits!E:O,10,FALSE)</f>
        <v>Corneliu</v>
      </c>
      <c r="C99" t="str">
        <f>VLOOKUP('Users from Visits'!A99,Visits!E:O,11,FALSE)</f>
        <v>Civig</v>
      </c>
      <c r="D99">
        <f>VLOOKUP('Users from Visits'!A99,Visits!E:O,2,FALSE)</f>
        <v>0</v>
      </c>
      <c r="E99" t="str">
        <f>VLOOKUP(A99,Users!A:A,1,FALSE)</f>
        <v>Corneliu.civig@gmail.com</v>
      </c>
    </row>
    <row r="100" spans="1:5" x14ac:dyDescent="0.2">
      <c r="A100" t="str">
        <v>ellangwodo@gmail.com</v>
      </c>
      <c r="B100" t="str">
        <f>VLOOKUP('Users from Visits'!A100,Visits!E:O,10,FALSE)</f>
        <v>Ella</v>
      </c>
      <c r="C100" t="str">
        <f>VLOOKUP('Users from Visits'!A100,Visits!E:O,11,FALSE)</f>
        <v>Ngwodo</v>
      </c>
      <c r="D100">
        <f>VLOOKUP('Users from Visits'!A100,Visits!E:O,2,FALSE)</f>
        <v>7463715472</v>
      </c>
      <c r="E100" t="e">
        <f>VLOOKUP(A100,Users!A:A,1,FALSE)</f>
        <v>#N/A</v>
      </c>
    </row>
    <row r="101" spans="1:5" x14ac:dyDescent="0.2">
      <c r="A101" t="str">
        <v>e_squires@hotmail.com</v>
      </c>
      <c r="B101" t="str">
        <f>VLOOKUP('Users from Visits'!A101,Visits!E:O,10,FALSE)</f>
        <v>Erin</v>
      </c>
      <c r="C101" t="str">
        <f>VLOOKUP('Users from Visits'!A101,Visits!E:O,11,FALSE)</f>
        <v>Squires</v>
      </c>
      <c r="D101">
        <f>VLOOKUP('Users from Visits'!A101,Visits!E:O,2,FALSE)</f>
        <v>7926962119</v>
      </c>
      <c r="E101" t="e">
        <f>VLOOKUP(A101,Users!A:A,1,FALSE)</f>
        <v>#N/A</v>
      </c>
    </row>
    <row r="102" spans="1:5" x14ac:dyDescent="0.2">
      <c r="A102">
        <v>0</v>
      </c>
      <c r="B102" t="e">
        <f>VLOOKUP('Users from Visits'!A102,Visits!E:O,10,FALSE)</f>
        <v>#N/A</v>
      </c>
      <c r="C102" t="e">
        <f>VLOOKUP('Users from Visits'!A102,Visits!E:O,11,FALSE)</f>
        <v>#N/A</v>
      </c>
      <c r="D102" t="e">
        <f>VLOOKUP('Users from Visits'!A102,Visits!E:O,2,FALSE)</f>
        <v>#N/A</v>
      </c>
      <c r="E102" t="e">
        <f>VLOOKUP(A102,Users!A:A,1,FALSE)</f>
        <v>#N/A</v>
      </c>
    </row>
    <row r="103" spans="1:5" x14ac:dyDescent="0.2">
      <c r="B103" t="e">
        <f>VLOOKUP('Users from Visits'!A103,Visits!E:O,10,FALSE)</f>
        <v>#N/A</v>
      </c>
      <c r="C103" t="e">
        <f>VLOOKUP('Users from Visits'!A103,Visits!E:O,11,FALSE)</f>
        <v>#N/A</v>
      </c>
      <c r="D103" t="e">
        <f>VLOOKUP('Users from Visits'!A103,Visits!E:O,2,FALSE)</f>
        <v>#N/A</v>
      </c>
      <c r="E103" t="e">
        <f>VLOOKUP(A103,Users!A:A,1,FALSE)</f>
        <v>#N/A</v>
      </c>
    </row>
    <row r="104" spans="1:5" x14ac:dyDescent="0.2">
      <c r="B104" t="e">
        <f>VLOOKUP('Users from Visits'!A104,Visits!E:O,10,FALSE)</f>
        <v>#N/A</v>
      </c>
      <c r="C104" t="e">
        <f>VLOOKUP('Users from Visits'!A104,Visits!E:O,11,FALSE)</f>
        <v>#N/A</v>
      </c>
      <c r="D104" t="e">
        <f>VLOOKUP('Users from Visits'!A104,Visits!E:O,2,FALSE)</f>
        <v>#N/A</v>
      </c>
      <c r="E104" t="e">
        <f>VLOOKUP(A104,Users!A:A,1,FALSE)</f>
        <v>#N/A</v>
      </c>
    </row>
    <row r="105" spans="1:5" x14ac:dyDescent="0.2">
      <c r="B105" t="e">
        <f>VLOOKUP('Users from Visits'!A105,Visits!E:O,10,FALSE)</f>
        <v>#N/A</v>
      </c>
      <c r="C105" t="e">
        <f>VLOOKUP('Users from Visits'!A105,Visits!E:O,11,FALSE)</f>
        <v>#N/A</v>
      </c>
      <c r="D105" t="e">
        <f>VLOOKUP('Users from Visits'!A105,Visits!E:O,2,FALSE)</f>
        <v>#N/A</v>
      </c>
      <c r="E105" t="e">
        <f>VLOOKUP(A105,Users!A:A,1,FALSE)</f>
        <v>#N/A</v>
      </c>
    </row>
    <row r="106" spans="1:5" x14ac:dyDescent="0.2">
      <c r="B106" t="e">
        <f>VLOOKUP('Users from Visits'!A106,Visits!E:O,10,FALSE)</f>
        <v>#N/A</v>
      </c>
      <c r="C106" t="e">
        <f>VLOOKUP('Users from Visits'!A106,Visits!E:O,11,FALSE)</f>
        <v>#N/A</v>
      </c>
      <c r="D106" t="e">
        <f>VLOOKUP('Users from Visits'!A106,Visits!E:O,2,FALSE)</f>
        <v>#N/A</v>
      </c>
      <c r="E106" t="e">
        <f>VLOOKUP(A106,Users!A:A,1,FALSE)</f>
        <v>#N/A</v>
      </c>
    </row>
    <row r="107" spans="1:5" x14ac:dyDescent="0.2">
      <c r="B107" t="e">
        <f>VLOOKUP('Users from Visits'!A107,Visits!E:O,10,FALSE)</f>
        <v>#N/A</v>
      </c>
      <c r="C107" t="e">
        <f>VLOOKUP('Users from Visits'!A107,Visits!E:O,11,FALSE)</f>
        <v>#N/A</v>
      </c>
      <c r="D107" t="e">
        <f>VLOOKUP('Users from Visits'!A107,Visits!E:O,2,FALSE)</f>
        <v>#N/A</v>
      </c>
      <c r="E107" t="e">
        <f>VLOOKUP(A107,Users!A:A,1,FALSE)</f>
        <v>#N/A</v>
      </c>
    </row>
    <row r="108" spans="1:5" x14ac:dyDescent="0.2">
      <c r="B108" t="e">
        <f>VLOOKUP('Users from Visits'!A108,Visits!E:O,10,FALSE)</f>
        <v>#N/A</v>
      </c>
      <c r="C108" t="e">
        <f>VLOOKUP('Users from Visits'!A108,Visits!E:O,11,FALSE)</f>
        <v>#N/A</v>
      </c>
      <c r="D108" t="e">
        <f>VLOOKUP('Users from Visits'!A108,Visits!E:O,2,FALSE)</f>
        <v>#N/A</v>
      </c>
      <c r="E108" t="e">
        <f>VLOOKUP(A108,Users!A:A,1,FALSE)</f>
        <v>#N/A</v>
      </c>
    </row>
    <row r="109" spans="1:5" x14ac:dyDescent="0.2">
      <c r="B109" t="e">
        <f>VLOOKUP('Users from Visits'!A109,Visits!E:O,10,FALSE)</f>
        <v>#N/A</v>
      </c>
      <c r="C109" t="e">
        <f>VLOOKUP('Users from Visits'!A109,Visits!E:O,11,FALSE)</f>
        <v>#N/A</v>
      </c>
      <c r="D109" t="e">
        <f>VLOOKUP('Users from Visits'!A109,Visits!E:O,2,FALSE)</f>
        <v>#N/A</v>
      </c>
      <c r="E109" t="e">
        <f>VLOOKUP(A109,Users!A:A,1,FALSE)</f>
        <v>#N/A</v>
      </c>
    </row>
    <row r="110" spans="1:5" x14ac:dyDescent="0.2">
      <c r="B110" t="e">
        <f>VLOOKUP('Users from Visits'!A110,Visits!E:O,10,FALSE)</f>
        <v>#N/A</v>
      </c>
      <c r="C110" t="e">
        <f>VLOOKUP('Users from Visits'!A110,Visits!E:O,11,FALSE)</f>
        <v>#N/A</v>
      </c>
      <c r="D110" t="e">
        <f>VLOOKUP('Users from Visits'!A110,Visits!E:O,2,FALSE)</f>
        <v>#N/A</v>
      </c>
      <c r="E110" t="e">
        <f>VLOOKUP(A110,Users!A:A,1,FALSE)</f>
        <v>#N/A</v>
      </c>
    </row>
    <row r="111" spans="1:5" x14ac:dyDescent="0.2">
      <c r="B111" t="e">
        <f>VLOOKUP('Users from Visits'!A111,Visits!E:O,10,FALSE)</f>
        <v>#N/A</v>
      </c>
      <c r="C111" t="e">
        <f>VLOOKUP('Users from Visits'!A111,Visits!E:O,11,FALSE)</f>
        <v>#N/A</v>
      </c>
      <c r="D111" t="e">
        <f>VLOOKUP('Users from Visits'!A111,Visits!E:O,2,FALSE)</f>
        <v>#N/A</v>
      </c>
      <c r="E111" t="e">
        <f>VLOOKUP(A111,Users!A:A,1,FALSE)</f>
        <v>#N/A</v>
      </c>
    </row>
    <row r="112" spans="1:5" x14ac:dyDescent="0.2">
      <c r="B112" t="e">
        <f>VLOOKUP('Users from Visits'!A112,Visits!E:O,10,FALSE)</f>
        <v>#N/A</v>
      </c>
      <c r="C112" t="e">
        <f>VLOOKUP('Users from Visits'!A112,Visits!E:O,11,FALSE)</f>
        <v>#N/A</v>
      </c>
      <c r="D112" t="e">
        <f>VLOOKUP('Users from Visits'!A112,Visits!E:O,2,FALSE)</f>
        <v>#N/A</v>
      </c>
      <c r="E112" t="e">
        <f>VLOOKUP(A112,Users!A:A,1,FALSE)</f>
        <v>#N/A</v>
      </c>
    </row>
    <row r="113" spans="2:5" x14ac:dyDescent="0.2">
      <c r="B113" t="e">
        <f>VLOOKUP('Users from Visits'!A113,Visits!E:O,10,FALSE)</f>
        <v>#N/A</v>
      </c>
      <c r="C113" t="e">
        <f>VLOOKUP('Users from Visits'!A113,Visits!E:O,11,FALSE)</f>
        <v>#N/A</v>
      </c>
      <c r="D113" t="e">
        <f>VLOOKUP('Users from Visits'!A113,Visits!E:O,2,FALSE)</f>
        <v>#N/A</v>
      </c>
      <c r="E113" t="e">
        <f>VLOOKUP(A113,Users!A:A,1,FALSE)</f>
        <v>#N/A</v>
      </c>
    </row>
    <row r="114" spans="2:5" x14ac:dyDescent="0.2">
      <c r="B114" t="e">
        <f>VLOOKUP('Users from Visits'!A114,Visits!E:O,10,FALSE)</f>
        <v>#N/A</v>
      </c>
      <c r="C114" t="e">
        <f>VLOOKUP('Users from Visits'!A114,Visits!E:O,11,FALSE)</f>
        <v>#N/A</v>
      </c>
      <c r="D114" t="e">
        <f>VLOOKUP('Users from Visits'!A114,Visits!E:O,2,FALSE)</f>
        <v>#N/A</v>
      </c>
      <c r="E114" t="e">
        <f>VLOOKUP(A114,Users!A:A,1,FALSE)</f>
        <v>#N/A</v>
      </c>
    </row>
    <row r="115" spans="2:5" x14ac:dyDescent="0.2">
      <c r="B115" t="e">
        <f>VLOOKUP('Users from Visits'!A115,Visits!E:O,10,FALSE)</f>
        <v>#N/A</v>
      </c>
      <c r="C115" t="e">
        <f>VLOOKUP('Users from Visits'!A115,Visits!E:O,11,FALSE)</f>
        <v>#N/A</v>
      </c>
      <c r="D115" t="e">
        <f>VLOOKUP('Users from Visits'!A115,Visits!E:O,2,FALSE)</f>
        <v>#N/A</v>
      </c>
      <c r="E115" t="e">
        <f>VLOOKUP(A115,Users!A:A,1,FALSE)</f>
        <v>#N/A</v>
      </c>
    </row>
    <row r="116" spans="2:5" x14ac:dyDescent="0.2">
      <c r="B116" t="e">
        <f>VLOOKUP('Users from Visits'!A116,Visits!E:O,10,FALSE)</f>
        <v>#N/A</v>
      </c>
      <c r="C116" t="e">
        <f>VLOOKUP('Users from Visits'!A116,Visits!E:O,11,FALSE)</f>
        <v>#N/A</v>
      </c>
      <c r="D116" t="e">
        <f>VLOOKUP('Users from Visits'!A116,Visits!E:O,2,FALSE)</f>
        <v>#N/A</v>
      </c>
      <c r="E116" t="e">
        <f>VLOOKUP(A116,Users!A:A,1,FALSE)</f>
        <v>#N/A</v>
      </c>
    </row>
    <row r="117" spans="2:5" x14ac:dyDescent="0.2">
      <c r="B117" t="e">
        <f>VLOOKUP('Users from Visits'!A117,Visits!E:O,10,FALSE)</f>
        <v>#N/A</v>
      </c>
      <c r="C117" t="e">
        <f>VLOOKUP('Users from Visits'!A117,Visits!E:O,11,FALSE)</f>
        <v>#N/A</v>
      </c>
      <c r="D117" t="e">
        <f>VLOOKUP('Users from Visits'!A117,Visits!E:O,2,FALSE)</f>
        <v>#N/A</v>
      </c>
      <c r="E117" t="e">
        <f>VLOOKUP(A117,Users!A:A,1,FALSE)</f>
        <v>#N/A</v>
      </c>
    </row>
    <row r="118" spans="2:5" x14ac:dyDescent="0.2">
      <c r="B118" t="e">
        <f>VLOOKUP('Users from Visits'!A118,Visits!E:O,10,FALSE)</f>
        <v>#N/A</v>
      </c>
      <c r="C118" t="e">
        <f>VLOOKUP('Users from Visits'!A118,Visits!E:O,11,FALSE)</f>
        <v>#N/A</v>
      </c>
      <c r="D118" t="e">
        <f>VLOOKUP('Users from Visits'!A118,Visits!E:O,2,FALSE)</f>
        <v>#N/A</v>
      </c>
      <c r="E118" t="e">
        <f>VLOOKUP(A118,Users!A:A,1,FALSE)</f>
        <v>#N/A</v>
      </c>
    </row>
    <row r="119" spans="2:5" x14ac:dyDescent="0.2">
      <c r="B119" t="e">
        <f>VLOOKUP('Users from Visits'!A119,Visits!E:O,10,FALSE)</f>
        <v>#N/A</v>
      </c>
      <c r="C119" t="e">
        <f>VLOOKUP('Users from Visits'!A119,Visits!E:O,11,FALSE)</f>
        <v>#N/A</v>
      </c>
      <c r="D119" t="e">
        <f>VLOOKUP('Users from Visits'!A119,Visits!E:O,2,FALSE)</f>
        <v>#N/A</v>
      </c>
      <c r="E119" t="e">
        <f>VLOOKUP(A119,Users!A:A,1,FALSE)</f>
        <v>#N/A</v>
      </c>
    </row>
    <row r="120" spans="2:5" x14ac:dyDescent="0.2">
      <c r="B120" t="e">
        <f>VLOOKUP('Users from Visits'!A120,Visits!E:O,10,FALSE)</f>
        <v>#N/A</v>
      </c>
      <c r="C120" t="e">
        <f>VLOOKUP('Users from Visits'!A120,Visits!E:O,11,FALSE)</f>
        <v>#N/A</v>
      </c>
      <c r="D120" t="e">
        <f>VLOOKUP('Users from Visits'!A120,Visits!E:O,2,FALSE)</f>
        <v>#N/A</v>
      </c>
      <c r="E120" t="e">
        <f>VLOOKUP(A120,Users!A:A,1,FALSE)</f>
        <v>#N/A</v>
      </c>
    </row>
    <row r="121" spans="2:5" x14ac:dyDescent="0.2">
      <c r="B121" t="e">
        <f>VLOOKUP('Users from Visits'!A121,Visits!E:O,10,FALSE)</f>
        <v>#N/A</v>
      </c>
      <c r="C121" t="e">
        <f>VLOOKUP('Users from Visits'!A121,Visits!E:O,11,FALSE)</f>
        <v>#N/A</v>
      </c>
      <c r="D121" t="e">
        <f>VLOOKUP('Users from Visits'!A121,Visits!E:O,2,FALSE)</f>
        <v>#N/A</v>
      </c>
      <c r="E121" t="e">
        <f>VLOOKUP(A121,Users!A:A,1,FALSE)</f>
        <v>#N/A</v>
      </c>
    </row>
    <row r="122" spans="2:5" x14ac:dyDescent="0.2">
      <c r="B122" t="e">
        <f>VLOOKUP('Users from Visits'!A122,Visits!E:O,10,FALSE)</f>
        <v>#N/A</v>
      </c>
      <c r="C122" t="e">
        <f>VLOOKUP('Users from Visits'!A122,Visits!E:O,11,FALSE)</f>
        <v>#N/A</v>
      </c>
      <c r="D122" t="e">
        <f>VLOOKUP('Users from Visits'!A122,Visits!E:O,2,FALSE)</f>
        <v>#N/A</v>
      </c>
      <c r="E122" t="e">
        <f>VLOOKUP(A122,Users!A:A,1,FALSE)</f>
        <v>#N/A</v>
      </c>
    </row>
    <row r="123" spans="2:5" x14ac:dyDescent="0.2">
      <c r="B123" t="e">
        <f>VLOOKUP('Users from Visits'!A123,Visits!E:O,10,FALSE)</f>
        <v>#N/A</v>
      </c>
      <c r="C123" t="e">
        <f>VLOOKUP('Users from Visits'!A123,Visits!E:O,11,FALSE)</f>
        <v>#N/A</v>
      </c>
      <c r="D123" t="e">
        <f>VLOOKUP('Users from Visits'!A123,Visits!E:O,2,FALSE)</f>
        <v>#N/A</v>
      </c>
      <c r="E123" t="e">
        <f>VLOOKUP(A123,Users!A:A,1,FALSE)</f>
        <v>#N/A</v>
      </c>
    </row>
    <row r="124" spans="2:5" x14ac:dyDescent="0.2">
      <c r="B124" t="e">
        <f>VLOOKUP('Users from Visits'!A124,Visits!E:O,10,FALSE)</f>
        <v>#N/A</v>
      </c>
      <c r="C124" t="e">
        <f>VLOOKUP('Users from Visits'!A124,Visits!E:O,11,FALSE)</f>
        <v>#N/A</v>
      </c>
      <c r="D124" t="e">
        <f>VLOOKUP('Users from Visits'!A124,Visits!E:O,2,FALSE)</f>
        <v>#N/A</v>
      </c>
      <c r="E124" t="e">
        <f>VLOOKUP(A124,Users!A:A,1,FALSE)</f>
        <v>#N/A</v>
      </c>
    </row>
    <row r="125" spans="2:5" x14ac:dyDescent="0.2">
      <c r="B125" t="e">
        <f>VLOOKUP('Users from Visits'!A125,Visits!E:O,10,FALSE)</f>
        <v>#N/A</v>
      </c>
      <c r="C125" t="e">
        <f>VLOOKUP('Users from Visits'!A125,Visits!E:O,11,FALSE)</f>
        <v>#N/A</v>
      </c>
      <c r="D125" t="e">
        <f>VLOOKUP('Users from Visits'!A125,Visits!E:O,2,FALSE)</f>
        <v>#N/A</v>
      </c>
      <c r="E125" t="e">
        <f>VLOOKUP(A125,Users!A:A,1,FALSE)</f>
        <v>#N/A</v>
      </c>
    </row>
    <row r="126" spans="2:5" x14ac:dyDescent="0.2">
      <c r="B126" t="e">
        <f>VLOOKUP('Users from Visits'!A126,Visits!E:O,10,FALSE)</f>
        <v>#N/A</v>
      </c>
      <c r="C126" t="e">
        <f>VLOOKUP('Users from Visits'!A126,Visits!E:O,11,FALSE)</f>
        <v>#N/A</v>
      </c>
      <c r="D126" t="e">
        <f>VLOOKUP('Users from Visits'!A126,Visits!E:O,2,FALSE)</f>
        <v>#N/A</v>
      </c>
      <c r="E126" t="e">
        <f>VLOOKUP(A126,Users!A:A,1,FALSE)</f>
        <v>#N/A</v>
      </c>
    </row>
    <row r="127" spans="2:5" x14ac:dyDescent="0.2">
      <c r="B127" t="e">
        <f>VLOOKUP('Users from Visits'!A127,Visits!E:O,10,FALSE)</f>
        <v>#N/A</v>
      </c>
      <c r="C127" t="e">
        <f>VLOOKUP('Users from Visits'!A127,Visits!E:O,11,FALSE)</f>
        <v>#N/A</v>
      </c>
      <c r="D127" t="e">
        <f>VLOOKUP('Users from Visits'!A127,Visits!E:O,2,FALSE)</f>
        <v>#N/A</v>
      </c>
      <c r="E127" t="e">
        <f>VLOOKUP(A127,Users!A:A,1,FALSE)</f>
        <v>#N/A</v>
      </c>
    </row>
    <row r="128" spans="2:5" x14ac:dyDescent="0.2">
      <c r="B128" t="e">
        <f>VLOOKUP('Users from Visits'!A128,Visits!E:O,10,FALSE)</f>
        <v>#N/A</v>
      </c>
      <c r="C128" t="e">
        <f>VLOOKUP('Users from Visits'!A128,Visits!E:O,11,FALSE)</f>
        <v>#N/A</v>
      </c>
      <c r="D128" t="e">
        <f>VLOOKUP('Users from Visits'!A128,Visits!E:O,2,FALSE)</f>
        <v>#N/A</v>
      </c>
      <c r="E128" t="e">
        <f>VLOOKUP(A128,Users!A:A,1,FALSE)</f>
        <v>#N/A</v>
      </c>
    </row>
    <row r="129" spans="2:5" x14ac:dyDescent="0.2">
      <c r="B129" t="e">
        <f>VLOOKUP('Users from Visits'!A129,Visits!E:O,10,FALSE)</f>
        <v>#N/A</v>
      </c>
      <c r="C129" t="e">
        <f>VLOOKUP('Users from Visits'!A129,Visits!E:O,11,FALSE)</f>
        <v>#N/A</v>
      </c>
      <c r="D129" t="e">
        <f>VLOOKUP('Users from Visits'!A129,Visits!E:O,2,FALSE)</f>
        <v>#N/A</v>
      </c>
      <c r="E129" t="e">
        <f>VLOOKUP(A129,Users!A:A,1,FALSE)</f>
        <v>#N/A</v>
      </c>
    </row>
    <row r="130" spans="2:5" x14ac:dyDescent="0.2">
      <c r="B130" t="e">
        <f>VLOOKUP('Users from Visits'!A130,Visits!E:O,10,FALSE)</f>
        <v>#N/A</v>
      </c>
      <c r="C130" t="e">
        <f>VLOOKUP('Users from Visits'!A130,Visits!E:O,11,FALSE)</f>
        <v>#N/A</v>
      </c>
      <c r="D130" t="e">
        <f>VLOOKUP('Users from Visits'!A130,Visits!E:O,2,FALSE)</f>
        <v>#N/A</v>
      </c>
      <c r="E130" t="e">
        <f>VLOOKUP(A130,Users!A:A,1,FALSE)</f>
        <v>#N/A</v>
      </c>
    </row>
    <row r="131" spans="2:5" x14ac:dyDescent="0.2">
      <c r="B131" t="e">
        <f>VLOOKUP('Users from Visits'!A131,Visits!E:O,10,FALSE)</f>
        <v>#N/A</v>
      </c>
      <c r="C131" t="e">
        <f>VLOOKUP('Users from Visits'!A131,Visits!E:O,11,FALSE)</f>
        <v>#N/A</v>
      </c>
      <c r="D131" t="e">
        <f>VLOOKUP('Users from Visits'!A131,Visits!E:O,2,FALSE)</f>
        <v>#N/A</v>
      </c>
      <c r="E131" t="e">
        <f>VLOOKUP(A131,Users!A:A,1,FALSE)</f>
        <v>#N/A</v>
      </c>
    </row>
    <row r="132" spans="2:5" x14ac:dyDescent="0.2">
      <c r="B132" t="e">
        <f>VLOOKUP('Users from Visits'!A132,Visits!E:O,10,FALSE)</f>
        <v>#N/A</v>
      </c>
      <c r="C132" t="e">
        <f>VLOOKUP('Users from Visits'!A132,Visits!E:O,11,FALSE)</f>
        <v>#N/A</v>
      </c>
      <c r="D132" t="e">
        <f>VLOOKUP('Users from Visits'!A132,Visits!E:O,2,FALSE)</f>
        <v>#N/A</v>
      </c>
      <c r="E132" t="e">
        <f>VLOOKUP(A132,Users!A:A,1,FALSE)</f>
        <v>#N/A</v>
      </c>
    </row>
    <row r="133" spans="2:5" x14ac:dyDescent="0.2">
      <c r="B133" t="e">
        <f>VLOOKUP('Users from Visits'!A133,Visits!E:O,10,FALSE)</f>
        <v>#N/A</v>
      </c>
      <c r="C133" t="e">
        <f>VLOOKUP('Users from Visits'!A133,Visits!E:O,11,FALSE)</f>
        <v>#N/A</v>
      </c>
      <c r="D133" t="e">
        <f>VLOOKUP('Users from Visits'!A133,Visits!E:O,2,FALSE)</f>
        <v>#N/A</v>
      </c>
      <c r="E133" t="e">
        <f>VLOOKUP(A133,Users!A:A,1,FALSE)</f>
        <v>#N/A</v>
      </c>
    </row>
    <row r="134" spans="2:5" x14ac:dyDescent="0.2">
      <c r="B134" t="e">
        <f>VLOOKUP('Users from Visits'!A134,Visits!E:O,10,FALSE)</f>
        <v>#N/A</v>
      </c>
      <c r="C134" t="e">
        <f>VLOOKUP('Users from Visits'!A134,Visits!E:O,11,FALSE)</f>
        <v>#N/A</v>
      </c>
      <c r="D134" t="e">
        <f>VLOOKUP('Users from Visits'!A134,Visits!E:O,2,FALSE)</f>
        <v>#N/A</v>
      </c>
      <c r="E134" t="e">
        <f>VLOOKUP(A134,Users!A:A,1,FALSE)</f>
        <v>#N/A</v>
      </c>
    </row>
    <row r="135" spans="2:5" x14ac:dyDescent="0.2">
      <c r="B135" t="e">
        <f>VLOOKUP('Users from Visits'!A135,Visits!E:O,10,FALSE)</f>
        <v>#N/A</v>
      </c>
      <c r="C135" t="e">
        <f>VLOOKUP('Users from Visits'!A135,Visits!E:O,11,FALSE)</f>
        <v>#N/A</v>
      </c>
      <c r="D135" t="e">
        <f>VLOOKUP('Users from Visits'!A135,Visits!E:O,2,FALSE)</f>
        <v>#N/A</v>
      </c>
      <c r="E135" t="e">
        <f>VLOOKUP(A135,Users!A:A,1,FALSE)</f>
        <v>#N/A</v>
      </c>
    </row>
    <row r="136" spans="2:5" x14ac:dyDescent="0.2">
      <c r="B136" t="e">
        <f>VLOOKUP('Users from Visits'!A136,Visits!E:O,10,FALSE)</f>
        <v>#N/A</v>
      </c>
      <c r="C136" t="e">
        <f>VLOOKUP('Users from Visits'!A136,Visits!E:O,11,FALSE)</f>
        <v>#N/A</v>
      </c>
      <c r="D136" t="e">
        <f>VLOOKUP('Users from Visits'!A136,Visits!E:O,2,FALSE)</f>
        <v>#N/A</v>
      </c>
      <c r="E136" t="e">
        <f>VLOOKUP(A136,Users!A:A,1,FALSE)</f>
        <v>#N/A</v>
      </c>
    </row>
    <row r="137" spans="2:5" x14ac:dyDescent="0.2">
      <c r="B137" t="e">
        <f>VLOOKUP('Users from Visits'!A137,Visits!E:O,10,FALSE)</f>
        <v>#N/A</v>
      </c>
      <c r="C137" t="e">
        <f>VLOOKUP('Users from Visits'!A137,Visits!E:O,11,FALSE)</f>
        <v>#N/A</v>
      </c>
      <c r="D137" t="e">
        <f>VLOOKUP('Users from Visits'!A137,Visits!E:O,2,FALSE)</f>
        <v>#N/A</v>
      </c>
      <c r="E137" t="e">
        <f>VLOOKUP(A137,Users!A:A,1,FALSE)</f>
        <v>#N/A</v>
      </c>
    </row>
    <row r="138" spans="2:5" x14ac:dyDescent="0.2">
      <c r="B138" t="e">
        <f>VLOOKUP('Users from Visits'!A138,Visits!E:O,10,FALSE)</f>
        <v>#N/A</v>
      </c>
      <c r="C138" t="e">
        <f>VLOOKUP('Users from Visits'!A138,Visits!E:O,11,FALSE)</f>
        <v>#N/A</v>
      </c>
      <c r="D138" t="e">
        <f>VLOOKUP('Users from Visits'!A138,Visits!E:O,2,FALSE)</f>
        <v>#N/A</v>
      </c>
      <c r="E138" t="e">
        <f>VLOOKUP(A138,Users!A:A,1,FALSE)</f>
        <v>#N/A</v>
      </c>
    </row>
    <row r="139" spans="2:5" x14ac:dyDescent="0.2">
      <c r="B139" t="e">
        <f>VLOOKUP('Users from Visits'!A139,Visits!E:O,10,FALSE)</f>
        <v>#N/A</v>
      </c>
      <c r="C139" t="e">
        <f>VLOOKUP('Users from Visits'!A139,Visits!E:O,11,FALSE)</f>
        <v>#N/A</v>
      </c>
      <c r="D139" t="e">
        <f>VLOOKUP('Users from Visits'!A139,Visits!E:O,2,FALSE)</f>
        <v>#N/A</v>
      </c>
      <c r="E139" t="e">
        <f>VLOOKUP(A139,Users!A:A,1,FALSE)</f>
        <v>#N/A</v>
      </c>
    </row>
    <row r="140" spans="2:5" x14ac:dyDescent="0.2">
      <c r="B140" t="e">
        <f>VLOOKUP('Users from Visits'!A140,Visits!E:O,10,FALSE)</f>
        <v>#N/A</v>
      </c>
      <c r="C140" t="e">
        <f>VLOOKUP('Users from Visits'!A140,Visits!E:O,11,FALSE)</f>
        <v>#N/A</v>
      </c>
      <c r="D140" t="e">
        <f>VLOOKUP('Users from Visits'!A140,Visits!E:O,2,FALSE)</f>
        <v>#N/A</v>
      </c>
      <c r="E140" t="e">
        <f>VLOOKUP(A140,Users!A:A,1,FALSE)</f>
        <v>#N/A</v>
      </c>
    </row>
    <row r="141" spans="2:5" x14ac:dyDescent="0.2">
      <c r="B141" t="e">
        <f>VLOOKUP('Users from Visits'!A141,Visits!E:O,10,FALSE)</f>
        <v>#N/A</v>
      </c>
      <c r="C141" t="e">
        <f>VLOOKUP('Users from Visits'!A141,Visits!E:O,11,FALSE)</f>
        <v>#N/A</v>
      </c>
      <c r="D141" t="e">
        <f>VLOOKUP('Users from Visits'!A141,Visits!E:O,2,FALSE)</f>
        <v>#N/A</v>
      </c>
      <c r="E141" t="e">
        <f>VLOOKUP(A141,Users!A:A,1,FALSE)</f>
        <v>#N/A</v>
      </c>
    </row>
    <row r="142" spans="2:5" x14ac:dyDescent="0.2">
      <c r="B142" t="e">
        <f>VLOOKUP('Users from Visits'!A142,Visits!E:O,10,FALSE)</f>
        <v>#N/A</v>
      </c>
      <c r="C142" t="e">
        <f>VLOOKUP('Users from Visits'!A142,Visits!E:O,11,FALSE)</f>
        <v>#N/A</v>
      </c>
      <c r="D142" t="e">
        <f>VLOOKUP('Users from Visits'!A142,Visits!E:O,2,FALSE)</f>
        <v>#N/A</v>
      </c>
      <c r="E142" t="e">
        <f>VLOOKUP(A142,Users!A:A,1,FALSE)</f>
        <v>#N/A</v>
      </c>
    </row>
    <row r="143" spans="2:5" x14ac:dyDescent="0.2">
      <c r="B143" t="e">
        <f>VLOOKUP('Users from Visits'!A143,Visits!E:O,10,FALSE)</f>
        <v>#N/A</v>
      </c>
      <c r="C143" t="e">
        <f>VLOOKUP('Users from Visits'!A143,Visits!E:O,11,FALSE)</f>
        <v>#N/A</v>
      </c>
      <c r="D143" t="e">
        <f>VLOOKUP('Users from Visits'!A143,Visits!E:O,2,FALSE)</f>
        <v>#N/A</v>
      </c>
      <c r="E143" t="e">
        <f>VLOOKUP(A143,Users!A:A,1,FALSE)</f>
        <v>#N/A</v>
      </c>
    </row>
    <row r="144" spans="2:5" x14ac:dyDescent="0.2">
      <c r="B144" t="e">
        <f>VLOOKUP('Users from Visits'!A144,Visits!E:O,10,FALSE)</f>
        <v>#N/A</v>
      </c>
      <c r="C144" t="e">
        <f>VLOOKUP('Users from Visits'!A144,Visits!E:O,11,FALSE)</f>
        <v>#N/A</v>
      </c>
      <c r="D144" t="e">
        <f>VLOOKUP('Users from Visits'!A144,Visits!E:O,2,FALSE)</f>
        <v>#N/A</v>
      </c>
      <c r="E144" t="e">
        <f>VLOOKUP(A144,Users!A:A,1,FALSE)</f>
        <v>#N/A</v>
      </c>
    </row>
    <row r="145" spans="2:5" x14ac:dyDescent="0.2">
      <c r="B145" t="e">
        <f>VLOOKUP('Users from Visits'!A145,Visits!E:O,10,FALSE)</f>
        <v>#N/A</v>
      </c>
      <c r="C145" t="e">
        <f>VLOOKUP('Users from Visits'!A145,Visits!E:O,11,FALSE)</f>
        <v>#N/A</v>
      </c>
      <c r="D145" t="e">
        <f>VLOOKUP('Users from Visits'!A145,Visits!E:O,2,FALSE)</f>
        <v>#N/A</v>
      </c>
      <c r="E145" t="e">
        <f>VLOOKUP(A145,Users!A:A,1,FALSE)</f>
        <v>#N/A</v>
      </c>
    </row>
    <row r="146" spans="2:5" x14ac:dyDescent="0.2">
      <c r="B146" t="e">
        <f>VLOOKUP('Users from Visits'!A146,Visits!E:O,10,FALSE)</f>
        <v>#N/A</v>
      </c>
      <c r="C146" t="e">
        <f>VLOOKUP('Users from Visits'!A146,Visits!E:O,11,FALSE)</f>
        <v>#N/A</v>
      </c>
      <c r="D146" t="e">
        <f>VLOOKUP('Users from Visits'!A146,Visits!E:O,2,FALSE)</f>
        <v>#N/A</v>
      </c>
      <c r="E146" t="e">
        <f>VLOOKUP(A146,Users!A:A,1,FALSE)</f>
        <v>#N/A</v>
      </c>
    </row>
    <row r="147" spans="2:5" x14ac:dyDescent="0.2">
      <c r="B147" t="e">
        <f>VLOOKUP('Users from Visits'!A147,Visits!E:O,10,FALSE)</f>
        <v>#N/A</v>
      </c>
      <c r="C147" t="e">
        <f>VLOOKUP('Users from Visits'!A147,Visits!E:O,11,FALSE)</f>
        <v>#N/A</v>
      </c>
      <c r="D147" t="e">
        <f>VLOOKUP('Users from Visits'!A147,Visits!E:O,2,FALSE)</f>
        <v>#N/A</v>
      </c>
      <c r="E147" t="e">
        <f>VLOOKUP(A147,Users!A:A,1,FALSE)</f>
        <v>#N/A</v>
      </c>
    </row>
    <row r="148" spans="2:5" x14ac:dyDescent="0.2">
      <c r="B148" t="e">
        <f>VLOOKUP('Users from Visits'!A148,Visits!E:O,10,FALSE)</f>
        <v>#N/A</v>
      </c>
      <c r="C148" t="e">
        <f>VLOOKUP('Users from Visits'!A148,Visits!E:O,11,FALSE)</f>
        <v>#N/A</v>
      </c>
      <c r="D148" t="e">
        <f>VLOOKUP('Users from Visits'!A148,Visits!E:O,2,FALSE)</f>
        <v>#N/A</v>
      </c>
      <c r="E148" t="e">
        <f>VLOOKUP(A148,Users!A:A,1,FALSE)</f>
        <v>#N/A</v>
      </c>
    </row>
    <row r="149" spans="2:5" x14ac:dyDescent="0.2">
      <c r="B149" t="e">
        <f>VLOOKUP('Users from Visits'!A149,Visits!E:O,10,FALSE)</f>
        <v>#N/A</v>
      </c>
      <c r="C149" t="e">
        <f>VLOOKUP('Users from Visits'!A149,Visits!E:O,11,FALSE)</f>
        <v>#N/A</v>
      </c>
      <c r="D149" t="e">
        <f>VLOOKUP('Users from Visits'!A149,Visits!E:O,2,FALSE)</f>
        <v>#N/A</v>
      </c>
      <c r="E149" t="e">
        <f>VLOOKUP(A149,Users!A:A,1,FALSE)</f>
        <v>#N/A</v>
      </c>
    </row>
    <row r="150" spans="2:5" x14ac:dyDescent="0.2">
      <c r="B150" t="e">
        <f>VLOOKUP('Users from Visits'!A150,Visits!E:O,10,FALSE)</f>
        <v>#N/A</v>
      </c>
      <c r="C150" t="e">
        <f>VLOOKUP('Users from Visits'!A150,Visits!E:O,11,FALSE)</f>
        <v>#N/A</v>
      </c>
      <c r="D150" t="e">
        <f>VLOOKUP('Users from Visits'!A150,Visits!E:O,2,FALSE)</f>
        <v>#N/A</v>
      </c>
      <c r="E150" t="e">
        <f>VLOOKUP(A150,Users!A:A,1,FALSE)</f>
        <v>#N/A</v>
      </c>
    </row>
    <row r="151" spans="2:5" x14ac:dyDescent="0.2">
      <c r="B151" t="e">
        <f>VLOOKUP('Users from Visits'!A151,Visits!E:O,10,FALSE)</f>
        <v>#N/A</v>
      </c>
      <c r="C151" t="e">
        <f>VLOOKUP('Users from Visits'!A151,Visits!E:O,11,FALSE)</f>
        <v>#N/A</v>
      </c>
      <c r="D151" t="e">
        <f>VLOOKUP('Users from Visits'!A151,Visits!E:O,2,FALSE)</f>
        <v>#N/A</v>
      </c>
      <c r="E151" t="e">
        <f>VLOOKUP(A151,Users!A:A,1,FALSE)</f>
        <v>#N/A</v>
      </c>
    </row>
    <row r="152" spans="2:5" x14ac:dyDescent="0.2">
      <c r="B152" t="e">
        <f>VLOOKUP('Users from Visits'!A152,Visits!E:O,10,FALSE)</f>
        <v>#N/A</v>
      </c>
      <c r="C152" t="e">
        <f>VLOOKUP('Users from Visits'!A152,Visits!E:O,11,FALSE)</f>
        <v>#N/A</v>
      </c>
      <c r="D152" t="e">
        <f>VLOOKUP('Users from Visits'!A152,Visits!E:O,2,FALSE)</f>
        <v>#N/A</v>
      </c>
      <c r="E152" t="e">
        <f>VLOOKUP(A152,Users!A:A,1,FALSE)</f>
        <v>#N/A</v>
      </c>
    </row>
    <row r="153" spans="2:5" x14ac:dyDescent="0.2">
      <c r="B153" t="e">
        <f>VLOOKUP('Users from Visits'!A153,Visits!E:O,10,FALSE)</f>
        <v>#N/A</v>
      </c>
      <c r="C153" t="e">
        <f>VLOOKUP('Users from Visits'!A153,Visits!E:O,11,FALSE)</f>
        <v>#N/A</v>
      </c>
      <c r="D153" t="e">
        <f>VLOOKUP('Users from Visits'!A153,Visits!E:O,2,FALSE)</f>
        <v>#N/A</v>
      </c>
      <c r="E153" t="e">
        <f>VLOOKUP(A153,Users!A:A,1,FALSE)</f>
        <v>#N/A</v>
      </c>
    </row>
    <row r="154" spans="2:5" x14ac:dyDescent="0.2">
      <c r="B154" t="e">
        <f>VLOOKUP('Users from Visits'!A154,Visits!E:O,10,FALSE)</f>
        <v>#N/A</v>
      </c>
      <c r="C154" t="e">
        <f>VLOOKUP('Users from Visits'!A154,Visits!E:O,11,FALSE)</f>
        <v>#N/A</v>
      </c>
      <c r="D154" t="e">
        <f>VLOOKUP('Users from Visits'!A154,Visits!E:O,2,FALSE)</f>
        <v>#N/A</v>
      </c>
      <c r="E154" t="e">
        <f>VLOOKUP(A154,Users!A:A,1,FALSE)</f>
        <v>#N/A</v>
      </c>
    </row>
    <row r="155" spans="2:5" x14ac:dyDescent="0.2">
      <c r="B155" t="e">
        <f>VLOOKUP('Users from Visits'!A155,Visits!E:O,10,FALSE)</f>
        <v>#N/A</v>
      </c>
      <c r="C155" t="e">
        <f>VLOOKUP('Users from Visits'!A155,Visits!E:O,11,FALSE)</f>
        <v>#N/A</v>
      </c>
      <c r="D155" t="e">
        <f>VLOOKUP('Users from Visits'!A155,Visits!E:O,2,FALSE)</f>
        <v>#N/A</v>
      </c>
      <c r="E155" t="e">
        <f>VLOOKUP(A155,Users!A:A,1,FALSE)</f>
        <v>#N/A</v>
      </c>
    </row>
    <row r="156" spans="2:5" x14ac:dyDescent="0.2">
      <c r="B156" t="e">
        <f>VLOOKUP('Users from Visits'!A156,Visits!E:O,10,FALSE)</f>
        <v>#N/A</v>
      </c>
      <c r="C156" t="e">
        <f>VLOOKUP('Users from Visits'!A156,Visits!E:O,11,FALSE)</f>
        <v>#N/A</v>
      </c>
      <c r="D156" t="e">
        <f>VLOOKUP('Users from Visits'!A156,Visits!E:O,2,FALSE)</f>
        <v>#N/A</v>
      </c>
      <c r="E156" t="e">
        <f>VLOOKUP(A156,Users!A:A,1,FALSE)</f>
        <v>#N/A</v>
      </c>
    </row>
    <row r="157" spans="2:5" x14ac:dyDescent="0.2">
      <c r="B157" t="e">
        <f>VLOOKUP('Users from Visits'!A157,Visits!E:O,10,FALSE)</f>
        <v>#N/A</v>
      </c>
      <c r="C157" t="e">
        <f>VLOOKUP('Users from Visits'!A157,Visits!E:O,11,FALSE)</f>
        <v>#N/A</v>
      </c>
      <c r="D157" t="e">
        <f>VLOOKUP('Users from Visits'!A157,Visits!E:O,2,FALSE)</f>
        <v>#N/A</v>
      </c>
      <c r="E157" t="e">
        <f>VLOOKUP(A157,Users!A:A,1,FALSE)</f>
        <v>#N/A</v>
      </c>
    </row>
    <row r="158" spans="2:5" x14ac:dyDescent="0.2">
      <c r="B158" t="e">
        <f>VLOOKUP('Users from Visits'!A158,Visits!E:O,10,FALSE)</f>
        <v>#N/A</v>
      </c>
      <c r="C158" t="e">
        <f>VLOOKUP('Users from Visits'!A158,Visits!E:O,11,FALSE)</f>
        <v>#N/A</v>
      </c>
      <c r="D158" t="e">
        <f>VLOOKUP('Users from Visits'!A158,Visits!E:O,2,FALSE)</f>
        <v>#N/A</v>
      </c>
      <c r="E158" t="e">
        <f>VLOOKUP(A158,Users!A:A,1,FALSE)</f>
        <v>#N/A</v>
      </c>
    </row>
    <row r="159" spans="2:5" x14ac:dyDescent="0.2">
      <c r="B159" t="e">
        <f>VLOOKUP('Users from Visits'!A159,Visits!E:O,10,FALSE)</f>
        <v>#N/A</v>
      </c>
      <c r="C159" t="e">
        <f>VLOOKUP('Users from Visits'!A159,Visits!E:O,11,FALSE)</f>
        <v>#N/A</v>
      </c>
      <c r="D159" t="e">
        <f>VLOOKUP('Users from Visits'!A159,Visits!E:O,2,FALSE)</f>
        <v>#N/A</v>
      </c>
      <c r="E159" t="e">
        <f>VLOOKUP(A159,Users!A:A,1,FALSE)</f>
        <v>#N/A</v>
      </c>
    </row>
    <row r="160" spans="2:5" x14ac:dyDescent="0.2">
      <c r="B160" t="e">
        <f>VLOOKUP('Users from Visits'!A160,Visits!E:O,10,FALSE)</f>
        <v>#N/A</v>
      </c>
      <c r="C160" t="e">
        <f>VLOOKUP('Users from Visits'!A160,Visits!E:O,11,FALSE)</f>
        <v>#N/A</v>
      </c>
      <c r="D160" t="e">
        <f>VLOOKUP('Users from Visits'!A160,Visits!E:O,2,FALSE)</f>
        <v>#N/A</v>
      </c>
      <c r="E160" t="e">
        <f>VLOOKUP(A160,Users!A:A,1,FALSE)</f>
        <v>#N/A</v>
      </c>
    </row>
    <row r="161" spans="2:5" x14ac:dyDescent="0.2">
      <c r="B161" t="e">
        <f>VLOOKUP('Users from Visits'!A161,Visits!E:O,10,FALSE)</f>
        <v>#N/A</v>
      </c>
      <c r="C161" t="e">
        <f>VLOOKUP('Users from Visits'!A161,Visits!E:O,11,FALSE)</f>
        <v>#N/A</v>
      </c>
      <c r="D161" t="e">
        <f>VLOOKUP('Users from Visits'!A161,Visits!E:O,2,FALSE)</f>
        <v>#N/A</v>
      </c>
      <c r="E161" t="e">
        <f>VLOOKUP(A161,Users!A:A,1,FALSE)</f>
        <v>#N/A</v>
      </c>
    </row>
    <row r="162" spans="2:5" x14ac:dyDescent="0.2">
      <c r="B162" t="e">
        <f>VLOOKUP('Users from Visits'!A162,Visits!E:O,10,FALSE)</f>
        <v>#N/A</v>
      </c>
      <c r="C162" t="e">
        <f>VLOOKUP('Users from Visits'!A162,Visits!E:O,11,FALSE)</f>
        <v>#N/A</v>
      </c>
      <c r="D162" t="e">
        <f>VLOOKUP('Users from Visits'!A162,Visits!E:O,2,FALSE)</f>
        <v>#N/A</v>
      </c>
      <c r="E162" t="e">
        <f>VLOOKUP(A162,Users!A:A,1,FALSE)</f>
        <v>#N/A</v>
      </c>
    </row>
    <row r="163" spans="2:5" x14ac:dyDescent="0.2">
      <c r="B163" t="e">
        <f>VLOOKUP('Users from Visits'!A163,Visits!E:O,10,FALSE)</f>
        <v>#N/A</v>
      </c>
      <c r="C163" t="e">
        <f>VLOOKUP('Users from Visits'!A163,Visits!E:O,11,FALSE)</f>
        <v>#N/A</v>
      </c>
      <c r="D163" t="e">
        <f>VLOOKUP('Users from Visits'!A163,Visits!E:O,2,FALSE)</f>
        <v>#N/A</v>
      </c>
      <c r="E163" t="e">
        <f>VLOOKUP(A163,Users!A:A,1,FALSE)</f>
        <v>#N/A</v>
      </c>
    </row>
    <row r="164" spans="2:5" x14ac:dyDescent="0.2">
      <c r="B164" t="e">
        <f>VLOOKUP('Users from Visits'!A164,Visits!E:O,10,FALSE)</f>
        <v>#N/A</v>
      </c>
      <c r="C164" t="e">
        <f>VLOOKUP('Users from Visits'!A164,Visits!E:O,11,FALSE)</f>
        <v>#N/A</v>
      </c>
      <c r="D164" t="e">
        <f>VLOOKUP('Users from Visits'!A164,Visits!E:O,2,FALSE)</f>
        <v>#N/A</v>
      </c>
      <c r="E164" t="e">
        <f>VLOOKUP(A164,Users!A:A,1,FALSE)</f>
        <v>#N/A</v>
      </c>
    </row>
    <row r="165" spans="2:5" x14ac:dyDescent="0.2">
      <c r="B165" t="e">
        <f>VLOOKUP('Users from Visits'!A165,Visits!E:O,10,FALSE)</f>
        <v>#N/A</v>
      </c>
      <c r="C165" t="e">
        <f>VLOOKUP('Users from Visits'!A165,Visits!E:O,11,FALSE)</f>
        <v>#N/A</v>
      </c>
      <c r="D165" t="e">
        <f>VLOOKUP('Users from Visits'!A165,Visits!E:O,2,FALSE)</f>
        <v>#N/A</v>
      </c>
      <c r="E165" t="e">
        <f>VLOOKUP(A165,Users!A:A,1,FALSE)</f>
        <v>#N/A</v>
      </c>
    </row>
    <row r="166" spans="2:5" x14ac:dyDescent="0.2">
      <c r="B166" t="e">
        <f>VLOOKUP('Users from Visits'!A166,Visits!E:O,10,FALSE)</f>
        <v>#N/A</v>
      </c>
      <c r="C166" t="e">
        <f>VLOOKUP('Users from Visits'!A166,Visits!E:O,11,FALSE)</f>
        <v>#N/A</v>
      </c>
      <c r="D166" t="e">
        <f>VLOOKUP('Users from Visits'!A166,Visits!E:O,2,FALSE)</f>
        <v>#N/A</v>
      </c>
      <c r="E166" t="e">
        <f>VLOOKUP(A166,Users!A:A,1,FALSE)</f>
        <v>#N/A</v>
      </c>
    </row>
    <row r="167" spans="2:5" x14ac:dyDescent="0.2">
      <c r="B167" t="e">
        <f>VLOOKUP('Users from Visits'!A167,Visits!E:O,10,FALSE)</f>
        <v>#N/A</v>
      </c>
      <c r="C167" t="e">
        <f>VLOOKUP('Users from Visits'!A167,Visits!E:O,11,FALSE)</f>
        <v>#N/A</v>
      </c>
      <c r="D167" t="e">
        <f>VLOOKUP('Users from Visits'!A167,Visits!E:O,2,FALSE)</f>
        <v>#N/A</v>
      </c>
      <c r="E167" t="e">
        <f>VLOOKUP(A167,Users!A:A,1,FALSE)</f>
        <v>#N/A</v>
      </c>
    </row>
    <row r="168" spans="2:5" x14ac:dyDescent="0.2">
      <c r="B168" t="e">
        <f>VLOOKUP('Users from Visits'!A168,Visits!E:O,10,FALSE)</f>
        <v>#N/A</v>
      </c>
      <c r="C168" t="e">
        <f>VLOOKUP('Users from Visits'!A168,Visits!E:O,11,FALSE)</f>
        <v>#N/A</v>
      </c>
      <c r="D168" t="e">
        <f>VLOOKUP('Users from Visits'!A168,Visits!E:O,2,FALSE)</f>
        <v>#N/A</v>
      </c>
      <c r="E168" t="e">
        <f>VLOOKUP(A168,Users!A:A,1,FALSE)</f>
        <v>#N/A</v>
      </c>
    </row>
    <row r="169" spans="2:5" x14ac:dyDescent="0.2">
      <c r="B169" t="e">
        <f>VLOOKUP('Users from Visits'!A169,Visits!E:O,10,FALSE)</f>
        <v>#N/A</v>
      </c>
      <c r="C169" t="e">
        <f>VLOOKUP('Users from Visits'!A169,Visits!E:O,11,FALSE)</f>
        <v>#N/A</v>
      </c>
      <c r="D169" t="e">
        <f>VLOOKUP('Users from Visits'!A169,Visits!E:O,2,FALSE)</f>
        <v>#N/A</v>
      </c>
      <c r="E169" t="e">
        <f>VLOOKUP(A169,Users!A:A,1,FALSE)</f>
        <v>#N/A</v>
      </c>
    </row>
    <row r="170" spans="2:5" x14ac:dyDescent="0.2">
      <c r="B170" t="e">
        <f>VLOOKUP('Users from Visits'!A170,Visits!E:O,10,FALSE)</f>
        <v>#N/A</v>
      </c>
      <c r="C170" t="e">
        <f>VLOOKUP('Users from Visits'!A170,Visits!E:O,11,FALSE)</f>
        <v>#N/A</v>
      </c>
      <c r="D170" t="e">
        <f>VLOOKUP('Users from Visits'!A170,Visits!E:O,2,FALSE)</f>
        <v>#N/A</v>
      </c>
      <c r="E170" t="e">
        <f>VLOOKUP(A170,Users!A:A,1,FALSE)</f>
        <v>#N/A</v>
      </c>
    </row>
    <row r="171" spans="2:5" x14ac:dyDescent="0.2">
      <c r="B171" t="e">
        <f>VLOOKUP('Users from Visits'!A171,Visits!E:O,10,FALSE)</f>
        <v>#N/A</v>
      </c>
      <c r="C171" t="e">
        <f>VLOOKUP('Users from Visits'!A171,Visits!E:O,11,FALSE)</f>
        <v>#N/A</v>
      </c>
      <c r="D171" t="e">
        <f>VLOOKUP('Users from Visits'!A171,Visits!E:O,2,FALSE)</f>
        <v>#N/A</v>
      </c>
      <c r="E171" t="e">
        <f>VLOOKUP(A171,Users!A:A,1,FALSE)</f>
        <v>#N/A</v>
      </c>
    </row>
    <row r="172" spans="2:5" x14ac:dyDescent="0.2">
      <c r="B172" t="e">
        <f>VLOOKUP('Users from Visits'!A172,Visits!E:O,10,FALSE)</f>
        <v>#N/A</v>
      </c>
      <c r="C172" t="e">
        <f>VLOOKUP('Users from Visits'!A172,Visits!E:O,11,FALSE)</f>
        <v>#N/A</v>
      </c>
      <c r="D172" t="e">
        <f>VLOOKUP('Users from Visits'!A172,Visits!E:O,2,FALSE)</f>
        <v>#N/A</v>
      </c>
      <c r="E172" t="e">
        <f>VLOOKUP(A172,Users!A:A,1,FALSE)</f>
        <v>#N/A</v>
      </c>
    </row>
    <row r="173" spans="2:5" x14ac:dyDescent="0.2">
      <c r="B173" t="e">
        <f>VLOOKUP('Users from Visits'!A173,Visits!E:O,10,FALSE)</f>
        <v>#N/A</v>
      </c>
      <c r="C173" t="e">
        <f>VLOOKUP('Users from Visits'!A173,Visits!E:O,11,FALSE)</f>
        <v>#N/A</v>
      </c>
      <c r="D173" t="e">
        <f>VLOOKUP('Users from Visits'!A173,Visits!E:O,2,FALSE)</f>
        <v>#N/A</v>
      </c>
      <c r="E173" t="e">
        <f>VLOOKUP(A173,Users!A:A,1,FALSE)</f>
        <v>#N/A</v>
      </c>
    </row>
    <row r="174" spans="2:5" x14ac:dyDescent="0.2">
      <c r="B174" t="e">
        <f>VLOOKUP('Users from Visits'!A174,Visits!E:O,10,FALSE)</f>
        <v>#N/A</v>
      </c>
      <c r="C174" t="e">
        <f>VLOOKUP('Users from Visits'!A174,Visits!E:O,11,FALSE)</f>
        <v>#N/A</v>
      </c>
      <c r="D174" t="e">
        <f>VLOOKUP('Users from Visits'!A174,Visits!E:O,2,FALSE)</f>
        <v>#N/A</v>
      </c>
      <c r="E174" t="e">
        <f>VLOOKUP(A174,Users!A:A,1,FALSE)</f>
        <v>#N/A</v>
      </c>
    </row>
    <row r="175" spans="2:5" x14ac:dyDescent="0.2">
      <c r="B175" t="e">
        <f>VLOOKUP('Users from Visits'!A175,Visits!E:O,10,FALSE)</f>
        <v>#N/A</v>
      </c>
      <c r="C175" t="e">
        <f>VLOOKUP('Users from Visits'!A175,Visits!E:O,11,FALSE)</f>
        <v>#N/A</v>
      </c>
      <c r="D175" t="e">
        <f>VLOOKUP('Users from Visits'!A175,Visits!E:O,2,FALSE)</f>
        <v>#N/A</v>
      </c>
      <c r="E175" t="e">
        <f>VLOOKUP(A175,Users!A:A,1,FALSE)</f>
        <v>#N/A</v>
      </c>
    </row>
    <row r="176" spans="2:5" x14ac:dyDescent="0.2">
      <c r="B176" t="e">
        <f>VLOOKUP('Users from Visits'!A176,Visits!E:O,10,FALSE)</f>
        <v>#N/A</v>
      </c>
      <c r="C176" t="e">
        <f>VLOOKUP('Users from Visits'!A176,Visits!E:O,11,FALSE)</f>
        <v>#N/A</v>
      </c>
      <c r="D176" t="e">
        <f>VLOOKUP('Users from Visits'!A176,Visits!E:O,2,FALSE)</f>
        <v>#N/A</v>
      </c>
      <c r="E176" t="e">
        <f>VLOOKUP(A176,Users!A:A,1,FALSE)</f>
        <v>#N/A</v>
      </c>
    </row>
    <row r="177" spans="2:5" x14ac:dyDescent="0.2">
      <c r="B177" t="e">
        <f>VLOOKUP('Users from Visits'!A177,Visits!E:O,10,FALSE)</f>
        <v>#N/A</v>
      </c>
      <c r="C177" t="e">
        <f>VLOOKUP('Users from Visits'!A177,Visits!E:O,11,FALSE)</f>
        <v>#N/A</v>
      </c>
      <c r="D177" t="e">
        <f>VLOOKUP('Users from Visits'!A177,Visits!E:O,2,FALSE)</f>
        <v>#N/A</v>
      </c>
      <c r="E177" t="e">
        <f>VLOOKUP(A177,Users!A:A,1,FALSE)</f>
        <v>#N/A</v>
      </c>
    </row>
    <row r="178" spans="2:5" x14ac:dyDescent="0.2">
      <c r="B178" t="e">
        <f>VLOOKUP('Users from Visits'!A178,Visits!E:O,10,FALSE)</f>
        <v>#N/A</v>
      </c>
      <c r="C178" t="e">
        <f>VLOOKUP('Users from Visits'!A178,Visits!E:O,11,FALSE)</f>
        <v>#N/A</v>
      </c>
      <c r="D178" t="e">
        <f>VLOOKUP('Users from Visits'!A178,Visits!E:O,2,FALSE)</f>
        <v>#N/A</v>
      </c>
      <c r="E178" t="e">
        <f>VLOOKUP(A178,Users!A:A,1,FALSE)</f>
        <v>#N/A</v>
      </c>
    </row>
    <row r="179" spans="2:5" x14ac:dyDescent="0.2">
      <c r="B179" t="e">
        <f>VLOOKUP('Users from Visits'!A179,Visits!E:O,10,FALSE)</f>
        <v>#N/A</v>
      </c>
      <c r="C179" t="e">
        <f>VLOOKUP('Users from Visits'!A179,Visits!E:O,11,FALSE)</f>
        <v>#N/A</v>
      </c>
      <c r="D179" t="e">
        <f>VLOOKUP('Users from Visits'!A179,Visits!E:O,2,FALSE)</f>
        <v>#N/A</v>
      </c>
      <c r="E179" t="e">
        <f>VLOOKUP(A179,Users!A:A,1,FALSE)</f>
        <v>#N/A</v>
      </c>
    </row>
    <row r="180" spans="2:5" x14ac:dyDescent="0.2">
      <c r="B180" t="e">
        <f>VLOOKUP('Users from Visits'!A180,Visits!E:O,10,FALSE)</f>
        <v>#N/A</v>
      </c>
      <c r="C180" t="e">
        <f>VLOOKUP('Users from Visits'!A180,Visits!E:O,11,FALSE)</f>
        <v>#N/A</v>
      </c>
      <c r="D180" t="e">
        <f>VLOOKUP('Users from Visits'!A180,Visits!E:O,2,FALSE)</f>
        <v>#N/A</v>
      </c>
      <c r="E180" t="e">
        <f>VLOOKUP(A180,Users!A:A,1,FALSE)</f>
        <v>#N/A</v>
      </c>
    </row>
    <row r="181" spans="2:5" x14ac:dyDescent="0.2">
      <c r="B181" t="e">
        <f>VLOOKUP('Users from Visits'!A181,Visits!E:O,10,FALSE)</f>
        <v>#N/A</v>
      </c>
      <c r="C181" t="e">
        <f>VLOOKUP('Users from Visits'!A181,Visits!E:O,11,FALSE)</f>
        <v>#N/A</v>
      </c>
      <c r="D181" t="e">
        <f>VLOOKUP('Users from Visits'!A181,Visits!E:O,2,FALSE)</f>
        <v>#N/A</v>
      </c>
      <c r="E181" t="e">
        <f>VLOOKUP(A181,Users!A:A,1,FALSE)</f>
        <v>#N/A</v>
      </c>
    </row>
    <row r="182" spans="2:5" x14ac:dyDescent="0.2">
      <c r="B182" t="e">
        <f>VLOOKUP('Users from Visits'!A182,Visits!E:O,10,FALSE)</f>
        <v>#N/A</v>
      </c>
      <c r="C182" t="e">
        <f>VLOOKUP('Users from Visits'!A182,Visits!E:O,11,FALSE)</f>
        <v>#N/A</v>
      </c>
      <c r="D182" t="e">
        <f>VLOOKUP('Users from Visits'!A182,Visits!E:O,2,FALSE)</f>
        <v>#N/A</v>
      </c>
      <c r="E182" t="e">
        <f>VLOOKUP(A182,Users!A:A,1,FALSE)</f>
        <v>#N/A</v>
      </c>
    </row>
    <row r="183" spans="2:5" x14ac:dyDescent="0.2">
      <c r="B183" t="e">
        <f>VLOOKUP('Users from Visits'!A183,Visits!E:O,10,FALSE)</f>
        <v>#N/A</v>
      </c>
      <c r="C183" t="e">
        <f>VLOOKUP('Users from Visits'!A183,Visits!E:O,11,FALSE)</f>
        <v>#N/A</v>
      </c>
      <c r="D183" t="e">
        <f>VLOOKUP('Users from Visits'!A183,Visits!E:O,2,FALSE)</f>
        <v>#N/A</v>
      </c>
      <c r="E183" t="e">
        <f>VLOOKUP(A183,Users!A:A,1,FALSE)</f>
        <v>#N/A</v>
      </c>
    </row>
    <row r="184" spans="2:5" x14ac:dyDescent="0.2">
      <c r="B184" t="e">
        <f>VLOOKUP('Users from Visits'!A184,Visits!E:O,10,FALSE)</f>
        <v>#N/A</v>
      </c>
      <c r="C184" t="e">
        <f>VLOOKUP('Users from Visits'!A184,Visits!E:O,11,FALSE)</f>
        <v>#N/A</v>
      </c>
      <c r="D184" t="e">
        <f>VLOOKUP('Users from Visits'!A184,Visits!E:O,2,FALSE)</f>
        <v>#N/A</v>
      </c>
      <c r="E184" t="e">
        <f>VLOOKUP(A184,Users!A:A,1,FALSE)</f>
        <v>#N/A</v>
      </c>
    </row>
    <row r="185" spans="2:5" x14ac:dyDescent="0.2">
      <c r="B185" t="e">
        <f>VLOOKUP('Users from Visits'!A185,Visits!E:O,10,FALSE)</f>
        <v>#N/A</v>
      </c>
      <c r="C185" t="e">
        <f>VLOOKUP('Users from Visits'!A185,Visits!E:O,11,FALSE)</f>
        <v>#N/A</v>
      </c>
      <c r="D185" t="e">
        <f>VLOOKUP('Users from Visits'!A185,Visits!E:O,2,FALSE)</f>
        <v>#N/A</v>
      </c>
      <c r="E185" t="e">
        <f>VLOOKUP(A185,Users!A:A,1,FALSE)</f>
        <v>#N/A</v>
      </c>
    </row>
    <row r="186" spans="2:5" x14ac:dyDescent="0.2">
      <c r="B186" t="e">
        <f>VLOOKUP('Users from Visits'!A186,Visits!E:O,10,FALSE)</f>
        <v>#N/A</v>
      </c>
      <c r="C186" t="e">
        <f>VLOOKUP('Users from Visits'!A186,Visits!E:O,11,FALSE)</f>
        <v>#N/A</v>
      </c>
      <c r="D186" t="e">
        <f>VLOOKUP('Users from Visits'!A186,Visits!E:O,2,FALSE)</f>
        <v>#N/A</v>
      </c>
      <c r="E186" t="e">
        <f>VLOOKUP(A186,Users!A:A,1,FALSE)</f>
        <v>#N/A</v>
      </c>
    </row>
    <row r="187" spans="2:5" x14ac:dyDescent="0.2">
      <c r="B187" t="e">
        <f>VLOOKUP('Users from Visits'!A187,Visits!E:O,10,FALSE)</f>
        <v>#N/A</v>
      </c>
      <c r="C187" t="e">
        <f>VLOOKUP('Users from Visits'!A187,Visits!E:O,11,FALSE)</f>
        <v>#N/A</v>
      </c>
      <c r="D187" t="e">
        <f>VLOOKUP('Users from Visits'!A187,Visits!E:O,2,FALSE)</f>
        <v>#N/A</v>
      </c>
      <c r="E187" t="e">
        <f>VLOOKUP(A187,Users!A:A,1,FALSE)</f>
        <v>#N/A</v>
      </c>
    </row>
    <row r="188" spans="2:5" x14ac:dyDescent="0.2">
      <c r="B188" t="e">
        <f>VLOOKUP('Users from Visits'!A188,Visits!E:O,10,FALSE)</f>
        <v>#N/A</v>
      </c>
      <c r="C188" t="e">
        <f>VLOOKUP('Users from Visits'!A188,Visits!E:O,11,FALSE)</f>
        <v>#N/A</v>
      </c>
      <c r="D188" t="e">
        <f>VLOOKUP('Users from Visits'!A188,Visits!E:O,2,FALSE)</f>
        <v>#N/A</v>
      </c>
      <c r="E188" t="e">
        <f>VLOOKUP(A188,Users!A:A,1,FALSE)</f>
        <v>#N/A</v>
      </c>
    </row>
    <row r="189" spans="2:5" x14ac:dyDescent="0.2">
      <c r="B189" t="e">
        <f>VLOOKUP('Users from Visits'!A189,Visits!E:O,10,FALSE)</f>
        <v>#N/A</v>
      </c>
      <c r="C189" t="e">
        <f>VLOOKUP('Users from Visits'!A189,Visits!E:O,11,FALSE)</f>
        <v>#N/A</v>
      </c>
      <c r="D189" t="e">
        <f>VLOOKUP('Users from Visits'!A189,Visits!E:O,2,FALSE)</f>
        <v>#N/A</v>
      </c>
      <c r="E189" t="e">
        <f>VLOOKUP(A189,Users!A:A,1,FALSE)</f>
        <v>#N/A</v>
      </c>
    </row>
    <row r="190" spans="2:5" x14ac:dyDescent="0.2">
      <c r="B190" t="e">
        <f>VLOOKUP('Users from Visits'!A190,Visits!E:O,10,FALSE)</f>
        <v>#N/A</v>
      </c>
      <c r="C190" t="e">
        <f>VLOOKUP('Users from Visits'!A190,Visits!E:O,11,FALSE)</f>
        <v>#N/A</v>
      </c>
      <c r="D190" t="e">
        <f>VLOOKUP('Users from Visits'!A190,Visits!E:O,2,FALSE)</f>
        <v>#N/A</v>
      </c>
      <c r="E190" t="e">
        <f>VLOOKUP(A190,Users!A:A,1,FALSE)</f>
        <v>#N/A</v>
      </c>
    </row>
    <row r="191" spans="2:5" x14ac:dyDescent="0.2">
      <c r="B191" t="e">
        <f>VLOOKUP('Users from Visits'!A191,Visits!E:O,10,FALSE)</f>
        <v>#N/A</v>
      </c>
      <c r="C191" t="e">
        <f>VLOOKUP('Users from Visits'!A191,Visits!E:O,11,FALSE)</f>
        <v>#N/A</v>
      </c>
      <c r="D191" t="e">
        <f>VLOOKUP('Users from Visits'!A191,Visits!E:O,2,FALSE)</f>
        <v>#N/A</v>
      </c>
      <c r="E191" t="e">
        <f>VLOOKUP(A191,Users!A:A,1,FALSE)</f>
        <v>#N/A</v>
      </c>
    </row>
    <row r="192" spans="2:5" x14ac:dyDescent="0.2">
      <c r="B192" t="e">
        <f>VLOOKUP('Users from Visits'!A192,Visits!E:O,10,FALSE)</f>
        <v>#N/A</v>
      </c>
      <c r="C192" t="e">
        <f>VLOOKUP('Users from Visits'!A192,Visits!E:O,11,FALSE)</f>
        <v>#N/A</v>
      </c>
      <c r="D192" t="e">
        <f>VLOOKUP('Users from Visits'!A192,Visits!E:O,2,FALSE)</f>
        <v>#N/A</v>
      </c>
      <c r="E192" t="e">
        <f>VLOOKUP(A192,Users!A:A,1,FALSE)</f>
        <v>#N/A</v>
      </c>
    </row>
    <row r="193" spans="2:5" x14ac:dyDescent="0.2">
      <c r="B193" t="e">
        <f>VLOOKUP('Users from Visits'!A193,Visits!E:O,10,FALSE)</f>
        <v>#N/A</v>
      </c>
      <c r="C193" t="e">
        <f>VLOOKUP('Users from Visits'!A193,Visits!E:O,11,FALSE)</f>
        <v>#N/A</v>
      </c>
      <c r="D193" t="e">
        <f>VLOOKUP('Users from Visits'!A193,Visits!E:O,2,FALSE)</f>
        <v>#N/A</v>
      </c>
      <c r="E193" t="e">
        <f>VLOOKUP(A193,Users!A:A,1,FALSE)</f>
        <v>#N/A</v>
      </c>
    </row>
    <row r="194" spans="2:5" x14ac:dyDescent="0.2">
      <c r="B194" t="e">
        <f>VLOOKUP('Users from Visits'!A194,Visits!E:O,10,FALSE)</f>
        <v>#N/A</v>
      </c>
      <c r="C194" t="e">
        <f>VLOOKUP('Users from Visits'!A194,Visits!E:O,11,FALSE)</f>
        <v>#N/A</v>
      </c>
      <c r="D194" t="e">
        <f>VLOOKUP('Users from Visits'!A194,Visits!E:O,2,FALSE)</f>
        <v>#N/A</v>
      </c>
      <c r="E194" t="e">
        <f>VLOOKUP(A194,Users!A:A,1,FALSE)</f>
        <v>#N/A</v>
      </c>
    </row>
    <row r="195" spans="2:5" x14ac:dyDescent="0.2">
      <c r="B195" t="e">
        <f>VLOOKUP('Users from Visits'!A195,Visits!E:O,10,FALSE)</f>
        <v>#N/A</v>
      </c>
      <c r="C195" t="e">
        <f>VLOOKUP('Users from Visits'!A195,Visits!E:O,11,FALSE)</f>
        <v>#N/A</v>
      </c>
      <c r="D195" t="e">
        <f>VLOOKUP('Users from Visits'!A195,Visits!E:O,2,FALSE)</f>
        <v>#N/A</v>
      </c>
      <c r="E195" t="e">
        <f>VLOOKUP(A195,Users!A:A,1,FALSE)</f>
        <v>#N/A</v>
      </c>
    </row>
    <row r="196" spans="2:5" x14ac:dyDescent="0.2">
      <c r="B196" t="e">
        <f>VLOOKUP('Users from Visits'!A196,Visits!E:O,10,FALSE)</f>
        <v>#N/A</v>
      </c>
      <c r="C196" t="e">
        <f>VLOOKUP('Users from Visits'!A196,Visits!E:O,11,FALSE)</f>
        <v>#N/A</v>
      </c>
      <c r="D196" t="e">
        <f>VLOOKUP('Users from Visits'!A196,Visits!E:O,2,FALSE)</f>
        <v>#N/A</v>
      </c>
      <c r="E196" t="e">
        <f>VLOOKUP(A196,Users!A:A,1,FALSE)</f>
        <v>#N/A</v>
      </c>
    </row>
    <row r="197" spans="2:5" x14ac:dyDescent="0.2">
      <c r="B197" t="e">
        <f>VLOOKUP('Users from Visits'!A197,Visits!E:O,10,FALSE)</f>
        <v>#N/A</v>
      </c>
      <c r="C197" t="e">
        <f>VLOOKUP('Users from Visits'!A197,Visits!E:O,11,FALSE)</f>
        <v>#N/A</v>
      </c>
      <c r="D197" t="e">
        <f>VLOOKUP('Users from Visits'!A197,Visits!E:O,2,FALSE)</f>
        <v>#N/A</v>
      </c>
      <c r="E197" t="e">
        <f>VLOOKUP(A197,Users!A:A,1,FALSE)</f>
        <v>#N/A</v>
      </c>
    </row>
    <row r="198" spans="2:5" x14ac:dyDescent="0.2">
      <c r="B198" t="e">
        <f>VLOOKUP('Users from Visits'!A198,Visits!E:O,10,FALSE)</f>
        <v>#N/A</v>
      </c>
      <c r="C198" t="e">
        <f>VLOOKUP('Users from Visits'!A198,Visits!E:O,11,FALSE)</f>
        <v>#N/A</v>
      </c>
      <c r="D198" t="e">
        <f>VLOOKUP('Users from Visits'!A198,Visits!E:O,2,FALSE)</f>
        <v>#N/A</v>
      </c>
      <c r="E198" t="e">
        <f>VLOOKUP(A198,Users!A:A,1,FALSE)</f>
        <v>#N/A</v>
      </c>
    </row>
    <row r="199" spans="2:5" x14ac:dyDescent="0.2">
      <c r="B199" t="e">
        <f>VLOOKUP('Users from Visits'!A199,Visits!E:O,10,FALSE)</f>
        <v>#N/A</v>
      </c>
      <c r="C199" t="e">
        <f>VLOOKUP('Users from Visits'!A199,Visits!E:O,11,FALSE)</f>
        <v>#N/A</v>
      </c>
      <c r="D199" t="e">
        <f>VLOOKUP('Users from Visits'!A199,Visits!E:O,2,FALSE)</f>
        <v>#N/A</v>
      </c>
      <c r="E199" t="e">
        <f>VLOOKUP(A199,Users!A:A,1,FALSE)</f>
        <v>#N/A</v>
      </c>
    </row>
    <row r="200" spans="2:5" x14ac:dyDescent="0.2">
      <c r="B200" t="e">
        <f>VLOOKUP('Users from Visits'!A200,Visits!E:O,10,FALSE)</f>
        <v>#N/A</v>
      </c>
      <c r="C200" t="e">
        <f>VLOOKUP('Users from Visits'!A200,Visits!E:O,11,FALSE)</f>
        <v>#N/A</v>
      </c>
      <c r="D200" t="e">
        <f>VLOOKUP('Users from Visits'!A200,Visits!E:O,2,FALSE)</f>
        <v>#N/A</v>
      </c>
      <c r="E200" t="e">
        <f>VLOOKUP(A200,Users!A:A,1,FALSE)</f>
        <v>#N/A</v>
      </c>
    </row>
    <row r="201" spans="2:5" x14ac:dyDescent="0.2">
      <c r="B201" t="e">
        <f>VLOOKUP('Users from Visits'!A201,Visits!E:O,10,FALSE)</f>
        <v>#N/A</v>
      </c>
      <c r="C201" t="e">
        <f>VLOOKUP('Users from Visits'!A201,Visits!E:O,11,FALSE)</f>
        <v>#N/A</v>
      </c>
      <c r="D201" t="e">
        <f>VLOOKUP('Users from Visits'!A201,Visits!E:O,2,FALSE)</f>
        <v>#N/A</v>
      </c>
      <c r="E201" t="e">
        <f>VLOOKUP(A201,Users!A:A,1,FALSE)</f>
        <v>#N/A</v>
      </c>
    </row>
    <row r="202" spans="2:5" x14ac:dyDescent="0.2">
      <c r="B202" t="e">
        <f>VLOOKUP('Users from Visits'!A202,Visits!E:O,10,FALSE)</f>
        <v>#N/A</v>
      </c>
      <c r="C202" t="e">
        <f>VLOOKUP('Users from Visits'!A202,Visits!E:O,11,FALSE)</f>
        <v>#N/A</v>
      </c>
      <c r="D202" t="e">
        <f>VLOOKUP('Users from Visits'!A202,Visits!E:O,2,FALSE)</f>
        <v>#N/A</v>
      </c>
      <c r="E202" t="e">
        <f>VLOOKUP(A202,Users!A:A,1,FALSE)</f>
        <v>#N/A</v>
      </c>
    </row>
    <row r="203" spans="2:5" x14ac:dyDescent="0.2">
      <c r="B203" t="e">
        <f>VLOOKUP('Users from Visits'!A203,Visits!E:O,10,FALSE)</f>
        <v>#N/A</v>
      </c>
      <c r="C203" t="e">
        <f>VLOOKUP('Users from Visits'!A203,Visits!E:O,11,FALSE)</f>
        <v>#N/A</v>
      </c>
      <c r="D203" t="e">
        <f>VLOOKUP('Users from Visits'!A203,Visits!E:O,2,FALSE)</f>
        <v>#N/A</v>
      </c>
      <c r="E203" t="e">
        <f>VLOOKUP(A203,Users!A:A,1,FALSE)</f>
        <v>#N/A</v>
      </c>
    </row>
    <row r="204" spans="2:5" x14ac:dyDescent="0.2">
      <c r="B204" t="e">
        <f>VLOOKUP('Users from Visits'!A204,Visits!E:O,10,FALSE)</f>
        <v>#N/A</v>
      </c>
      <c r="C204" t="e">
        <f>VLOOKUP('Users from Visits'!A204,Visits!E:O,11,FALSE)</f>
        <v>#N/A</v>
      </c>
      <c r="D204" t="e">
        <f>VLOOKUP('Users from Visits'!A204,Visits!E:O,2,FALSE)</f>
        <v>#N/A</v>
      </c>
      <c r="E204" t="e">
        <f>VLOOKUP(A204,Users!A:A,1,FALSE)</f>
        <v>#N/A</v>
      </c>
    </row>
    <row r="205" spans="2:5" x14ac:dyDescent="0.2">
      <c r="B205" t="e">
        <f>VLOOKUP('Users from Visits'!A205,Visits!E:O,10,FALSE)</f>
        <v>#N/A</v>
      </c>
      <c r="C205" t="e">
        <f>VLOOKUP('Users from Visits'!A205,Visits!E:O,11,FALSE)</f>
        <v>#N/A</v>
      </c>
      <c r="D205" t="e">
        <f>VLOOKUP('Users from Visits'!A205,Visits!E:O,2,FALSE)</f>
        <v>#N/A</v>
      </c>
      <c r="E205" t="e">
        <f>VLOOKUP(A205,Users!A:A,1,FALSE)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OPERATIONS &gt;</vt:lpstr>
      <vt:lpstr>Orders</vt:lpstr>
      <vt:lpstr>Credits</vt:lpstr>
      <vt:lpstr>Manual Cleanup</vt:lpstr>
      <vt:lpstr>Membership Launch</vt:lpstr>
      <vt:lpstr>ANALYTICS &gt;</vt:lpstr>
      <vt:lpstr>Summer Challenge</vt:lpstr>
      <vt:lpstr>User Engagement</vt:lpstr>
      <vt:lpstr>New Dashboard</vt:lpstr>
      <vt:lpstr>Cohort Analysis</vt:lpstr>
      <vt:lpstr>Instructions </vt:lpstr>
      <vt:lpstr>DATABASE &gt;</vt:lpstr>
      <vt:lpstr>Sessions</vt:lpstr>
      <vt:lpstr>Users</vt:lpstr>
      <vt:lpstr>Visits</vt:lpstr>
      <vt:lpstr>Neighborhoods</vt:lpstr>
      <vt:lpstr>Manual Input</vt:lpstr>
      <vt:lpstr>Users from Visits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Vasques</dc:creator>
  <cp:keywords/>
  <dc:description/>
  <cp:lastModifiedBy>Anh Nguyen</cp:lastModifiedBy>
  <cp:revision/>
  <dcterms:created xsi:type="dcterms:W3CDTF">2024-04-09T12:36:23Z</dcterms:created>
  <dcterms:modified xsi:type="dcterms:W3CDTF">2024-08-21T15:51:14Z</dcterms:modified>
  <cp:category/>
  <cp:contentStatus/>
</cp:coreProperties>
</file>