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名为楚轩\Desktop\物理实验处理表格\"/>
    </mc:Choice>
  </mc:AlternateContent>
  <xr:revisionPtr revIDLastSave="0" documentId="13_ncr:1_{138B03FF-D358-45AC-BAD2-DA756B4159C8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2" l="1"/>
  <c r="D18" i="2" l="1"/>
  <c r="A18" i="2"/>
  <c r="B19" i="1"/>
  <c r="B20" i="1" s="1"/>
  <c r="C19" i="1"/>
  <c r="C18" i="2"/>
  <c r="B18" i="2"/>
  <c r="D10" i="2"/>
  <c r="F20" i="2" s="1"/>
  <c r="I19" i="2" s="1"/>
  <c r="C10" i="2"/>
  <c r="B10" i="2"/>
  <c r="F18" i="2" s="1"/>
  <c r="I17" i="2" s="1"/>
  <c r="B25" i="1"/>
  <c r="B24" i="1"/>
  <c r="K18" i="1"/>
  <c r="K17" i="1"/>
  <c r="E14" i="1"/>
  <c r="C7" i="2"/>
  <c r="C8" i="2" s="1"/>
  <c r="C9" i="2" s="1"/>
  <c r="D7" i="2"/>
  <c r="D8" i="2" s="1"/>
  <c r="D9" i="2" s="1"/>
  <c r="B7" i="2"/>
  <c r="B8" i="2" s="1"/>
  <c r="B9" i="2" s="1"/>
  <c r="C12" i="2" l="1"/>
  <c r="G18" i="2"/>
  <c r="J17" i="2" s="1"/>
  <c r="B19" i="2" s="1"/>
  <c r="B20" i="2" s="1"/>
  <c r="F19" i="2"/>
  <c r="I18" i="2" s="1"/>
  <c r="G19" i="2"/>
  <c r="J18" i="2" s="1"/>
  <c r="G20" i="2"/>
  <c r="J19" i="2" s="1"/>
  <c r="D23" i="2" s="1"/>
  <c r="D19" i="2"/>
  <c r="C19" i="2"/>
  <c r="D12" i="2"/>
  <c r="B14" i="1"/>
  <c r="C14" i="1"/>
  <c r="D14" i="1"/>
  <c r="A14" i="1"/>
  <c r="B6" i="1"/>
  <c r="C6" i="1"/>
  <c r="D6" i="1"/>
  <c r="E6" i="1"/>
  <c r="F6" i="1"/>
  <c r="G6" i="1"/>
  <c r="H6" i="1"/>
  <c r="I6" i="1"/>
  <c r="J6" i="1"/>
  <c r="A6" i="1"/>
  <c r="A3" i="1"/>
  <c r="B3" i="1"/>
  <c r="D3" i="1"/>
  <c r="E3" i="1"/>
  <c r="F3" i="1"/>
  <c r="G3" i="1"/>
  <c r="H3" i="1"/>
  <c r="I3" i="1"/>
  <c r="J3" i="1"/>
  <c r="C3" i="1"/>
  <c r="B23" i="2" l="1"/>
  <c r="B24" i="2" s="1"/>
  <c r="C23" i="2"/>
  <c r="C24" i="2" s="1"/>
  <c r="D24" i="2"/>
  <c r="D20" i="2"/>
  <c r="C20" i="2"/>
  <c r="J7" i="1"/>
  <c r="I7" i="1"/>
  <c r="H7" i="1"/>
  <c r="G7" i="1"/>
  <c r="F7" i="1"/>
  <c r="J8" i="1"/>
  <c r="J9" i="1" s="1"/>
  <c r="B15" i="1" s="1"/>
  <c r="J10" i="1" l="1"/>
  <c r="H15" i="1"/>
  <c r="I15" i="1" s="1"/>
</calcChain>
</file>

<file path=xl/sharedStrings.xml><?xml version="1.0" encoding="utf-8"?>
<sst xmlns="http://schemas.openxmlformats.org/spreadsheetml/2006/main" count="46" uniqueCount="39">
  <si>
    <t>D</t>
    <phoneticPr fontId="1" type="noConversion"/>
  </si>
  <si>
    <t>L</t>
    <phoneticPr fontId="1" type="noConversion"/>
  </si>
  <si>
    <t>d</t>
    <phoneticPr fontId="1" type="noConversion"/>
  </si>
  <si>
    <t>b</t>
    <phoneticPr fontId="1" type="noConversion"/>
  </si>
  <si>
    <t>E</t>
    <phoneticPr fontId="1" type="noConversion"/>
  </si>
  <si>
    <t>K</t>
    <phoneticPr fontId="1" type="noConversion"/>
  </si>
  <si>
    <t>不确定度的计算</t>
    <phoneticPr fontId="1" type="noConversion"/>
  </si>
  <si>
    <t>dL</t>
    <phoneticPr fontId="1" type="noConversion"/>
  </si>
  <si>
    <t>dd</t>
    <phoneticPr fontId="1" type="noConversion"/>
  </si>
  <si>
    <t>dD</t>
    <phoneticPr fontId="1" type="noConversion"/>
  </si>
  <si>
    <t>db</t>
    <phoneticPr fontId="1" type="noConversion"/>
  </si>
  <si>
    <t>m</t>
    <phoneticPr fontId="1" type="noConversion"/>
  </si>
  <si>
    <t>f</t>
    <phoneticPr fontId="1" type="noConversion"/>
  </si>
  <si>
    <t>dyi</t>
    <phoneticPr fontId="1" type="noConversion"/>
  </si>
  <si>
    <t>uE</t>
    <phoneticPr fontId="1" type="noConversion"/>
  </si>
  <si>
    <t>线性回归法</t>
    <phoneticPr fontId="1" type="noConversion"/>
  </si>
  <si>
    <t>T1</t>
    <phoneticPr fontId="1" type="noConversion"/>
  </si>
  <si>
    <t>不确定度</t>
    <phoneticPr fontId="1" type="noConversion"/>
  </si>
  <si>
    <t>df</t>
    <phoneticPr fontId="1" type="noConversion"/>
  </si>
  <si>
    <t>dm</t>
    <phoneticPr fontId="1" type="noConversion"/>
  </si>
  <si>
    <t>u</t>
    <phoneticPr fontId="1" type="noConversion"/>
  </si>
  <si>
    <t>u(%)</t>
    <phoneticPr fontId="1" type="noConversion"/>
  </si>
  <si>
    <t>K</t>
    <phoneticPr fontId="1" type="noConversion"/>
  </si>
  <si>
    <t>E</t>
    <phoneticPr fontId="1" type="noConversion"/>
  </si>
  <si>
    <t>作图法</t>
    <phoneticPr fontId="1" type="noConversion"/>
  </si>
  <si>
    <t>逐差法</t>
    <phoneticPr fontId="1" type="noConversion"/>
  </si>
  <si>
    <t>平均</t>
    <phoneticPr fontId="1" type="noConversion"/>
  </si>
  <si>
    <t>相对不确定度</t>
    <phoneticPr fontId="1" type="noConversion"/>
  </si>
  <si>
    <t>径长比</t>
    <phoneticPr fontId="1" type="noConversion"/>
  </si>
  <si>
    <t>f</t>
    <phoneticPr fontId="1" type="noConversion"/>
  </si>
  <si>
    <t>A类（f）</t>
    <phoneticPr fontId="1" type="noConversion"/>
  </si>
  <si>
    <t>（d）</t>
    <phoneticPr fontId="1" type="noConversion"/>
  </si>
  <si>
    <t>合成</t>
    <phoneticPr fontId="1" type="noConversion"/>
  </si>
  <si>
    <t>f</t>
    <phoneticPr fontId="1" type="noConversion"/>
  </si>
  <si>
    <t>d</t>
    <phoneticPr fontId="1" type="noConversion"/>
  </si>
  <si>
    <t>m</t>
    <phoneticPr fontId="1" type="noConversion"/>
  </si>
  <si>
    <t>L</t>
    <phoneticPr fontId="1" type="noConversion"/>
  </si>
  <si>
    <t>u</t>
    <phoneticPr fontId="1" type="noConversion"/>
  </si>
  <si>
    <t>u(%)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</si>
</sst>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0.000_ "/>
    <numFmt numFmtId="178" formatCode="0.0_ "/>
    <numFmt numFmtId="179" formatCode="0.00;_"/>
    <numFmt numFmtId="180" formatCode="0.000;_"/>
    <numFmt numFmtId="181" formatCode="0.00000E+00"/>
    <numFmt numFmtId="182" formatCode="0.00000%"/>
    <numFmt numFmtId="183" formatCode="0.0000E+00"/>
    <numFmt numFmtId="184" formatCode="0.000E+0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178" fontId="2" fillId="4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right" vertical="center"/>
    </xf>
    <xf numFmtId="11" fontId="0" fillId="6" borderId="0" xfId="0" applyNumberFormat="1" applyFill="1">
      <alignment vertical="center"/>
    </xf>
    <xf numFmtId="0" fontId="0" fillId="7" borderId="0" xfId="0" applyFill="1">
      <alignment vertical="center"/>
    </xf>
    <xf numFmtId="180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81" fontId="0" fillId="2" borderId="0" xfId="0" applyNumberFormat="1" applyFill="1">
      <alignment vertical="center"/>
    </xf>
    <xf numFmtId="181" fontId="0" fillId="0" borderId="0" xfId="0" applyNumberFormat="1" applyAlignment="1">
      <alignment horizontal="right" vertical="center"/>
    </xf>
    <xf numFmtId="182" fontId="0" fillId="2" borderId="0" xfId="0" applyNumberFormat="1" applyFill="1">
      <alignment vertical="center"/>
    </xf>
    <xf numFmtId="183" fontId="0" fillId="2" borderId="0" xfId="0" applyNumberFormat="1" applyFill="1">
      <alignment vertical="center"/>
    </xf>
    <xf numFmtId="184" fontId="0" fillId="6" borderId="0" xfId="0" applyNumberFormat="1" applyFill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80" fontId="0" fillId="0" borderId="10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80" fontId="0" fillId="0" borderId="11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184" fontId="0" fillId="0" borderId="0" xfId="0" applyNumberFormat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11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workbookViewId="0">
      <selection activeCell="B15" sqref="B15"/>
    </sheetView>
  </sheetViews>
  <sheetFormatPr defaultRowHeight="13.5" x14ac:dyDescent="0.15"/>
  <cols>
    <col min="1" max="3" width="12.75" bestFit="1" customWidth="1"/>
    <col min="4" max="9" width="11.625" bestFit="1" customWidth="1"/>
    <col min="10" max="10" width="14.875" customWidth="1"/>
  </cols>
  <sheetData>
    <row r="1" spans="1:12" x14ac:dyDescent="0.15">
      <c r="A1" s="52" t="s">
        <v>25</v>
      </c>
      <c r="B1" s="52"/>
    </row>
    <row r="2" spans="1:12" x14ac:dyDescent="0.15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t="s">
        <v>0</v>
      </c>
      <c r="L2" s="1">
        <v>1676.5</v>
      </c>
    </row>
    <row r="3" spans="1:12" ht="14.25" thickBot="1" x14ac:dyDescent="0.2">
      <c r="A3" s="2">
        <f t="shared" ref="A3:B3" si="0">A2*9.8</f>
        <v>0</v>
      </c>
      <c r="B3" s="2">
        <f t="shared" si="0"/>
        <v>9.8000000000000007</v>
      </c>
      <c r="C3" s="2">
        <f>C2*9.8</f>
        <v>19.600000000000001</v>
      </c>
      <c r="D3" s="2">
        <f t="shared" ref="D3:J3" si="1">D2*9.8</f>
        <v>29.400000000000002</v>
      </c>
      <c r="E3" s="2">
        <f t="shared" si="1"/>
        <v>39.200000000000003</v>
      </c>
      <c r="F3" s="2">
        <f t="shared" si="1"/>
        <v>49</v>
      </c>
      <c r="G3" s="2">
        <f t="shared" si="1"/>
        <v>58.800000000000004</v>
      </c>
      <c r="H3" s="2">
        <f t="shared" si="1"/>
        <v>68.600000000000009</v>
      </c>
      <c r="I3" s="2">
        <f t="shared" si="1"/>
        <v>78.400000000000006</v>
      </c>
      <c r="J3" s="2">
        <f t="shared" si="1"/>
        <v>88.2</v>
      </c>
      <c r="K3" t="s">
        <v>1</v>
      </c>
      <c r="L3" s="1">
        <v>828.5</v>
      </c>
    </row>
    <row r="4" spans="1:12" ht="14.25" thickTop="1" x14ac:dyDescent="0.15">
      <c r="A4" s="22">
        <v>90</v>
      </c>
      <c r="B4" s="23">
        <v>98.9</v>
      </c>
      <c r="C4" s="23">
        <v>107.8</v>
      </c>
      <c r="D4" s="23">
        <v>116.2</v>
      </c>
      <c r="E4" s="23">
        <v>125.5</v>
      </c>
      <c r="F4" s="23">
        <v>134.19999999999999</v>
      </c>
      <c r="G4" s="23">
        <v>143.1</v>
      </c>
      <c r="H4" s="23">
        <v>151.6</v>
      </c>
      <c r="I4" s="23">
        <v>160.80000000000001</v>
      </c>
      <c r="J4" s="24">
        <v>169.3</v>
      </c>
      <c r="K4" t="s">
        <v>2</v>
      </c>
      <c r="L4" s="6">
        <v>0.504</v>
      </c>
    </row>
    <row r="5" spans="1:12" ht="14.25" thickBot="1" x14ac:dyDescent="0.2">
      <c r="A5" s="25">
        <v>91.2</v>
      </c>
      <c r="B5" s="26">
        <v>99.7</v>
      </c>
      <c r="C5" s="26">
        <v>109.1</v>
      </c>
      <c r="D5" s="26">
        <v>117.4</v>
      </c>
      <c r="E5" s="26">
        <v>127.6</v>
      </c>
      <c r="F5" s="26">
        <v>135.80000000000001</v>
      </c>
      <c r="G5" s="26">
        <v>145</v>
      </c>
      <c r="H5" s="26">
        <v>152.30000000000001</v>
      </c>
      <c r="I5" s="26">
        <v>162.69999999999999</v>
      </c>
      <c r="J5" s="27">
        <v>169.3</v>
      </c>
      <c r="K5" t="s">
        <v>3</v>
      </c>
      <c r="L5" s="2">
        <v>77</v>
      </c>
    </row>
    <row r="6" spans="1:12" ht="14.25" thickTop="1" x14ac:dyDescent="0.15">
      <c r="A6" s="3">
        <f>(A4+A5)/2</f>
        <v>90.6</v>
      </c>
      <c r="B6" s="3">
        <f t="shared" ref="B6:J6" si="2">(B4+B5)/2</f>
        <v>99.300000000000011</v>
      </c>
      <c r="C6" s="3">
        <f t="shared" si="2"/>
        <v>108.44999999999999</v>
      </c>
      <c r="D6" s="3">
        <f t="shared" si="2"/>
        <v>116.80000000000001</v>
      </c>
      <c r="E6" s="3">
        <f t="shared" si="2"/>
        <v>126.55</v>
      </c>
      <c r="F6" s="3">
        <f t="shared" si="2"/>
        <v>135</v>
      </c>
      <c r="G6" s="3">
        <f t="shared" si="2"/>
        <v>144.05000000000001</v>
      </c>
      <c r="H6" s="3">
        <f t="shared" si="2"/>
        <v>151.94999999999999</v>
      </c>
      <c r="I6" s="3">
        <f t="shared" si="2"/>
        <v>161.75</v>
      </c>
      <c r="J6" s="3">
        <f t="shared" si="2"/>
        <v>169.3</v>
      </c>
    </row>
    <row r="7" spans="1:12" x14ac:dyDescent="0.15">
      <c r="F7" s="4">
        <f>F6-A6</f>
        <v>44.400000000000006</v>
      </c>
      <c r="G7" s="4">
        <f t="shared" ref="G7:J7" si="3">G6-B6</f>
        <v>44.75</v>
      </c>
      <c r="H7" s="4">
        <f t="shared" si="3"/>
        <v>43.5</v>
      </c>
      <c r="I7" s="4">
        <f t="shared" si="3"/>
        <v>44.949999999999989</v>
      </c>
      <c r="J7" s="4">
        <f t="shared" si="3"/>
        <v>42.750000000000014</v>
      </c>
    </row>
    <row r="8" spans="1:12" x14ac:dyDescent="0.15">
      <c r="J8" s="5">
        <f>AVERAGE(F7:J7)</f>
        <v>44.070000000000007</v>
      </c>
    </row>
    <row r="9" spans="1:12" x14ac:dyDescent="0.15">
      <c r="I9" s="10" t="s">
        <v>5</v>
      </c>
      <c r="J9" s="7">
        <f>J8/(5*9.8)</f>
        <v>0.89938775510204094</v>
      </c>
    </row>
    <row r="10" spans="1:12" x14ac:dyDescent="0.15">
      <c r="I10" s="10" t="s">
        <v>4</v>
      </c>
      <c r="J10" s="19">
        <f>8*L2*L3*10^3/(3.1415926*L4^2*L5*J9)*10^3</f>
        <v>201065437726.48749</v>
      </c>
    </row>
    <row r="11" spans="1:12" x14ac:dyDescent="0.15">
      <c r="A11" s="52" t="s">
        <v>6</v>
      </c>
      <c r="B11" s="52"/>
    </row>
    <row r="12" spans="1:12" x14ac:dyDescent="0.15">
      <c r="A12" s="1" t="s">
        <v>7</v>
      </c>
      <c r="B12" s="1" t="s">
        <v>8</v>
      </c>
      <c r="C12" s="1" t="s">
        <v>9</v>
      </c>
      <c r="D12" s="1" t="s">
        <v>10</v>
      </c>
      <c r="E12" s="1" t="s">
        <v>13</v>
      </c>
    </row>
    <row r="13" spans="1:12" x14ac:dyDescent="0.15">
      <c r="A13" s="1">
        <v>6</v>
      </c>
      <c r="B13" s="1">
        <v>4.0000000000000001E-3</v>
      </c>
      <c r="C13" s="1">
        <v>6</v>
      </c>
      <c r="D13" s="1">
        <v>1</v>
      </c>
      <c r="E13" s="1">
        <v>1</v>
      </c>
    </row>
    <row r="14" spans="1:12" x14ac:dyDescent="0.15">
      <c r="A14">
        <f>A13/SQRT(3)</f>
        <v>3.4641016151377548</v>
      </c>
      <c r="B14">
        <f t="shared" ref="B14:E14" si="4">B13/SQRT(3)</f>
        <v>2.3094010767585032E-3</v>
      </c>
      <c r="C14">
        <f t="shared" si="4"/>
        <v>3.4641016151377548</v>
      </c>
      <c r="D14">
        <f t="shared" si="4"/>
        <v>0.57735026918962584</v>
      </c>
      <c r="E14">
        <f t="shared" si="4"/>
        <v>0.57735026918962584</v>
      </c>
    </row>
    <row r="15" spans="1:12" x14ac:dyDescent="0.15">
      <c r="A15" s="10" t="s">
        <v>14</v>
      </c>
      <c r="B15" s="11">
        <f>SQRT(L3^2*C14^2+L2^2*A14^2+4*L2^2*L3^2*B14^2/L4^2+L2^2*L3^2*D14^2/L5^2+L2^2*L3^2*(E14/9.8)^2/J9^2)*8*10^6/(3.14159*L4^2*L5*J9)</f>
        <v>13416818965.33201</v>
      </c>
      <c r="G15" t="s">
        <v>27</v>
      </c>
      <c r="H15">
        <f>SQRT(C14^2/L2^2+A14^2/L3^2+E14^2/(J8/5)^2+D14^2/L5^2+4*B14^2/L4^2)</f>
        <v>6.6728563661682172E-2</v>
      </c>
      <c r="I15" s="46">
        <f>H15*J10</f>
        <v>13416807861.495913</v>
      </c>
    </row>
    <row r="16" spans="1:12" x14ac:dyDescent="0.15">
      <c r="A16" s="52" t="s">
        <v>15</v>
      </c>
      <c r="B16" s="52"/>
      <c r="K16" t="s">
        <v>26</v>
      </c>
    </row>
    <row r="17" spans="1:11" x14ac:dyDescent="0.15">
      <c r="A17" s="2">
        <v>0</v>
      </c>
      <c r="B17" s="2">
        <v>9.8000000000000007</v>
      </c>
      <c r="C17" s="2">
        <v>19.600000000000001</v>
      </c>
      <c r="D17" s="2">
        <v>29.400000000000002</v>
      </c>
      <c r="E17" s="2">
        <v>39.200000000000003</v>
      </c>
      <c r="F17" s="2">
        <v>49</v>
      </c>
      <c r="G17" s="2">
        <v>58.800000000000004</v>
      </c>
      <c r="H17" s="2">
        <v>68.600000000000009</v>
      </c>
      <c r="I17" s="2">
        <v>78.400000000000006</v>
      </c>
      <c r="J17" s="2">
        <v>88.2</v>
      </c>
      <c r="K17" s="20">
        <f>AVERAGE(A17:J17)</f>
        <v>44.100000000000009</v>
      </c>
    </row>
    <row r="18" spans="1:11" x14ac:dyDescent="0.15">
      <c r="A18" s="28">
        <v>90.6</v>
      </c>
      <c r="B18" s="29">
        <v>99.300000000000011</v>
      </c>
      <c r="C18" s="29">
        <v>108.44999999999999</v>
      </c>
      <c r="D18" s="29">
        <v>116.80000000000001</v>
      </c>
      <c r="E18" s="29">
        <v>126.55</v>
      </c>
      <c r="F18" s="29">
        <v>135</v>
      </c>
      <c r="G18" s="29">
        <v>144.05000000000001</v>
      </c>
      <c r="H18" s="29">
        <v>151.94999999999999</v>
      </c>
      <c r="I18" s="29">
        <v>161.75</v>
      </c>
      <c r="J18" s="30">
        <v>169.3</v>
      </c>
      <c r="K18" s="20">
        <f>AVERAGE(A18:J18)</f>
        <v>130.375</v>
      </c>
    </row>
    <row r="19" spans="1:11" x14ac:dyDescent="0.15">
      <c r="A19" s="10" t="s">
        <v>5</v>
      </c>
      <c r="B19" s="9">
        <f>SLOPE(A18:J18,A17:J17)</f>
        <v>0.89867037724180587</v>
      </c>
      <c r="C19">
        <f>INTERCEPT(A18:J18,A17:J17)</f>
        <v>90.743636363636355</v>
      </c>
    </row>
    <row r="20" spans="1:11" x14ac:dyDescent="0.15">
      <c r="A20" s="10" t="s">
        <v>4</v>
      </c>
      <c r="B20" s="12">
        <f>8*L2*L3*10^3/(3.1415926*L4^2*L5*B19)*10^3</f>
        <v>201225941396.28259</v>
      </c>
    </row>
    <row r="23" spans="1:11" x14ac:dyDescent="0.15">
      <c r="A23" s="52" t="s">
        <v>24</v>
      </c>
      <c r="B23" s="52"/>
    </row>
    <row r="24" spans="1:11" x14ac:dyDescent="0.15">
      <c r="A24" s="10" t="s">
        <v>22</v>
      </c>
      <c r="B24" s="21">
        <f>(F18-A18)/(F17-A17)</f>
        <v>0.90612244897959193</v>
      </c>
    </row>
    <row r="25" spans="1:11" x14ac:dyDescent="0.15">
      <c r="A25" s="10" t="s">
        <v>23</v>
      </c>
      <c r="B25" s="8">
        <f>8*L2*L3*10^3/(3.1415926*L4^2*L5*B24)*10^3</f>
        <v>199571032446.08792</v>
      </c>
    </row>
  </sheetData>
  <mergeCells count="4">
    <mergeCell ref="A11:B11"/>
    <mergeCell ref="A16:B16"/>
    <mergeCell ref="A23:B23"/>
    <mergeCell ref="A1:B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abSelected="1" workbookViewId="0">
      <selection activeCell="B10" sqref="B10"/>
    </sheetView>
  </sheetViews>
  <sheetFormatPr defaultRowHeight="13.5" x14ac:dyDescent="0.15"/>
  <cols>
    <col min="1" max="1" width="12.75" bestFit="1" customWidth="1"/>
    <col min="2" max="2" width="12.875" bestFit="1" customWidth="1"/>
    <col min="3" max="4" width="12.75" bestFit="1" customWidth="1"/>
  </cols>
  <sheetData>
    <row r="1" spans="1:12" ht="14.25" thickTop="1" x14ac:dyDescent="0.15">
      <c r="A1" s="10" t="s">
        <v>1</v>
      </c>
      <c r="B1" s="31">
        <v>200</v>
      </c>
      <c r="C1" s="32">
        <v>200010</v>
      </c>
      <c r="D1" s="33">
        <v>200.06</v>
      </c>
      <c r="F1" t="s">
        <v>29</v>
      </c>
      <c r="G1" s="47">
        <v>569</v>
      </c>
      <c r="H1" s="47">
        <v>567</v>
      </c>
      <c r="I1" s="47">
        <v>667</v>
      </c>
    </row>
    <row r="2" spans="1:12" x14ac:dyDescent="0.15">
      <c r="A2" s="10" t="s">
        <v>11</v>
      </c>
      <c r="B2" s="34">
        <v>29.8</v>
      </c>
      <c r="C2" s="35">
        <v>10.75</v>
      </c>
      <c r="D2" s="36">
        <v>15</v>
      </c>
      <c r="G2" s="48">
        <v>570</v>
      </c>
      <c r="H2" s="48">
        <v>568</v>
      </c>
      <c r="I2" s="48">
        <v>664</v>
      </c>
    </row>
    <row r="3" spans="1:12" x14ac:dyDescent="0.15">
      <c r="A3" s="10"/>
      <c r="B3" s="37"/>
      <c r="C3" s="38"/>
      <c r="D3" s="39"/>
      <c r="G3">
        <v>568</v>
      </c>
      <c r="H3">
        <v>566</v>
      </c>
      <c r="I3">
        <v>666</v>
      </c>
    </row>
    <row r="4" spans="1:12" x14ac:dyDescent="0.15">
      <c r="A4" s="10"/>
      <c r="B4" s="40">
        <v>5.94</v>
      </c>
      <c r="C4" s="41">
        <v>4.95</v>
      </c>
      <c r="D4" s="42">
        <v>5.87</v>
      </c>
      <c r="G4" s="49">
        <v>567</v>
      </c>
      <c r="H4" s="49">
        <v>569</v>
      </c>
      <c r="I4" s="49">
        <v>665</v>
      </c>
    </row>
    <row r="5" spans="1:12" x14ac:dyDescent="0.15">
      <c r="A5" s="10"/>
      <c r="B5" s="40">
        <v>5.95</v>
      </c>
      <c r="C5" s="41">
        <v>4.9829999999999997</v>
      </c>
      <c r="D5" s="42">
        <v>5.8639999999999999</v>
      </c>
    </row>
    <row r="6" spans="1:12" ht="14.25" thickBot="1" x14ac:dyDescent="0.2">
      <c r="A6" s="10"/>
      <c r="B6" s="43">
        <v>5.96</v>
      </c>
      <c r="C6" s="44">
        <v>4.9829999999999997</v>
      </c>
      <c r="D6" s="45">
        <v>5.8730000000000002</v>
      </c>
    </row>
    <row r="7" spans="1:12" ht="14.25" thickTop="1" x14ac:dyDescent="0.15">
      <c r="A7" s="10" t="s">
        <v>2</v>
      </c>
      <c r="B7" s="13">
        <f>AVERAGE(B4:B6)</f>
        <v>5.95</v>
      </c>
      <c r="C7" s="13">
        <f t="shared" ref="C7:D7" si="0">AVERAGE(C4:C6)</f>
        <v>4.9720000000000004</v>
      </c>
      <c r="D7" s="13">
        <f t="shared" si="0"/>
        <v>5.8689999999999998</v>
      </c>
    </row>
    <row r="8" spans="1:12" x14ac:dyDescent="0.15">
      <c r="A8" s="10" t="s">
        <v>28</v>
      </c>
      <c r="B8">
        <f>B7/B1</f>
        <v>2.9750000000000002E-2</v>
      </c>
      <c r="C8">
        <f t="shared" ref="C8:D8" si="1">C7/C1</f>
        <v>2.4858757062146894E-5</v>
      </c>
      <c r="D8">
        <f t="shared" si="1"/>
        <v>2.933619914025792E-2</v>
      </c>
    </row>
    <row r="9" spans="1:12" x14ac:dyDescent="0.15">
      <c r="A9" s="10" t="s">
        <v>16</v>
      </c>
      <c r="B9">
        <f>(B8-0.02)/0.01*0.006+1.002</f>
        <v>1.0078499999999999</v>
      </c>
      <c r="C9">
        <f t="shared" ref="C9:D9" si="2">(C8-0.02)/0.01*0.006+1.002</f>
        <v>0.99001491525423724</v>
      </c>
      <c r="D9">
        <f t="shared" si="2"/>
        <v>1.0076017194841547</v>
      </c>
    </row>
    <row r="10" spans="1:12" x14ac:dyDescent="0.15">
      <c r="A10" s="10" t="s">
        <v>12</v>
      </c>
      <c r="B10" s="14">
        <f>AVERAGE(G1:G4)</f>
        <v>568.5</v>
      </c>
      <c r="C10" s="14">
        <f>AVERAGE(H1:H4)</f>
        <v>567.5</v>
      </c>
      <c r="D10" s="14">
        <f>AVERAGE(I1:I4)</f>
        <v>665.5</v>
      </c>
    </row>
    <row r="12" spans="1:12" x14ac:dyDescent="0.15">
      <c r="A12" s="10" t="s">
        <v>4</v>
      </c>
      <c r="B12" s="8">
        <f>1.6067*B1^3*B2*B10^2/B7^4*B9</f>
        <v>99547422581.246429</v>
      </c>
      <c r="C12" s="18">
        <f>1.6067*C1^3*C2*C10^2/C7^4*C9</f>
        <v>7.2102010850996085E+19</v>
      </c>
      <c r="D12" s="18">
        <f t="shared" ref="D12" si="3">1.6067*D1^3*D2*D10^2/D7^4*D9</f>
        <v>72583085766.856171</v>
      </c>
    </row>
    <row r="15" spans="1:12" x14ac:dyDescent="0.15">
      <c r="A15" t="s">
        <v>17</v>
      </c>
      <c r="I15" t="s">
        <v>32</v>
      </c>
    </row>
    <row r="16" spans="1:12" x14ac:dyDescent="0.15">
      <c r="A16" s="1" t="s">
        <v>18</v>
      </c>
      <c r="B16" s="1" t="s">
        <v>19</v>
      </c>
      <c r="C16" s="1" t="s">
        <v>7</v>
      </c>
      <c r="D16" s="1" t="s">
        <v>8</v>
      </c>
      <c r="I16" t="s">
        <v>33</v>
      </c>
      <c r="J16" t="s">
        <v>34</v>
      </c>
      <c r="K16" t="s">
        <v>35</v>
      </c>
      <c r="L16" t="s">
        <v>36</v>
      </c>
    </row>
    <row r="17" spans="1:12" x14ac:dyDescent="0.15">
      <c r="A17" s="1">
        <v>2</v>
      </c>
      <c r="B17" s="1">
        <v>0.02</v>
      </c>
      <c r="C17" s="1">
        <v>0.02</v>
      </c>
      <c r="D17" s="1">
        <v>4.0000000000000001E-3</v>
      </c>
      <c r="F17" t="s">
        <v>30</v>
      </c>
      <c r="G17" t="s">
        <v>31</v>
      </c>
      <c r="I17">
        <f>SQRT(F18^2+A18^2)</f>
        <v>1.1902380714238083</v>
      </c>
      <c r="J17">
        <f>SQRT(G18^2+D18^2)</f>
        <v>6.1101009266076702E-3</v>
      </c>
      <c r="K17">
        <v>0.01</v>
      </c>
      <c r="L17">
        <v>0.01</v>
      </c>
    </row>
    <row r="18" spans="1:12" x14ac:dyDescent="0.15">
      <c r="A18" s="1">
        <f>A17/2</f>
        <v>1</v>
      </c>
      <c r="B18" s="1">
        <f>B17/2</f>
        <v>0.01</v>
      </c>
      <c r="C18" s="1">
        <f>C17/2</f>
        <v>0.01</v>
      </c>
      <c r="D18" s="1">
        <f>D17/2</f>
        <v>2E-3</v>
      </c>
      <c r="F18">
        <f>SQRT(((G1-B10)^2+(G2-B10)^2+(G3-B10)^2+(G4-B10)^2)/12)</f>
        <v>0.6454972243679028</v>
      </c>
      <c r="G18">
        <f>SQRT(((B4-B7)^2+(B5-B7)^2+(B6-B7)^2)/6)</f>
        <v>5.7735026918961348E-3</v>
      </c>
      <c r="I18">
        <f>SQRT(F19^2+A18^2)</f>
        <v>1.1902380714238083</v>
      </c>
      <c r="J18">
        <f>SQRT(G19^2+D18^2)</f>
        <v>1.1180339887498777E-2</v>
      </c>
    </row>
    <row r="19" spans="1:12" x14ac:dyDescent="0.15">
      <c r="A19" s="16" t="s">
        <v>20</v>
      </c>
      <c r="B19" s="15">
        <f>SQRT(9*B2^2*B10^2*L17^2+B1^2*B10^2*K17^2+4*B1^2*B2^2*I17^2+25^2*B1^2*B2^2*B10^2/B7^2*J17^2)*1.6067*B10*B1^2*B9/B7^4</f>
        <v>2589679266.5747838</v>
      </c>
      <c r="C19" s="15">
        <f>SQRT(9*C2^2*C10^2*C18^2+C1^2*C10^2*B18^2+4*C1^2*C2^2*A18^2+25^2*C1^2*C2^2*C10^2/C7^2*D18^2)*1.6067*C10*C1^2*C9/C7^4</f>
        <v>7.7123878731224602E+17</v>
      </c>
      <c r="D19" s="15">
        <f>SQRT(9*D2^2*D10^2*C18^2+D1^2*D10^2*B18^2+4*D1^2*D2^2*A18^2+25^2*D1^2*D2^2*D10^2/D7^2*D18^2)*1.6067*D10*D1^2*D9/D7^4</f>
        <v>657578919.21081579</v>
      </c>
      <c r="F19">
        <f>SQRT(((H1-C10)^2+(H2-C10)^2+(H3-C10)^2+(H4-C10)^2)/12)</f>
        <v>0.6454972243679028</v>
      </c>
      <c r="G19">
        <f>SQRT(((C4-C7)^2+(C5-C7)^2+(C6-C7)^2)/6)</f>
        <v>1.0999999999999826E-2</v>
      </c>
      <c r="I19">
        <f>SQRT(F20^2+A18^1)</f>
        <v>1.1902380714238083</v>
      </c>
      <c r="J19">
        <f>SQRT(G20^2+D18^2)</f>
        <v>3.3166247903554801E-3</v>
      </c>
    </row>
    <row r="20" spans="1:12" x14ac:dyDescent="0.15">
      <c r="A20" s="10" t="s">
        <v>21</v>
      </c>
      <c r="B20" s="17">
        <f>B19/B12</f>
        <v>2.6014528547549248E-2</v>
      </c>
      <c r="C20" s="17">
        <f t="shared" ref="C20:D20" si="4">C19/C12</f>
        <v>1.069649484403515E-2</v>
      </c>
      <c r="D20" s="17">
        <f t="shared" si="4"/>
        <v>9.0596715786240099E-3</v>
      </c>
      <c r="F20">
        <f>SQRT(((I1-D10)^2+(I2-D10)^2+(I3-D10)^2+(I4-D10)^2)/12)</f>
        <v>0.6454972243679028</v>
      </c>
      <c r="G20">
        <f>SQRT(((D4-D7)^2+(D6-D7)^2+(D5-D7)^2)/6)</f>
        <v>2.6457513110646909E-3</v>
      </c>
    </row>
    <row r="23" spans="1:12" x14ac:dyDescent="0.15">
      <c r="A23" s="10" t="s">
        <v>38</v>
      </c>
      <c r="B23">
        <f>SQRT(9*(L17/B1)^2+(K17/B2)^2+4*(I17/B10)^2+16*(J17/B7)^2)</f>
        <v>5.8771730176426637E-3</v>
      </c>
      <c r="C23">
        <f>SQRT(9*(L17/C1)^2+(K17/C2)^2+4*(I18/C10)^2+16*(J18/C7)^2)</f>
        <v>9.9681585864843936E-3</v>
      </c>
      <c r="D23">
        <f>SQRT(9*(L17/D1)^2+(K17/D2)^2+4*(I19/D10)^2+16*(J19/D7)^2)</f>
        <v>4.2861689757710828E-3</v>
      </c>
    </row>
    <row r="24" spans="1:12" x14ac:dyDescent="0.15">
      <c r="A24" s="10" t="s">
        <v>37</v>
      </c>
      <c r="B24" s="50">
        <f>B23*B12</f>
        <v>585057425.97037351</v>
      </c>
      <c r="C24" s="51">
        <f>C23*C12</f>
        <v>7.1872427856714752E+17</v>
      </c>
      <c r="D24" s="51">
        <f>D23*D12</f>
        <v>311103370.37963057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名为楚轩</cp:lastModifiedBy>
  <dcterms:created xsi:type="dcterms:W3CDTF">2010-10-18T13:11:48Z</dcterms:created>
  <dcterms:modified xsi:type="dcterms:W3CDTF">2019-05-26T15:17:57Z</dcterms:modified>
</cp:coreProperties>
</file>