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thoni\Downloads\"/>
    </mc:Choice>
  </mc:AlternateContent>
  <xr:revisionPtr revIDLastSave="0" documentId="13_ncr:1_{668465C7-5C03-42C9-98FA-9CCDC0E912F0}" xr6:coauthVersionLast="47" xr6:coauthVersionMax="47" xr10:uidLastSave="{00000000-0000-0000-0000-000000000000}"/>
  <bookViews>
    <workbookView xWindow="-108" yWindow="-108" windowWidth="23256" windowHeight="12576" tabRatio="114" activeTab="11" xr2:uid="{3D97A436-ED96-4BA6-A331-E1AAA08FD21D}"/>
  </bookViews>
  <sheets>
    <sheet name="CAPA" sheetId="31" r:id="rId1"/>
    <sheet name="Instruções" sheetId="32" r:id="rId2"/>
    <sheet name="PROD" sheetId="28" r:id="rId3"/>
    <sheet name="FORN" sheetId="29" r:id="rId4"/>
    <sheet name="LOJAS" sheetId="30" r:id="rId5"/>
    <sheet name="ENTRADAS" sheetId="22" r:id="rId6"/>
    <sheet name="SAÍDAS" sheetId="26" r:id="rId7"/>
    <sheet name="CONT. ESTOQUE" sheetId="27" r:id="rId8"/>
    <sheet name="DASH VG" sheetId="34" r:id="rId9"/>
    <sheet name="DASH ESTOQUE" sheetId="35" r:id="rId10"/>
    <sheet name="DASH RESULTADOS" sheetId="36" r:id="rId11"/>
    <sheet name="Auxiliar" sheetId="33" r:id="rId12"/>
  </sheets>
  <definedNames>
    <definedName name="LISTA_FORNECEDORES">INDIRECT("FORNECEDORES[Empresa]")</definedName>
    <definedName name="LISTA_LOJAS">INDIRECT("LOJAS[Loja]")</definedName>
    <definedName name="LISTA_PRODUTOS">INDIRECT("PRODUTO[Item]")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6" i="33" l="1"/>
  <c r="C65" i="33"/>
  <c r="C64" i="33"/>
  <c r="C63" i="33"/>
  <c r="C62" i="33"/>
  <c r="C61" i="33"/>
  <c r="C60" i="33"/>
  <c r="C59" i="33"/>
  <c r="F4" i="33" l="1"/>
  <c r="I20" i="33" s="1"/>
  <c r="C2" i="33"/>
  <c r="C38" i="33"/>
  <c r="F40" i="33"/>
  <c r="B43" i="33" s="1"/>
  <c r="I40" i="33" l="1"/>
  <c r="C43" i="33"/>
  <c r="B53" i="33"/>
  <c r="B49" i="33"/>
  <c r="B45" i="33"/>
  <c r="C45" i="33" s="1"/>
  <c r="B54" i="33"/>
  <c r="B50" i="33"/>
  <c r="B46" i="33"/>
  <c r="B52" i="33"/>
  <c r="B48" i="33"/>
  <c r="B44" i="33"/>
  <c r="C44" i="33" s="1"/>
  <c r="B51" i="33"/>
  <c r="B47" i="33"/>
  <c r="I4" i="33"/>
  <c r="C47" i="33" l="1"/>
  <c r="D47" i="33"/>
  <c r="C52" i="33"/>
  <c r="D52" i="33"/>
  <c r="E52" i="33" s="1"/>
  <c r="C48" i="33"/>
  <c r="D48" i="33"/>
  <c r="D54" i="33"/>
  <c r="C54" i="33"/>
  <c r="E54" i="33" s="1"/>
  <c r="C51" i="33"/>
  <c r="D51" i="33"/>
  <c r="E51" i="33" s="1"/>
  <c r="D46" i="33"/>
  <c r="C46" i="33"/>
  <c r="E46" i="33" s="1"/>
  <c r="D49" i="33"/>
  <c r="C49" i="33"/>
  <c r="D50" i="33"/>
  <c r="C50" i="33"/>
  <c r="E50" i="33" s="1"/>
  <c r="D53" i="33"/>
  <c r="C53" i="33"/>
  <c r="E48" i="33"/>
  <c r="E47" i="33"/>
  <c r="E53" i="33" l="1"/>
  <c r="E49" i="33"/>
  <c r="B35" i="33"/>
  <c r="B34" i="33"/>
  <c r="B33" i="33"/>
  <c r="B32" i="33"/>
  <c r="B31" i="33"/>
  <c r="B30" i="33"/>
  <c r="B29" i="33"/>
  <c r="B28" i="33"/>
  <c r="B27" i="33"/>
  <c r="B26" i="33"/>
  <c r="B25" i="33"/>
  <c r="B24" i="33"/>
  <c r="F4" i="27"/>
  <c r="H68" i="26"/>
  <c r="H69" i="26"/>
  <c r="H70" i="26"/>
  <c r="H71" i="26"/>
  <c r="H72" i="26"/>
  <c r="H73" i="26"/>
  <c r="H74" i="26"/>
  <c r="H75" i="26"/>
  <c r="H76" i="26"/>
  <c r="J68" i="26"/>
  <c r="K68" i="26" s="1"/>
  <c r="J69" i="26"/>
  <c r="J70" i="26"/>
  <c r="J71" i="26"/>
  <c r="K71" i="26" s="1"/>
  <c r="J72" i="26"/>
  <c r="K72" i="26" s="1"/>
  <c r="J73" i="26"/>
  <c r="K73" i="26" s="1"/>
  <c r="J74" i="26"/>
  <c r="J75" i="26"/>
  <c r="K75" i="26" s="1"/>
  <c r="J76" i="26"/>
  <c r="K69" i="26"/>
  <c r="H67" i="26"/>
  <c r="J67" i="26"/>
  <c r="F49" i="22"/>
  <c r="G49" i="22" s="1"/>
  <c r="F50" i="22"/>
  <c r="G50" i="22" s="1"/>
  <c r="F51" i="22"/>
  <c r="G51" i="22" s="1"/>
  <c r="F52" i="22"/>
  <c r="G52" i="22" s="1"/>
  <c r="F53" i="22"/>
  <c r="G53" i="22" s="1"/>
  <c r="F54" i="22"/>
  <c r="G54" i="22" s="1"/>
  <c r="F55" i="22"/>
  <c r="G55" i="22" s="1"/>
  <c r="F56" i="22"/>
  <c r="G56" i="22" s="1"/>
  <c r="F57" i="22"/>
  <c r="G57" i="22" s="1"/>
  <c r="F48" i="22"/>
  <c r="G48" i="22" s="1"/>
  <c r="B8" i="33"/>
  <c r="B9" i="33"/>
  <c r="B10" i="33"/>
  <c r="B11" i="33"/>
  <c r="B12" i="33"/>
  <c r="B13" i="33"/>
  <c r="B14" i="33"/>
  <c r="B15" i="33"/>
  <c r="B16" i="33"/>
  <c r="B17" i="33"/>
  <c r="B18" i="33"/>
  <c r="B7" i="33"/>
  <c r="H57" i="26"/>
  <c r="H58" i="26"/>
  <c r="H59" i="26"/>
  <c r="H60" i="26"/>
  <c r="H61" i="26"/>
  <c r="H62" i="26"/>
  <c r="H63" i="26"/>
  <c r="H64" i="26"/>
  <c r="H65" i="26"/>
  <c r="H66" i="26"/>
  <c r="J57" i="26"/>
  <c r="K57" i="26" s="1"/>
  <c r="J58" i="26"/>
  <c r="K58" i="26" s="1"/>
  <c r="J59" i="26"/>
  <c r="J60" i="26"/>
  <c r="J61" i="26"/>
  <c r="J62" i="26"/>
  <c r="K62" i="26" s="1"/>
  <c r="J63" i="26"/>
  <c r="J64" i="26"/>
  <c r="J65" i="26"/>
  <c r="K65" i="26" s="1"/>
  <c r="J66" i="26"/>
  <c r="K66" i="26" s="1"/>
  <c r="F39" i="22"/>
  <c r="G39" i="22" s="1"/>
  <c r="F40" i="22"/>
  <c r="G40" i="22" s="1"/>
  <c r="F41" i="22"/>
  <c r="G41" i="22" s="1"/>
  <c r="F42" i="22"/>
  <c r="G42" i="22" s="1"/>
  <c r="F43" i="22"/>
  <c r="G43" i="22" s="1"/>
  <c r="F44" i="22"/>
  <c r="G44" i="22" s="1"/>
  <c r="F45" i="22"/>
  <c r="G45" i="22" s="1"/>
  <c r="F46" i="22"/>
  <c r="G46" i="22" s="1"/>
  <c r="F47" i="22"/>
  <c r="G47" i="22" s="1"/>
  <c r="F38" i="22"/>
  <c r="G38" i="22" s="1"/>
  <c r="K64" i="26" l="1"/>
  <c r="K60" i="26"/>
  <c r="K63" i="26"/>
  <c r="K59" i="26"/>
  <c r="K74" i="26"/>
  <c r="K70" i="26"/>
  <c r="D26" i="33" s="1"/>
  <c r="K76" i="26"/>
  <c r="C14" i="33"/>
  <c r="D14" i="33"/>
  <c r="D34" i="33"/>
  <c r="C34" i="33"/>
  <c r="D17" i="33"/>
  <c r="C17" i="33"/>
  <c r="D13" i="33"/>
  <c r="C13" i="33"/>
  <c r="D9" i="33"/>
  <c r="C9" i="33"/>
  <c r="D27" i="33"/>
  <c r="C27" i="33"/>
  <c r="D31" i="33"/>
  <c r="C31" i="33"/>
  <c r="C35" i="33"/>
  <c r="D35" i="33"/>
  <c r="D18" i="33"/>
  <c r="C18" i="33"/>
  <c r="C26" i="33"/>
  <c r="D16" i="33"/>
  <c r="C16" i="33"/>
  <c r="C12" i="33"/>
  <c r="D12" i="33"/>
  <c r="D8" i="33"/>
  <c r="C8" i="33"/>
  <c r="C24" i="33"/>
  <c r="C28" i="33"/>
  <c r="D28" i="33"/>
  <c r="D32" i="33"/>
  <c r="C32" i="33"/>
  <c r="C10" i="33"/>
  <c r="D10" i="33"/>
  <c r="C30" i="33"/>
  <c r="D30" i="33"/>
  <c r="C7" i="33"/>
  <c r="C15" i="33"/>
  <c r="D15" i="33"/>
  <c r="D11" i="33"/>
  <c r="C11" i="33"/>
  <c r="D25" i="33"/>
  <c r="C25" i="33"/>
  <c r="C29" i="33"/>
  <c r="D29" i="33"/>
  <c r="D33" i="33"/>
  <c r="C33" i="33"/>
  <c r="K61" i="26"/>
  <c r="K67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F7" i="22"/>
  <c r="F8" i="22"/>
  <c r="F9" i="22"/>
  <c r="F10" i="22"/>
  <c r="F11" i="22"/>
  <c r="F12" i="22"/>
  <c r="F13" i="22"/>
  <c r="F14" i="22"/>
  <c r="F15" i="22"/>
  <c r="F16" i="22"/>
  <c r="F17" i="22"/>
  <c r="F18" i="22"/>
  <c r="G18" i="22" s="1"/>
  <c r="F19" i="22"/>
  <c r="G19" i="22" s="1"/>
  <c r="F20" i="22"/>
  <c r="G20" i="22" s="1"/>
  <c r="F21" i="22"/>
  <c r="G21" i="22" s="1"/>
  <c r="F22" i="22"/>
  <c r="G22" i="22" s="1"/>
  <c r="F23" i="22"/>
  <c r="G23" i="22" s="1"/>
  <c r="F24" i="22"/>
  <c r="G24" i="22" s="1"/>
  <c r="F25" i="22"/>
  <c r="G25" i="22" s="1"/>
  <c r="F26" i="22"/>
  <c r="G26" i="22" s="1"/>
  <c r="F27" i="22"/>
  <c r="G27" i="22" s="1"/>
  <c r="F28" i="22"/>
  <c r="G28" i="22" s="1"/>
  <c r="F29" i="22"/>
  <c r="G29" i="22" s="1"/>
  <c r="F30" i="22"/>
  <c r="G30" i="22" s="1"/>
  <c r="F31" i="22"/>
  <c r="G31" i="22" s="1"/>
  <c r="F32" i="22"/>
  <c r="G32" i="22" s="1"/>
  <c r="F33" i="22"/>
  <c r="G33" i="22" s="1"/>
  <c r="F34" i="22"/>
  <c r="G34" i="22" s="1"/>
  <c r="F35" i="22"/>
  <c r="G35" i="22" s="1"/>
  <c r="F36" i="22"/>
  <c r="G36" i="22" s="1"/>
  <c r="F37" i="22"/>
  <c r="G37" i="22"/>
  <c r="H47" i="26"/>
  <c r="H48" i="26"/>
  <c r="H49" i="26"/>
  <c r="H50" i="26"/>
  <c r="H51" i="26"/>
  <c r="H52" i="26"/>
  <c r="H53" i="26"/>
  <c r="H54" i="26"/>
  <c r="H55" i="26"/>
  <c r="H56" i="26"/>
  <c r="H37" i="26"/>
  <c r="H38" i="26"/>
  <c r="H39" i="26"/>
  <c r="H40" i="26"/>
  <c r="K40" i="26" s="1"/>
  <c r="H41" i="26"/>
  <c r="H42" i="26"/>
  <c r="H43" i="26"/>
  <c r="H44" i="26"/>
  <c r="K44" i="26" s="1"/>
  <c r="H45" i="26"/>
  <c r="H46" i="26"/>
  <c r="H27" i="26"/>
  <c r="H28" i="26"/>
  <c r="H29" i="26"/>
  <c r="H30" i="26"/>
  <c r="H31" i="26"/>
  <c r="H32" i="26"/>
  <c r="H33" i="26"/>
  <c r="H34" i="26"/>
  <c r="H35" i="26"/>
  <c r="H36" i="26"/>
  <c r="H17" i="26"/>
  <c r="H18" i="26"/>
  <c r="H19" i="26"/>
  <c r="H20" i="26"/>
  <c r="K20" i="26" s="1"/>
  <c r="H21" i="26"/>
  <c r="H22" i="26"/>
  <c r="H23" i="26"/>
  <c r="H24" i="26"/>
  <c r="K24" i="26" s="1"/>
  <c r="H25" i="26"/>
  <c r="H26" i="26"/>
  <c r="K19" i="26" l="1"/>
  <c r="K28" i="26"/>
  <c r="K35" i="26"/>
  <c r="K31" i="26"/>
  <c r="K27" i="26"/>
  <c r="K23" i="26"/>
  <c r="K34" i="26"/>
  <c r="K30" i="26"/>
  <c r="K26" i="26"/>
  <c r="K22" i="26"/>
  <c r="K43" i="26"/>
  <c r="K39" i="26"/>
  <c r="K33" i="26"/>
  <c r="K29" i="26"/>
  <c r="K25" i="26"/>
  <c r="K21" i="26"/>
  <c r="K17" i="26"/>
  <c r="K56" i="26"/>
  <c r="K48" i="26"/>
  <c r="K36" i="26"/>
  <c r="K32" i="26"/>
  <c r="K55" i="26"/>
  <c r="K54" i="26"/>
  <c r="K18" i="26"/>
  <c r="K53" i="26"/>
  <c r="K52" i="26"/>
  <c r="K51" i="26"/>
  <c r="K50" i="26"/>
  <c r="K49" i="26"/>
  <c r="K47" i="26"/>
  <c r="K46" i="26"/>
  <c r="K45" i="26"/>
  <c r="K42" i="26"/>
  <c r="K41" i="26"/>
  <c r="K38" i="26"/>
  <c r="K37" i="26"/>
  <c r="F8" i="29" l="1"/>
  <c r="F9" i="29"/>
  <c r="F10" i="29"/>
  <c r="F11" i="29"/>
  <c r="F8" i="30"/>
  <c r="F9" i="30"/>
  <c r="F10" i="30"/>
  <c r="F11" i="30"/>
  <c r="F7" i="27" l="1"/>
  <c r="F8" i="27"/>
  <c r="F9" i="27"/>
  <c r="F10" i="27"/>
  <c r="F11" i="27"/>
  <c r="F12" i="27"/>
  <c r="F13" i="27"/>
  <c r="F14" i="27"/>
  <c r="F15" i="27"/>
  <c r="F16" i="27"/>
  <c r="H16" i="26"/>
  <c r="G17" i="22"/>
  <c r="G16" i="22"/>
  <c r="G15" i="22"/>
  <c r="G14" i="22"/>
  <c r="I26" i="26" l="1"/>
  <c r="I16" i="26"/>
  <c r="I36" i="26"/>
  <c r="I56" i="26"/>
  <c r="I76" i="26"/>
  <c r="I46" i="26"/>
  <c r="I66" i="26"/>
  <c r="K16" i="26"/>
  <c r="G13" i="22" l="1"/>
  <c r="H15" i="26"/>
  <c r="I15" i="26" l="1"/>
  <c r="I35" i="26"/>
  <c r="I55" i="26"/>
  <c r="I75" i="26"/>
  <c r="I25" i="26"/>
  <c r="I45" i="26"/>
  <c r="I65" i="26"/>
  <c r="K15" i="26"/>
  <c r="H15" i="27" s="1"/>
  <c r="G12" i="22"/>
  <c r="H14" i="26"/>
  <c r="H13" i="26"/>
  <c r="I7" i="27"/>
  <c r="I13" i="27"/>
  <c r="I14" i="27"/>
  <c r="I15" i="27"/>
  <c r="I16" i="27"/>
  <c r="H16" i="27"/>
  <c r="D14" i="27"/>
  <c r="D15" i="27"/>
  <c r="D16" i="27"/>
  <c r="C7" i="27"/>
  <c r="C8" i="27"/>
  <c r="C9" i="27"/>
  <c r="C10" i="27"/>
  <c r="C11" i="27"/>
  <c r="C12" i="27"/>
  <c r="C13" i="27"/>
  <c r="C14" i="27"/>
  <c r="C15" i="27"/>
  <c r="C16" i="27"/>
  <c r="H12" i="26"/>
  <c r="H7" i="26"/>
  <c r="H8" i="26"/>
  <c r="H9" i="26"/>
  <c r="H10" i="26"/>
  <c r="H11" i="26"/>
  <c r="G11" i="22"/>
  <c r="I12" i="27" s="1"/>
  <c r="G10" i="22"/>
  <c r="I11" i="27" s="1"/>
  <c r="G9" i="22"/>
  <c r="G8" i="22"/>
  <c r="I9" i="27" s="1"/>
  <c r="G7" i="22"/>
  <c r="I70" i="26" l="1"/>
  <c r="I20" i="26"/>
  <c r="I40" i="26"/>
  <c r="I60" i="26"/>
  <c r="I10" i="26"/>
  <c r="I50" i="26"/>
  <c r="I30" i="26"/>
  <c r="I42" i="26"/>
  <c r="I62" i="26"/>
  <c r="I12" i="26"/>
  <c r="I32" i="26"/>
  <c r="I52" i="26"/>
  <c r="I72" i="26"/>
  <c r="I22" i="26"/>
  <c r="I23" i="26"/>
  <c r="I43" i="26"/>
  <c r="I63" i="26"/>
  <c r="I13" i="26"/>
  <c r="I33" i="26"/>
  <c r="I53" i="26"/>
  <c r="I73" i="26"/>
  <c r="I19" i="26"/>
  <c r="I39" i="26"/>
  <c r="I59" i="26"/>
  <c r="I9" i="26"/>
  <c r="I29" i="26"/>
  <c r="I49" i="26"/>
  <c r="I69" i="26"/>
  <c r="I14" i="26"/>
  <c r="I54" i="26"/>
  <c r="I24" i="26"/>
  <c r="I44" i="26"/>
  <c r="I64" i="26"/>
  <c r="I34" i="26"/>
  <c r="I74" i="26"/>
  <c r="I11" i="26"/>
  <c r="I31" i="26"/>
  <c r="I51" i="26"/>
  <c r="I71" i="26"/>
  <c r="I21" i="26"/>
  <c r="I41" i="26"/>
  <c r="I61" i="26"/>
  <c r="I7" i="26"/>
  <c r="I27" i="26"/>
  <c r="I47" i="26"/>
  <c r="I67" i="26"/>
  <c r="I17" i="26"/>
  <c r="I37" i="26"/>
  <c r="I57" i="26"/>
  <c r="I38" i="26"/>
  <c r="I8" i="26"/>
  <c r="I28" i="26"/>
  <c r="I48" i="26"/>
  <c r="I68" i="26"/>
  <c r="I58" i="26"/>
  <c r="I18" i="26"/>
  <c r="D43" i="33"/>
  <c r="E43" i="33" s="1"/>
  <c r="D44" i="33"/>
  <c r="E44" i="33" s="1"/>
  <c r="D45" i="33"/>
  <c r="E45" i="33" s="1"/>
  <c r="D7" i="33"/>
  <c r="K8" i="26"/>
  <c r="H8" i="27" s="1"/>
  <c r="K9" i="26"/>
  <c r="H9" i="27" s="1"/>
  <c r="J9" i="27" s="1"/>
  <c r="K14" i="26"/>
  <c r="H14" i="27" s="1"/>
  <c r="J14" i="27" s="1"/>
  <c r="K11" i="26"/>
  <c r="H11" i="27" s="1"/>
  <c r="J11" i="27" s="1"/>
  <c r="K10" i="26"/>
  <c r="K12" i="26"/>
  <c r="H12" i="27" s="1"/>
  <c r="J12" i="27" s="1"/>
  <c r="K13" i="26"/>
  <c r="H13" i="27" s="1"/>
  <c r="J13" i="27" s="1"/>
  <c r="K7" i="26"/>
  <c r="F7" i="29"/>
  <c r="I10" i="27"/>
  <c r="I8" i="27"/>
  <c r="D13" i="27"/>
  <c r="E13" i="27" s="1"/>
  <c r="G13" i="27" s="1"/>
  <c r="D8" i="27"/>
  <c r="E8" i="27" s="1"/>
  <c r="G8" i="27" s="1"/>
  <c r="E16" i="27"/>
  <c r="G16" i="27" s="1"/>
  <c r="E15" i="27"/>
  <c r="G15" i="27" s="1"/>
  <c r="J15" i="27"/>
  <c r="E14" i="27"/>
  <c r="G14" i="27" s="1"/>
  <c r="J16" i="27"/>
  <c r="D9" i="27"/>
  <c r="D10" i="27"/>
  <c r="D12" i="27"/>
  <c r="D11" i="27"/>
  <c r="D7" i="27"/>
  <c r="H10" i="27" l="1"/>
  <c r="J10" i="27" s="1"/>
  <c r="D24" i="33"/>
  <c r="J8" i="27"/>
  <c r="H7" i="27"/>
  <c r="J7" i="27" s="1"/>
  <c r="F7" i="30"/>
  <c r="E7" i="27"/>
  <c r="G7" i="27" s="1"/>
  <c r="E10" i="27"/>
  <c r="G10" i="27" s="1"/>
  <c r="E11" i="27"/>
  <c r="G11" i="27" s="1"/>
  <c r="E12" i="27"/>
  <c r="G12" i="27" s="1"/>
  <c r="E9" i="27"/>
  <c r="G9" i="27" s="1"/>
</calcChain>
</file>

<file path=xl/sharedStrings.xml><?xml version="1.0" encoding="utf-8"?>
<sst xmlns="http://schemas.openxmlformats.org/spreadsheetml/2006/main" count="424" uniqueCount="131">
  <si>
    <t>Item</t>
  </si>
  <si>
    <t>Unidade de Medida</t>
  </si>
  <si>
    <t>Quantidade</t>
  </si>
  <si>
    <t># Código Produto</t>
  </si>
  <si>
    <t>Coca-Cola</t>
  </si>
  <si>
    <t>Pepsi</t>
  </si>
  <si>
    <t>Biscoito Bauduco</t>
  </si>
  <si>
    <t>Fandangos</t>
  </si>
  <si>
    <t>Ruffles</t>
  </si>
  <si>
    <t>Pão de Queijo</t>
  </si>
  <si>
    <t>Leite</t>
  </si>
  <si>
    <t>Castanha de Caju</t>
  </si>
  <si>
    <t>Suco de Laranja</t>
  </si>
  <si>
    <t>Joelho</t>
  </si>
  <si>
    <t>Unidade</t>
  </si>
  <si>
    <t>Kg</t>
  </si>
  <si>
    <t>Caixa</t>
  </si>
  <si>
    <t>PA520</t>
  </si>
  <si>
    <t>PA046</t>
  </si>
  <si>
    <t>PA421</t>
  </si>
  <si>
    <t>PA214</t>
  </si>
  <si>
    <t>PA134</t>
  </si>
  <si>
    <t>PA025</t>
  </si>
  <si>
    <t>PA124</t>
  </si>
  <si>
    <t>PA045</t>
  </si>
  <si>
    <t>PA102</t>
  </si>
  <si>
    <t>PA299</t>
  </si>
  <si>
    <t>Fornecedor</t>
  </si>
  <si>
    <t>Estoque Mínimo</t>
  </si>
  <si>
    <t>Saldo</t>
  </si>
  <si>
    <t>Telefone</t>
  </si>
  <si>
    <t>E-mail</t>
  </si>
  <si>
    <t>Endereço</t>
  </si>
  <si>
    <t>Empresa</t>
  </si>
  <si>
    <t>Total Comprado</t>
  </si>
  <si>
    <t>Produto</t>
  </si>
  <si>
    <t>Custo Unitário</t>
  </si>
  <si>
    <t>Fornecedor 1</t>
  </si>
  <si>
    <t>Loja</t>
  </si>
  <si>
    <t>Loja 1</t>
  </si>
  <si>
    <t>Quantidade Devolvida</t>
  </si>
  <si>
    <t>Data da Devolução</t>
  </si>
  <si>
    <t>Preço Unitário</t>
  </si>
  <si>
    <t>Valor de Venda Total</t>
  </si>
  <si>
    <t>Valor de Compra Total</t>
  </si>
  <si>
    <t>Quantidade Vendida</t>
  </si>
  <si>
    <t>Entradas</t>
  </si>
  <si>
    <t>Saídas</t>
  </si>
  <si>
    <t>Status</t>
  </si>
  <si>
    <t>Receita Total</t>
  </si>
  <si>
    <t>Custo Total</t>
  </si>
  <si>
    <t>Lucro/Prejuízo Total</t>
  </si>
  <si>
    <t>Data da Venda</t>
  </si>
  <si>
    <t>Data da Compra</t>
  </si>
  <si>
    <t>Entrada Acumulada</t>
  </si>
  <si>
    <t>Saída Acumulada</t>
  </si>
  <si>
    <t>CONTROLE DE ESTOQUE</t>
  </si>
  <si>
    <r>
      <t>CONTROLE DE</t>
    </r>
    <r>
      <rPr>
        <sz val="18"/>
        <color theme="7"/>
        <rFont val="Calibri"/>
        <family val="2"/>
        <scheme val="minor"/>
      </rPr>
      <t xml:space="preserve"> </t>
    </r>
    <r>
      <rPr>
        <b/>
        <sz val="18"/>
        <color theme="7"/>
        <rFont val="Calibri"/>
        <family val="2"/>
        <scheme val="minor"/>
      </rPr>
      <t>ENTRADAS</t>
    </r>
  </si>
  <si>
    <r>
      <t xml:space="preserve">CONTROLE DE </t>
    </r>
    <r>
      <rPr>
        <b/>
        <sz val="18"/>
        <color theme="7"/>
        <rFont val="Calibri"/>
        <family val="2"/>
        <scheme val="minor"/>
      </rPr>
      <t>SAÍDAS</t>
    </r>
  </si>
  <si>
    <r>
      <t xml:space="preserve">CADASTRO DE </t>
    </r>
    <r>
      <rPr>
        <b/>
        <sz val="18"/>
        <color theme="7"/>
        <rFont val="Calibri"/>
        <family val="2"/>
        <scheme val="minor"/>
      </rPr>
      <t>PRODUTOS</t>
    </r>
  </si>
  <si>
    <r>
      <t xml:space="preserve">CADASTRO DE </t>
    </r>
    <r>
      <rPr>
        <b/>
        <sz val="18"/>
        <color theme="7"/>
        <rFont val="Calibri"/>
        <family val="2"/>
        <scheme val="minor"/>
      </rPr>
      <t>LOJAS</t>
    </r>
  </si>
  <si>
    <t>Total Vendido</t>
  </si>
  <si>
    <t>Loja 2</t>
  </si>
  <si>
    <t>Loja 3</t>
  </si>
  <si>
    <t>Loja 4</t>
  </si>
  <si>
    <t>Loja 5</t>
  </si>
  <si>
    <t>loja1@gmail.com</t>
  </si>
  <si>
    <t>loja2@gmail.com</t>
  </si>
  <si>
    <t>loja3@gmail.com</t>
  </si>
  <si>
    <t>loja4@gmail.com</t>
  </si>
  <si>
    <t>loja5@gmail.com</t>
  </si>
  <si>
    <t>Rua Loja 1, Rio de Janeiro - RJ</t>
  </si>
  <si>
    <t>Rua Loja 2, Rio de Janeiro - RJ</t>
  </si>
  <si>
    <t>Rua Loja 3, Rio de Janeiro - RJ</t>
  </si>
  <si>
    <t>Rua Loja 4, Rio de Janeiro - RJ</t>
  </si>
  <si>
    <t>Rua Loja 5, Rio de Janeiro - RJ</t>
  </si>
  <si>
    <t>(21) 95344-9193</t>
  </si>
  <si>
    <t>(21) 89324-1123</t>
  </si>
  <si>
    <t>(21) 98239-9234</t>
  </si>
  <si>
    <t>(21) 91812-9128</t>
  </si>
  <si>
    <t>(21) 91234-0022</t>
  </si>
  <si>
    <t>Rua Fornecedor 1, Rio de Janeiro - RJ</t>
  </si>
  <si>
    <t>Fornecedor 2</t>
  </si>
  <si>
    <t>Rua Fornecedor 2, Rio de Janeiro - RJ</t>
  </si>
  <si>
    <t>Fornecedor 3</t>
  </si>
  <si>
    <t>Rua Fornecedor 3, Rio de Janeiro - RJ</t>
  </si>
  <si>
    <t>Fornecedor 4</t>
  </si>
  <si>
    <t>Rua Fornecedor 4, Rio de Janeiro - RJ</t>
  </si>
  <si>
    <t>Fornecedor 5</t>
  </si>
  <si>
    <t>Rua Fornecedor 5, Rio de Janeiro - RJ</t>
  </si>
  <si>
    <t>fornecedor1@gmail.com</t>
  </si>
  <si>
    <t>fornecedor2@gmail.com</t>
  </si>
  <si>
    <t>fornecedor3@gmail.com</t>
  </si>
  <si>
    <t>fornecedor4@gmail.com</t>
  </si>
  <si>
    <t>fornecedor5@gmail.com</t>
  </si>
  <si>
    <t>Mês</t>
  </si>
  <si>
    <t>Ano</t>
  </si>
  <si>
    <t>Check automático: A tabela de Controle de Estoque está completa?</t>
  </si>
  <si>
    <t>Qtd Entrada x Saída</t>
  </si>
  <si>
    <t>R$ Entrada x Saída</t>
  </si>
  <si>
    <t>DASHBOARD</t>
  </si>
  <si>
    <t>Compras</t>
  </si>
  <si>
    <t>Vendas</t>
  </si>
  <si>
    <t>Estoque no Tempo</t>
  </si>
  <si>
    <t>Total de Produtos</t>
  </si>
  <si>
    <t>Total de Lojas</t>
  </si>
  <si>
    <t>Total de Fornecedores</t>
  </si>
  <si>
    <t>Lucro Total</t>
  </si>
  <si>
    <t>Margem % Lucro</t>
  </si>
  <si>
    <t>INTRUÇÕES</t>
  </si>
  <si>
    <t>Abaixo, você encontra a explicação para todas as abas da planilha.</t>
  </si>
  <si>
    <t>ENTRADAS</t>
  </si>
  <si>
    <t>SAÍDAS</t>
  </si>
  <si>
    <t>CONT. ESTOQUE</t>
  </si>
  <si>
    <t>DASHBOARDS</t>
  </si>
  <si>
    <t>Nestas abas você encontrará gráficos e indicadores gerais do seu controle de estoque, podendo realizar análises por produtos específicos.</t>
  </si>
  <si>
    <t>CADASTRO PRODUTOS</t>
  </si>
  <si>
    <t>CADASTRO FORNECEDORES</t>
  </si>
  <si>
    <t>CADASTRO LOJAS</t>
  </si>
  <si>
    <t>Estoque Acumulado</t>
  </si>
  <si>
    <t>ABAS: 
CADASTRO/
ENTRADAS/
SAÍDAS</t>
  </si>
  <si>
    <r>
      <t xml:space="preserve">As cores das fontes dos valores nas tabelas dessas abas indicam que:
(1) Células com fontes na cor </t>
    </r>
    <r>
      <rPr>
        <b/>
        <sz val="11"/>
        <color theme="1"/>
        <rFont val="Calibri"/>
        <family val="2"/>
        <scheme val="minor"/>
      </rPr>
      <t>PRETA</t>
    </r>
    <r>
      <rPr>
        <sz val="11"/>
        <color rgb="FFFF0000"/>
        <rFont val="Calibri"/>
        <family val="2"/>
        <scheme val="minor"/>
      </rPr>
      <t xml:space="preserve"> devem ser </t>
    </r>
    <r>
      <rPr>
        <b/>
        <sz val="11"/>
        <rFont val="Calibri"/>
        <family val="2"/>
        <scheme val="minor"/>
      </rPr>
      <t>preenchidas manualmente</t>
    </r>
    <r>
      <rPr>
        <sz val="11"/>
        <color rgb="FFFF0000"/>
        <rFont val="Calibri"/>
        <family val="2"/>
        <scheme val="minor"/>
      </rPr>
      <t xml:space="preserve">.
(2) Células com fontes na cor </t>
    </r>
    <r>
      <rPr>
        <b/>
        <sz val="11"/>
        <color rgb="FF0000FF"/>
        <rFont val="Calibri"/>
        <family val="2"/>
        <scheme val="minor"/>
      </rPr>
      <t>AZUL</t>
    </r>
    <r>
      <rPr>
        <sz val="11"/>
        <color rgb="FFFF0000"/>
        <rFont val="Calibri"/>
        <family val="2"/>
        <scheme val="minor"/>
      </rPr>
      <t xml:space="preserve"> são calculadas automaticamente por fórmulas, portanto </t>
    </r>
    <r>
      <rPr>
        <b/>
        <sz val="11"/>
        <color rgb="FF0000FF"/>
        <rFont val="Calibri"/>
        <family val="2"/>
        <scheme val="minor"/>
      </rPr>
      <t>NÃO devem ser editadas</t>
    </r>
    <r>
      <rPr>
        <sz val="11"/>
        <color rgb="FFFF0000"/>
        <rFont val="Calibri"/>
        <family val="2"/>
        <scheme val="minor"/>
      </rPr>
      <t>.</t>
    </r>
  </si>
  <si>
    <r>
      <t xml:space="preserve">#========= </t>
    </r>
    <r>
      <rPr>
        <b/>
        <sz val="11"/>
        <color rgb="FFFF0000"/>
        <rFont val="Calibri"/>
        <family val="2"/>
        <scheme val="minor"/>
      </rPr>
      <t>OBSERVAÇÃO 1</t>
    </r>
    <r>
      <rPr>
        <sz val="11"/>
        <color rgb="FFFF0000"/>
        <rFont val="Calibri"/>
        <family val="2"/>
        <scheme val="minor"/>
      </rPr>
      <t xml:space="preserve"> =========#
Nesta aba você irá registrar todas as </t>
    </r>
    <r>
      <rPr>
        <b/>
        <sz val="11"/>
        <color rgb="FFFF0000"/>
        <rFont val="Calibri"/>
        <family val="2"/>
        <scheme val="minor"/>
      </rPr>
      <t>SAÍDAS</t>
    </r>
    <r>
      <rPr>
        <sz val="11"/>
        <color rgb="FFFF0000"/>
        <rFont val="Calibri"/>
        <family val="2"/>
        <scheme val="minor"/>
      </rPr>
      <t xml:space="preserve">, ou seja, vendas de produtos. A coluna QUANTIDADE possui uma Validação de Dados que impede que seja registrada uma venda caso não tenha estoque no momento da venda. </t>
    </r>
    <r>
      <rPr>
        <u/>
        <sz val="11"/>
        <color rgb="FFFF0000"/>
        <rFont val="Calibri"/>
        <family val="2"/>
        <scheme val="minor"/>
      </rPr>
      <t>Obs: Fique atento na coluna de ESTOQUE ACUMULADO, pois a sua venda depende do seu saldo em estoque. Você pode verificar o status de cada produto na aba de CONTROLE DE ESTOQUE, explicada mais abaixo</t>
    </r>
    <r>
      <rPr>
        <sz val="11"/>
        <color rgb="FFFF0000"/>
        <rFont val="Calibri"/>
        <family val="2"/>
        <scheme val="minor"/>
      </rPr>
      <t xml:space="preserve">.
#========= </t>
    </r>
    <r>
      <rPr>
        <b/>
        <sz val="11"/>
        <color rgb="FFFF0000"/>
        <rFont val="Calibri"/>
        <family val="2"/>
        <scheme val="minor"/>
      </rPr>
      <t>OBSERVAÇÃO 2</t>
    </r>
    <r>
      <rPr>
        <sz val="11"/>
        <color rgb="FFFF0000"/>
        <rFont val="Calibri"/>
        <family val="2"/>
        <scheme val="minor"/>
      </rPr>
      <t xml:space="preserve"> =========#
Para cadastrar uma nova SAÍDA de um produto, basta utilizar a Validação de Dados (lista de opções) que se encontra nas células da coluna de PRODUTO. Essa lista se atualiza automaticamente quando você cadastra um novo produto na aba de CADASTRO.
#========= </t>
    </r>
    <r>
      <rPr>
        <b/>
        <sz val="11"/>
        <color rgb="FFFF0000"/>
        <rFont val="Calibri"/>
        <family val="2"/>
        <scheme val="minor"/>
      </rPr>
      <t>OBSERVAÇÃO 3</t>
    </r>
    <r>
      <rPr>
        <sz val="11"/>
        <color rgb="FFFF0000"/>
        <rFont val="Calibri"/>
        <family val="2"/>
        <scheme val="minor"/>
      </rPr>
      <t xml:space="preserve"> =========#
As colunas de Quantidade Devolvida e Data da Devolução devem ser preenchidas SOMENTE se houver devolução da venda.
#========= </t>
    </r>
    <r>
      <rPr>
        <b/>
        <sz val="11"/>
        <color rgb="FFFF0000"/>
        <rFont val="Calibri"/>
        <family val="2"/>
        <scheme val="minor"/>
      </rPr>
      <t>OBSERVAÇÃO 4</t>
    </r>
    <r>
      <rPr>
        <sz val="11"/>
        <color rgb="FFFF0000"/>
        <rFont val="Calibri"/>
        <family val="2"/>
        <scheme val="minor"/>
      </rPr>
      <t xml:space="preserve"> =========#
</t>
    </r>
    <r>
      <rPr>
        <b/>
        <sz val="11"/>
        <color rgb="FFC00000"/>
        <rFont val="Calibri"/>
        <family val="2"/>
        <scheme val="minor"/>
      </rPr>
      <t>Para registrar uma nova ENTRADA, basta preencher a primeira linha vazia logo abaixo da tabela. Ela está configurada de modo que toda a formatação da linha e fórmulas usadas sejam arrastadas automaticamente para a nova linha.</t>
    </r>
  </si>
  <si>
    <r>
      <t xml:space="preserve">#========= </t>
    </r>
    <r>
      <rPr>
        <b/>
        <sz val="11"/>
        <color rgb="FFFF0000"/>
        <rFont val="Calibri"/>
        <family val="2"/>
        <scheme val="minor"/>
      </rPr>
      <t>OBSERVAÇÃO 1</t>
    </r>
    <r>
      <rPr>
        <sz val="11"/>
        <color rgb="FFFF0000"/>
        <rFont val="Calibri"/>
        <family val="2"/>
        <scheme val="minor"/>
      </rPr>
      <t xml:space="preserve"> =========#
Esta aba faz parte do conjunto de 3 abas para cadastro de informações. Aqui, você pode cadastrar os dados referentes aos seus </t>
    </r>
    <r>
      <rPr>
        <b/>
        <sz val="11"/>
        <color rgb="FFFF0000"/>
        <rFont val="Calibri"/>
        <family val="2"/>
        <scheme val="minor"/>
      </rPr>
      <t>PRODUTOS</t>
    </r>
    <r>
      <rPr>
        <sz val="11"/>
        <color rgb="FFFF0000"/>
        <rFont val="Calibri"/>
        <family val="2"/>
        <scheme val="minor"/>
      </rPr>
      <t xml:space="preserve">. Esta tabela possui uma Validação de Dados que impede o cadastro de produtos duplicados.
#========= </t>
    </r>
    <r>
      <rPr>
        <b/>
        <sz val="11"/>
        <color rgb="FFFF0000"/>
        <rFont val="Calibri"/>
        <family val="2"/>
        <scheme val="minor"/>
      </rPr>
      <t>OBSERVAÇÃO 2</t>
    </r>
    <r>
      <rPr>
        <sz val="11"/>
        <color rgb="FFFF0000"/>
        <rFont val="Calibri"/>
        <family val="2"/>
        <scheme val="minor"/>
      </rPr>
      <t xml:space="preserve"> =========#
</t>
    </r>
    <r>
      <rPr>
        <b/>
        <sz val="11"/>
        <color rgb="FFC00000"/>
        <rFont val="Calibri"/>
        <family val="2"/>
        <scheme val="minor"/>
      </rPr>
      <t>Para cadastrar um novo PRODUTO, basta preencher a primeira linha vazia logo abaixo da tabela. Ela está configurada de modo que toda a formatação da linha e fórmulas usadas sejam arrastadas automaticamente para a nova linha.</t>
    </r>
  </si>
  <si>
    <r>
      <t xml:space="preserve">#========= </t>
    </r>
    <r>
      <rPr>
        <b/>
        <sz val="11"/>
        <color rgb="FFFF0000"/>
        <rFont val="Calibri"/>
        <family val="2"/>
        <scheme val="minor"/>
      </rPr>
      <t>OBSERVAÇÃO 1</t>
    </r>
    <r>
      <rPr>
        <sz val="11"/>
        <color rgb="FFFF0000"/>
        <rFont val="Calibri"/>
        <family val="2"/>
        <scheme val="minor"/>
      </rPr>
      <t xml:space="preserve"> =========#
Esta aba faz parte do conjunto de 3 abas para cadastro de informações. Aqui, você pode cadastrar os dados referentes aos seus </t>
    </r>
    <r>
      <rPr>
        <b/>
        <sz val="11"/>
        <color rgb="FFFF0000"/>
        <rFont val="Calibri"/>
        <family val="2"/>
        <scheme val="minor"/>
      </rPr>
      <t>FORNECEDORES</t>
    </r>
    <r>
      <rPr>
        <sz val="11"/>
        <color rgb="FFFF0000"/>
        <rFont val="Calibri"/>
        <family val="2"/>
        <scheme val="minor"/>
      </rPr>
      <t xml:space="preserve"> Esta tabela possui uma Validação de Dados que impede o cadastro de fornecedores duplicados.
#=========</t>
    </r>
    <r>
      <rPr>
        <b/>
        <sz val="11"/>
        <color rgb="FFFF0000"/>
        <rFont val="Calibri"/>
        <family val="2"/>
        <scheme val="minor"/>
      </rPr>
      <t xml:space="preserve"> OBSERVAÇÃO 2</t>
    </r>
    <r>
      <rPr>
        <sz val="11"/>
        <color rgb="FFFF0000"/>
        <rFont val="Calibri"/>
        <family val="2"/>
        <scheme val="minor"/>
      </rPr>
      <t xml:space="preserve"> =========#
</t>
    </r>
    <r>
      <rPr>
        <b/>
        <sz val="11"/>
        <color rgb="FFC00000"/>
        <rFont val="Calibri"/>
        <family val="2"/>
        <scheme val="minor"/>
      </rPr>
      <t>Para cadastrar um novo FORNECEDOR, basta preencher a primeira linha vazia logo abaixo da tabela. Ela está configurada de modo que toda a formatação da linha e fórmulas usadas sejam arrastadas automaticamente para a nova linha.</t>
    </r>
  </si>
  <si>
    <r>
      <t xml:space="preserve">#========= </t>
    </r>
    <r>
      <rPr>
        <b/>
        <sz val="11"/>
        <color rgb="FFFF0000"/>
        <rFont val="Calibri"/>
        <family val="2"/>
        <scheme val="minor"/>
      </rPr>
      <t>OBSERVAÇÃO 1</t>
    </r>
    <r>
      <rPr>
        <sz val="11"/>
        <color rgb="FFFF0000"/>
        <rFont val="Calibri"/>
        <family val="2"/>
        <scheme val="minor"/>
      </rPr>
      <t xml:space="preserve"> =========#
Esta aba faz parte do conjunto de 3 abas para cadastro de informações. Aqui, você pode cadastrar os dados referentes às suas </t>
    </r>
    <r>
      <rPr>
        <b/>
        <sz val="11"/>
        <color rgb="FFFF0000"/>
        <rFont val="Calibri"/>
        <family val="2"/>
        <scheme val="minor"/>
      </rPr>
      <t>LOJAS.</t>
    </r>
    <r>
      <rPr>
        <sz val="11"/>
        <color rgb="FFFF0000"/>
        <rFont val="Calibri"/>
        <family val="2"/>
        <scheme val="minor"/>
      </rPr>
      <t xml:space="preserve"> Esta tabela possui uma Validação de Dados que impede o cadastro de produtos duplicados.
#========= </t>
    </r>
    <r>
      <rPr>
        <b/>
        <sz val="11"/>
        <color rgb="FFFF0000"/>
        <rFont val="Calibri"/>
        <family val="2"/>
        <scheme val="minor"/>
      </rPr>
      <t>OBSERVAÇÃO 2</t>
    </r>
    <r>
      <rPr>
        <sz val="11"/>
        <color rgb="FFFF0000"/>
        <rFont val="Calibri"/>
        <family val="2"/>
        <scheme val="minor"/>
      </rPr>
      <t xml:space="preserve"> =========#
</t>
    </r>
    <r>
      <rPr>
        <b/>
        <sz val="11"/>
        <color rgb="FFC00000"/>
        <rFont val="Calibri"/>
        <family val="2"/>
        <scheme val="minor"/>
      </rPr>
      <t>Para cadastrar uma nova LOJA, basta preencher a primeira linha vazia logo abaixo da tabela. Ela está configurada de modo que toda a formatação da linha e fórmulas usadas sejam arrastadas automaticamente para a nova linha.</t>
    </r>
  </si>
  <si>
    <r>
      <t xml:space="preserve">#========= </t>
    </r>
    <r>
      <rPr>
        <b/>
        <sz val="11"/>
        <color rgb="FFFF0000"/>
        <rFont val="Calibri"/>
        <family val="2"/>
        <scheme val="minor"/>
      </rPr>
      <t>OBSERVAÇÃO 1</t>
    </r>
    <r>
      <rPr>
        <sz val="11"/>
        <color rgb="FFFF0000"/>
        <rFont val="Calibri"/>
        <family val="2"/>
        <scheme val="minor"/>
      </rPr>
      <t xml:space="preserve"> =========#
Nesta aba você irá registrar todas as </t>
    </r>
    <r>
      <rPr>
        <b/>
        <sz val="11"/>
        <color rgb="FFFF0000"/>
        <rFont val="Calibri"/>
        <family val="2"/>
        <scheme val="minor"/>
      </rPr>
      <t>ENTRADAS</t>
    </r>
    <r>
      <rPr>
        <sz val="11"/>
        <color rgb="FFFF0000"/>
        <rFont val="Calibri"/>
        <family val="2"/>
        <scheme val="minor"/>
      </rPr>
      <t xml:space="preserve">, ou seja, compras para recomposição de estoque. Para cadastrar uma nova ENTRADA de um produto, basta utilizar a Validação de Dados (lista de opções) que se encontra nas células da coluna de PRODUTO. Essa lista se atualiza automaticamente quando você cadastra um novo produto na aba de CADASTRO.
#========= </t>
    </r>
    <r>
      <rPr>
        <b/>
        <sz val="11"/>
        <color rgb="FFFF0000"/>
        <rFont val="Calibri"/>
        <family val="2"/>
        <scheme val="minor"/>
      </rPr>
      <t>OBSERVAÇÃO 2</t>
    </r>
    <r>
      <rPr>
        <sz val="11"/>
        <color rgb="FFFF0000"/>
        <rFont val="Calibri"/>
        <family val="2"/>
        <scheme val="minor"/>
      </rPr>
      <t xml:space="preserve"> =========#
</t>
    </r>
    <r>
      <rPr>
        <b/>
        <sz val="11"/>
        <color rgb="FFC00000"/>
        <rFont val="Calibri"/>
        <family val="2"/>
        <scheme val="minor"/>
      </rPr>
      <t>Para registrar uma nova ENTRADA, basta preencher a primeira linha vazia logo abaixo da tabela. Ela está configurada de modo que toda a formatação da linha e fórmulas usadas sejam arrastadas automaticamente para a nova linha.</t>
    </r>
  </si>
  <si>
    <r>
      <t xml:space="preserve">#========= </t>
    </r>
    <r>
      <rPr>
        <b/>
        <sz val="11"/>
        <color rgb="FFFF0000"/>
        <rFont val="Calibri"/>
        <family val="2"/>
        <scheme val="minor"/>
      </rPr>
      <t>OBSERVAÇÃO 1</t>
    </r>
    <r>
      <rPr>
        <sz val="11"/>
        <color rgb="FFFF0000"/>
        <rFont val="Calibri"/>
        <family val="2"/>
        <scheme val="minor"/>
      </rPr>
      <t xml:space="preserve"> =========#
Na aba CONTROLE DE ESTOQUE, a única coluna a ser preenchida manualmente é a de PRODUTO, sempre que um novo produto for adicionado à sua aba de CADASTRO DE PRODUTOS. 
#========= </t>
    </r>
    <r>
      <rPr>
        <b/>
        <sz val="11"/>
        <color rgb="FFFF0000"/>
        <rFont val="Calibri"/>
        <family val="2"/>
        <scheme val="minor"/>
      </rPr>
      <t>OBSERVAÇÃO 2</t>
    </r>
    <r>
      <rPr>
        <sz val="11"/>
        <color rgb="FFFF0000"/>
        <rFont val="Calibri"/>
        <family val="2"/>
        <scheme val="minor"/>
      </rPr>
      <t xml:space="preserve"> =========#
Toda vez que um novo produto for adicionado na aba de CADASTRO DE PRODUTO, a célula F4 da aba CONTROLE DE ESTOQUE apontará que a tabela está defasada. Para corrigir isso, basta adicionar este produto recém-cadastrado também na tabela de CONTROLE DE ESTOQUE. O processo para adicionar um novo produto é o mesmo feito para as outras tabelas: preencher a última linha vazia logo abaixo da tabela. Obs: Preencher somente a coluna de PRODUTO já é suficiente para que todas as fórmulas das demais colunas sejam calculadas!
Outra forma de aumentar a tabela de modo geral, é clicar na quina azul na última linha da coluna J e arrastar uma linha para baixo. Feito isso, basta selecionar o produto que acabou de ser cadastrado dentre as opções da lista da coluna B na linha que você acabou de adicionar.
Pronto! Seguindo esse passo a passo a mensagem na célula F4 vai mudar para "Sim!" e a tabela de Controle de Estoque estará 100% atualizada!
#========= </t>
    </r>
    <r>
      <rPr>
        <b/>
        <sz val="11"/>
        <color rgb="FFFF0000"/>
        <rFont val="Calibri"/>
        <family val="2"/>
        <scheme val="minor"/>
      </rPr>
      <t>OBSERVAÇÃO 3</t>
    </r>
    <r>
      <rPr>
        <sz val="11"/>
        <color rgb="FFFF0000"/>
        <rFont val="Calibri"/>
        <family val="2"/>
        <scheme val="minor"/>
      </rPr>
      <t xml:space="preserve"> =========#
Nesta tabela, você pode verificar a situação atual de estoque de cada um dos seus produtos. Os status possíveis são os seguintes:
</t>
    </r>
    <r>
      <rPr>
        <b/>
        <sz val="11"/>
        <color theme="9" tint="-0.249977111117893"/>
        <rFont val="Calibri"/>
        <family val="2"/>
        <scheme val="minor"/>
      </rPr>
      <t>(a) Estoque Confortável: Você possui estoque suficiente para as vendas daquele produto. A linha daquele produto ficará verde.</t>
    </r>
    <r>
      <rPr>
        <sz val="11"/>
        <color rgb="FFFF0000"/>
        <rFont val="Calibri"/>
        <family val="2"/>
        <scheme val="minor"/>
      </rPr>
      <t xml:space="preserve">
</t>
    </r>
    <r>
      <rPr>
        <b/>
        <sz val="11"/>
        <color theme="7" tint="-0.249977111117893"/>
        <rFont val="Calibri"/>
        <family val="2"/>
        <scheme val="minor"/>
      </rPr>
      <t>(b) Estoque Perigoso: Você ainda possui estoque, porém ele está abaixo do mínimo de segurança estabelecido. A linha daquele produto ficará pintada de amarelo.</t>
    </r>
    <r>
      <rPr>
        <sz val="11"/>
        <color rgb="FFFF0000"/>
        <rFont val="Calibri"/>
        <family val="2"/>
        <scheme val="minor"/>
      </rPr>
      <t xml:space="preserve">
</t>
    </r>
    <r>
      <rPr>
        <b/>
        <sz val="11"/>
        <color theme="5" tint="-0.249977111117893"/>
        <rFont val="Calibri"/>
        <family val="2"/>
        <scheme val="minor"/>
      </rPr>
      <t>(c) Sem Estoque: Se o seu estoque zerar, esta mensagem aparece e a linha da tabela fica laranja.</t>
    </r>
  </si>
  <si>
    <t>Dados Gerais</t>
  </si>
  <si>
    <t>Qtd. Produtos em Estoque</t>
  </si>
  <si>
    <r>
      <t xml:space="preserve">CADASTRO DE </t>
    </r>
    <r>
      <rPr>
        <b/>
        <sz val="18"/>
        <color theme="9"/>
        <rFont val="Calibri"/>
        <family val="2"/>
        <scheme val="minor"/>
      </rPr>
      <t>FORNECEDORES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</si>
</sst>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&quot;R$&quot;\ * #,##0_-;\-&quot;R$&quot;\ * #,##0_-;_-&quot;R$&quot;\ * &quot;-&quot;??_-;_-@_-"/>
  </numFmts>
  <fonts count="26" x14ac:knownFonts="1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8"/>
      <color theme="7"/>
      <name val="Calibri"/>
      <family val="2"/>
      <scheme val="minor"/>
    </font>
    <font>
      <b/>
      <sz val="18"/>
      <color theme="7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8"/>
      <color theme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283D3B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14213D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55">
    <xf numFmtId="0" fontId="0" fillId="0" borderId="0" xfId="0"/>
    <xf numFmtId="0" fontId="6" fillId="2" borderId="0" xfId="0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164" fontId="1" fillId="0" borderId="0" xfId="0" applyNumberFormat="1" applyFont="1" applyAlignment="1">
      <alignment horizontal="center" vertical="center"/>
    </xf>
    <xf numFmtId="164" fontId="1" fillId="0" borderId="0" xfId="1" applyNumberFormat="1" applyFont="1" applyBorder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" fillId="0" borderId="0" xfId="1" applyNumberFormat="1" applyFont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14" fontId="9" fillId="0" borderId="0" xfId="0" applyNumberFormat="1" applyFont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4" fontId="9" fillId="0" borderId="0" xfId="1" applyNumberFormat="1" applyFont="1" applyAlignment="1">
      <alignment horizontal="center" vertical="center"/>
    </xf>
    <xf numFmtId="0" fontId="0" fillId="0" borderId="0" xfId="0" quotePrefix="1"/>
    <xf numFmtId="0" fontId="0" fillId="3" borderId="0" xfId="0" applyFill="1"/>
    <xf numFmtId="0" fontId="5" fillId="3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12" fillId="0" borderId="0" xfId="2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/>
    <xf numFmtId="17" fontId="0" fillId="0" borderId="0" xfId="0" applyNumberFormat="1"/>
    <xf numFmtId="14" fontId="0" fillId="0" borderId="0" xfId="0" applyNumberFormat="1" applyAlignment="1">
      <alignment horizontal="center" vertical="center"/>
    </xf>
    <xf numFmtId="0" fontId="15" fillId="0" borderId="0" xfId="0" applyFont="1" applyBorder="1"/>
    <xf numFmtId="0" fontId="0" fillId="0" borderId="0" xfId="0" applyBorder="1"/>
    <xf numFmtId="165" fontId="0" fillId="0" borderId="0" xfId="1" applyNumberFormat="1" applyFont="1"/>
    <xf numFmtId="0" fontId="0" fillId="0" borderId="1" xfId="0" applyBorder="1" applyAlignment="1">
      <alignment horizontal="center"/>
    </xf>
    <xf numFmtId="0" fontId="13" fillId="3" borderId="1" xfId="0" applyFont="1" applyFill="1" applyBorder="1"/>
    <xf numFmtId="0" fontId="0" fillId="0" borderId="0" xfId="1" applyNumberFormat="1" applyFont="1"/>
    <xf numFmtId="0" fontId="0" fillId="0" borderId="0" xfId="0" applyNumberFormat="1"/>
    <xf numFmtId="0" fontId="15" fillId="0" borderId="0" xfId="0" applyFont="1" applyAlignment="1">
      <alignment horizontal="center"/>
    </xf>
    <xf numFmtId="0" fontId="13" fillId="3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164" fontId="23" fillId="0" borderId="0" xfId="0" applyNumberFormat="1" applyFont="1" applyFill="1" applyBorder="1" applyAlignment="1">
      <alignment horizontal="center" vertical="center"/>
    </xf>
    <xf numFmtId="164" fontId="24" fillId="0" borderId="0" xfId="0" applyNumberFormat="1" applyFont="1" applyFill="1" applyBorder="1" applyAlignment="1">
      <alignment horizontal="center" vertical="center"/>
    </xf>
    <xf numFmtId="10" fontId="23" fillId="0" borderId="0" xfId="3" applyNumberFormat="1" applyFont="1" applyFill="1" applyBorder="1" applyAlignment="1">
      <alignment horizontal="center" vertical="center"/>
    </xf>
    <xf numFmtId="164" fontId="0" fillId="0" borderId="0" xfId="0" applyNumberFormat="1"/>
    <xf numFmtId="10" fontId="0" fillId="0" borderId="0" xfId="3" applyNumberFormat="1" applyFont="1"/>
    <xf numFmtId="0" fontId="14" fillId="0" borderId="2" xfId="0" applyFont="1" applyBorder="1" applyAlignment="1">
      <alignment horizontal="center" vertical="center" wrapText="1"/>
    </xf>
    <xf numFmtId="0" fontId="0" fillId="5" borderId="0" xfId="0" applyFill="1"/>
    <xf numFmtId="0" fontId="0" fillId="6" borderId="0" xfId="0" applyFill="1"/>
    <xf numFmtId="0" fontId="5" fillId="6" borderId="0" xfId="0" applyFont="1" applyFill="1" applyAlignment="1">
      <alignment horizontal="left" vertical="center"/>
    </xf>
    <xf numFmtId="0" fontId="0" fillId="7" borderId="0" xfId="0" applyFill="1"/>
  </cellXfs>
  <cellStyles count="4">
    <cellStyle name="Hiperlink" xfId="2" builtinId="8"/>
    <cellStyle name="Moeda" xfId="1" builtinId="4"/>
    <cellStyle name="Normal" xfId="0" builtinId="0"/>
    <cellStyle name="Porcentagem" xfId="3" builtinId="5"/>
  </cellStyles>
  <dxfs count="58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/>
        <i val="0"/>
        <color rgb="FF00B050"/>
      </font>
    </dxf>
    <dxf>
      <font>
        <b/>
        <i val="0"/>
        <color rgb="FFFF0000"/>
      </font>
    </dxf>
    <dxf>
      <fill>
        <patternFill>
          <bgColor theme="7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ont>
        <strike val="0"/>
        <outline val="0"/>
        <shadow val="0"/>
        <u val="none"/>
        <vertAlign val="baseline"/>
        <sz val="11"/>
        <color rgb="FF0000FF"/>
        <name val="Calibri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FF"/>
        <name val="Calibri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font>
        <color rgb="FF0000FF"/>
      </font>
      <numFmt numFmtId="164" formatCode="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FF"/>
        <name val="Calibri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FF"/>
        <name val="Calibri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numFmt numFmtId="164" formatCode="&quot;R$&quot;\ #,##0.00"/>
      <alignment horizontal="center" vertical="center" textRotation="0" wrapText="0" indent="0" justifyLastLine="0" shrinkToFit="0" readingOrder="0"/>
    </dxf>
    <dxf>
      <numFmt numFmtId="164" formatCode="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14213D"/>
      <color rgb="FF283D3B"/>
      <color rgb="FF0000FF"/>
      <color rgb="FF9E2A2B"/>
      <color rgb="FF41C764"/>
      <color rgb="FFFA4824"/>
      <color rgb="FFFF9F1C"/>
      <color rgb="FFA49373"/>
      <color rgb="FF2D4457"/>
      <color rgb="FF3C6E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Auxiliar!$I$40</c:f>
          <c:strCache>
            <c:ptCount val="1"/>
            <c:pt idx="0">
              <c:v>Saldo em Estoque para os meses do ano de 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283D3B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Auxiliar!$E$42</c:f>
              <c:strCache>
                <c:ptCount val="1"/>
                <c:pt idx="0">
                  <c:v>Saldo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0;;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83D3B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Auxiliar!$B$43:$B$54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Auxiliar!$E$43:$E$54</c:f>
              <c:numCache>
                <c:formatCode>General</c:formatCode>
                <c:ptCount val="12"/>
                <c:pt idx="0">
                  <c:v>17</c:v>
                </c:pt>
                <c:pt idx="1">
                  <c:v>53</c:v>
                </c:pt>
                <c:pt idx="2">
                  <c:v>23</c:v>
                </c:pt>
                <c:pt idx="3">
                  <c:v>-1.0000000000000001E-30</c:v>
                </c:pt>
                <c:pt idx="4">
                  <c:v>-1.0000000000000001E-30</c:v>
                </c:pt>
                <c:pt idx="5">
                  <c:v>-1.0000000000000001E-30</c:v>
                </c:pt>
                <c:pt idx="6">
                  <c:v>-1.0000000000000001E-30</c:v>
                </c:pt>
                <c:pt idx="7">
                  <c:v>-1.0000000000000001E-30</c:v>
                </c:pt>
                <c:pt idx="8">
                  <c:v>-1.0000000000000001E-30</c:v>
                </c:pt>
                <c:pt idx="9">
                  <c:v>-1.0000000000000001E-30</c:v>
                </c:pt>
                <c:pt idx="10">
                  <c:v>-1.0000000000000001E-30</c:v>
                </c:pt>
                <c:pt idx="11">
                  <c:v>-1.0000000000000001E-30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B-4330-8AB4-E3A7D4355A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45126943"/>
        <c:axId val="1428177151"/>
      </c:barChart>
      <c:dateAx>
        <c:axId val="144512694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83D3B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8177151"/>
        <c:crosses val="autoZero"/>
        <c:auto val="1"/>
        <c:lblOffset val="100"/>
        <c:baseTimeUnit val="months"/>
      </c:dateAx>
      <c:valAx>
        <c:axId val="1428177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83D3B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512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Auxiliar!$I$4</c:f>
          <c:strCache>
            <c:ptCount val="1"/>
            <c:pt idx="0">
              <c:v>Resultado de Compras X Vendas para o ano de 2020
Quantidades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283D3B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Auxiliar!$C$6</c:f>
              <c:strCache>
                <c:ptCount val="1"/>
                <c:pt idx="0">
                  <c:v>Compras</c:v>
                </c:pt>
              </c:strCache>
            </c:strRef>
          </c:tx>
          <c:spPr>
            <a:solidFill>
              <a:srgbClr val="FA4824"/>
            </a:solidFill>
            <a:ln>
              <a:noFill/>
            </a:ln>
            <a:effectLst/>
          </c:spPr>
          <c:invertIfNegative val="0"/>
          <c:cat>
            <c:numRef>
              <c:f>Auxiliar!$B$7:$B$18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Auxiliar!$C$7:$C$18</c:f>
              <c:numCache>
                <c:formatCode>General</c:formatCode>
                <c:ptCount val="12"/>
                <c:pt idx="0">
                  <c:v>151</c:v>
                </c:pt>
                <c:pt idx="1">
                  <c:v>20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3-4C8A-98EF-356A3F81A7B1}"/>
            </c:ext>
          </c:extLst>
        </c:ser>
        <c:ser>
          <c:idx val="1"/>
          <c:order val="1"/>
          <c:tx>
            <c:strRef>
              <c:f>Auxiliar!$D$6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rgbClr val="41C764"/>
            </a:solidFill>
            <a:ln>
              <a:noFill/>
            </a:ln>
            <a:effectLst/>
          </c:spPr>
          <c:invertIfNegative val="0"/>
          <c:cat>
            <c:numRef>
              <c:f>Auxiliar!$B$7:$B$18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Auxiliar!$D$7:$D$18</c:f>
              <c:numCache>
                <c:formatCode>General</c:formatCode>
                <c:ptCount val="12"/>
                <c:pt idx="0">
                  <c:v>92</c:v>
                </c:pt>
                <c:pt idx="1">
                  <c:v>10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3-4C8A-98EF-356A3F81A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31110959"/>
        <c:axId val="1227227647"/>
      </c:barChart>
      <c:dateAx>
        <c:axId val="63111095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83D3B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7227647"/>
        <c:crosses val="autoZero"/>
        <c:auto val="1"/>
        <c:lblOffset val="100"/>
        <c:baseTimeUnit val="months"/>
      </c:dateAx>
      <c:valAx>
        <c:axId val="1227227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83D3B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1109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rgbClr val="283D3B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283D3B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Auxiliar!$I$20</c:f>
          <c:strCache>
            <c:ptCount val="1"/>
            <c:pt idx="0">
              <c:v>Resultado de Compras X Vendas para o ano de 2020
Valor em R$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283D3B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Auxiliar!$C$23</c:f>
              <c:strCache>
                <c:ptCount val="1"/>
                <c:pt idx="0">
                  <c:v>Compras</c:v>
                </c:pt>
              </c:strCache>
            </c:strRef>
          </c:tx>
          <c:spPr>
            <a:solidFill>
              <a:srgbClr val="FA482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Auxiliar!$B$24:$B$35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Auxiliar!$C$24:$C$35</c:f>
              <c:numCache>
                <c:formatCode>_-"R$"\ * #,##0_-;\-"R$"\ * #,##0_-;_-"R$"\ * "-"??_-;_-@_-</c:formatCode>
                <c:ptCount val="12"/>
                <c:pt idx="0">
                  <c:v>75.5</c:v>
                </c:pt>
                <c:pt idx="1">
                  <c:v>10</c:v>
                </c:pt>
                <c:pt idx="2">
                  <c:v>5.5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E-40A7-9128-0323661B9056}"/>
            </c:ext>
          </c:extLst>
        </c:ser>
        <c:ser>
          <c:idx val="1"/>
          <c:order val="1"/>
          <c:tx>
            <c:strRef>
              <c:f>Auxiliar!$D$23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rgbClr val="41C76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Auxiliar!$B$24:$B$35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Auxiliar!$D$24:$D$35</c:f>
              <c:numCache>
                <c:formatCode>_-"R$"\ * #,##0_-;\-"R$"\ * #,##0_-;_-"R$"\ * "-"??_-;_-@_-</c:formatCode>
                <c:ptCount val="12"/>
                <c:pt idx="0">
                  <c:v>193.2</c:v>
                </c:pt>
                <c:pt idx="1">
                  <c:v>21</c:v>
                </c:pt>
                <c:pt idx="2">
                  <c:v>21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3E-40A7-9128-0323661B90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89537023"/>
        <c:axId val="1096630799"/>
      </c:barChart>
      <c:dateAx>
        <c:axId val="58953702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83D3B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6630799"/>
        <c:crosses val="autoZero"/>
        <c:auto val="1"/>
        <c:lblOffset val="100"/>
        <c:baseTimeUnit val="months"/>
      </c:dateAx>
      <c:valAx>
        <c:axId val="1096630799"/>
        <c:scaling>
          <c:orientation val="minMax"/>
        </c:scaling>
        <c:delete val="0"/>
        <c:axPos val="l"/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83D3B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5370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rgbClr val="283D3B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283D3B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Auxiliar!$I$4</c:f>
          <c:strCache>
            <c:ptCount val="1"/>
            <c:pt idx="0">
              <c:v>Resultado de Compras X Vendas para o ano de 2020
Quantidades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Auxiliar!$C$6</c:f>
              <c:strCache>
                <c:ptCount val="1"/>
                <c:pt idx="0">
                  <c:v>Compras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Auxiliar!$B$7:$B$18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Auxiliar!$C$7:$C$18</c:f>
              <c:numCache>
                <c:formatCode>General</c:formatCode>
                <c:ptCount val="12"/>
                <c:pt idx="0">
                  <c:v>151</c:v>
                </c:pt>
                <c:pt idx="1">
                  <c:v>20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C-4684-A57E-340DB11C6AC4}"/>
            </c:ext>
          </c:extLst>
        </c:ser>
        <c:ser>
          <c:idx val="1"/>
          <c:order val="1"/>
          <c:tx>
            <c:strRef>
              <c:f>Auxiliar!$D$6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Auxiliar!$B$7:$B$18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Auxiliar!$D$7:$D$18</c:f>
              <c:numCache>
                <c:formatCode>General</c:formatCode>
                <c:ptCount val="12"/>
                <c:pt idx="0">
                  <c:v>92</c:v>
                </c:pt>
                <c:pt idx="1">
                  <c:v>10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C-4684-A57E-340DB11C6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31110959"/>
        <c:axId val="1227227647"/>
      </c:barChart>
      <c:dateAx>
        <c:axId val="63111095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7227647"/>
        <c:crosses val="autoZero"/>
        <c:auto val="1"/>
        <c:lblOffset val="100"/>
        <c:baseTimeUnit val="months"/>
      </c:dateAx>
      <c:valAx>
        <c:axId val="1227227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11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Auxiliar!$I$20</c:f>
          <c:strCache>
            <c:ptCount val="1"/>
            <c:pt idx="0">
              <c:v>Resultado de Compras X Vendas para o ano de 2020
Valor em R$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Auxiliar!$C$23</c:f>
              <c:strCache>
                <c:ptCount val="1"/>
                <c:pt idx="0">
                  <c:v>Compras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-&quot;R$&quot;\ * #,##0_-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Auxiliar!$B$24:$B$35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Auxiliar!$C$24:$C$35</c:f>
              <c:numCache>
                <c:formatCode>_-"R$"\ * #,##0_-;\-"R$"\ * #,##0_-;_-"R$"\ * "-"??_-;_-@_-</c:formatCode>
                <c:ptCount val="12"/>
                <c:pt idx="0">
                  <c:v>75.5</c:v>
                </c:pt>
                <c:pt idx="1">
                  <c:v>10</c:v>
                </c:pt>
                <c:pt idx="2">
                  <c:v>5.5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E-4F4C-8FE2-67A370D1E5E6}"/>
            </c:ext>
          </c:extLst>
        </c:ser>
        <c:ser>
          <c:idx val="1"/>
          <c:order val="1"/>
          <c:tx>
            <c:strRef>
              <c:f>Auxiliar!$D$23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_-&quot;R$&quot;\ * #,##0_-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Auxiliar!$B$24:$B$35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Auxiliar!$D$24:$D$35</c:f>
              <c:numCache>
                <c:formatCode>_-"R$"\ * #,##0_-;\-"R$"\ * #,##0_-;_-"R$"\ * "-"??_-;_-@_-</c:formatCode>
                <c:ptCount val="12"/>
                <c:pt idx="0">
                  <c:v>193.2</c:v>
                </c:pt>
                <c:pt idx="1">
                  <c:v>21</c:v>
                </c:pt>
                <c:pt idx="2">
                  <c:v>21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8E-4F4C-8FE2-67A370D1E5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89537023"/>
        <c:axId val="1096630799"/>
      </c:barChart>
      <c:dateAx>
        <c:axId val="58953702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6630799"/>
        <c:crosses val="autoZero"/>
        <c:auto val="1"/>
        <c:lblOffset val="100"/>
        <c:baseTimeUnit val="months"/>
      </c:dateAx>
      <c:valAx>
        <c:axId val="1096630799"/>
        <c:scaling>
          <c:orientation val="minMax"/>
        </c:scaling>
        <c:delete val="0"/>
        <c:axPos val="l"/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53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Auxiliar!$I$40</c:f>
          <c:strCache>
            <c:ptCount val="1"/>
            <c:pt idx="0">
              <c:v>Saldo em Estoque para os meses do ano de 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Auxiliar!$E$42</c:f>
              <c:strCache>
                <c:ptCount val="1"/>
                <c:pt idx="0">
                  <c:v>Saldo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;;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Auxiliar!$B$43:$B$54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Auxiliar!$E$43:$E$54</c:f>
              <c:numCache>
                <c:formatCode>General</c:formatCode>
                <c:ptCount val="12"/>
                <c:pt idx="0">
                  <c:v>17</c:v>
                </c:pt>
                <c:pt idx="1">
                  <c:v>53</c:v>
                </c:pt>
                <c:pt idx="2">
                  <c:v>23</c:v>
                </c:pt>
                <c:pt idx="3">
                  <c:v>-1.0000000000000001E-30</c:v>
                </c:pt>
                <c:pt idx="4">
                  <c:v>-1.0000000000000001E-30</c:v>
                </c:pt>
                <c:pt idx="5">
                  <c:v>-1.0000000000000001E-30</c:v>
                </c:pt>
                <c:pt idx="6">
                  <c:v>-1.0000000000000001E-30</c:v>
                </c:pt>
                <c:pt idx="7">
                  <c:v>-1.0000000000000001E-30</c:v>
                </c:pt>
                <c:pt idx="8">
                  <c:v>-1.0000000000000001E-30</c:v>
                </c:pt>
                <c:pt idx="9">
                  <c:v>-1.0000000000000001E-30</c:v>
                </c:pt>
                <c:pt idx="10">
                  <c:v>-1.0000000000000001E-30</c:v>
                </c:pt>
                <c:pt idx="11">
                  <c:v>-1.0000000000000001E-30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3-41CB-A552-986FFC06A1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45126943"/>
        <c:axId val="1428177151"/>
      </c:barChart>
      <c:dateAx>
        <c:axId val="144512694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8177151"/>
        <c:crosses val="autoZero"/>
        <c:auto val="1"/>
        <c:lblOffset val="100"/>
        <c:baseTimeUnit val="months"/>
      </c:dateAx>
      <c:valAx>
        <c:axId val="1428177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512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SA&#205;DAS!A1"/><Relationship Id="rId7" Type="http://schemas.openxmlformats.org/officeDocument/2006/relationships/image" Target="../media/image1.png"/><Relationship Id="rId2" Type="http://schemas.openxmlformats.org/officeDocument/2006/relationships/hyperlink" Target="#ENTRADAS!A1"/><Relationship Id="rId1" Type="http://schemas.openxmlformats.org/officeDocument/2006/relationships/hyperlink" Target="#PROD!A1"/><Relationship Id="rId6" Type="http://schemas.openxmlformats.org/officeDocument/2006/relationships/hyperlink" Target="#Instru&#231;&#245;es!A1"/><Relationship Id="rId5" Type="http://schemas.openxmlformats.org/officeDocument/2006/relationships/hyperlink" Target="#'DASH VG'!A1"/><Relationship Id="rId4" Type="http://schemas.openxmlformats.org/officeDocument/2006/relationships/hyperlink" Target="#'CONT. ESTOQUE'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CAPA!A1"/><Relationship Id="rId3" Type="http://schemas.openxmlformats.org/officeDocument/2006/relationships/hyperlink" Target="#PROD!A1"/><Relationship Id="rId7" Type="http://schemas.openxmlformats.org/officeDocument/2006/relationships/hyperlink" Target="#'DASH RESULTADOS'!A1"/><Relationship Id="rId2" Type="http://schemas.openxmlformats.org/officeDocument/2006/relationships/hyperlink" Target="#SA&#205;DAS!A1"/><Relationship Id="rId1" Type="http://schemas.openxmlformats.org/officeDocument/2006/relationships/hyperlink" Target="#ENTRADAS!A1"/><Relationship Id="rId6" Type="http://schemas.openxmlformats.org/officeDocument/2006/relationships/hyperlink" Target="#'DASH VG'!A1"/><Relationship Id="rId5" Type="http://schemas.openxmlformats.org/officeDocument/2006/relationships/chart" Target="../charts/chart1.xml"/><Relationship Id="rId4" Type="http://schemas.openxmlformats.org/officeDocument/2006/relationships/hyperlink" Target="#'CONT. ESTOQUE'!A1"/><Relationship Id="rId9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#'DASH ESTOQUE'!A1"/><Relationship Id="rId3" Type="http://schemas.openxmlformats.org/officeDocument/2006/relationships/hyperlink" Target="#PROD!A1"/><Relationship Id="rId7" Type="http://schemas.openxmlformats.org/officeDocument/2006/relationships/hyperlink" Target="#'DASH VG'!A1"/><Relationship Id="rId2" Type="http://schemas.openxmlformats.org/officeDocument/2006/relationships/hyperlink" Target="#SA&#205;DAS!A1"/><Relationship Id="rId1" Type="http://schemas.openxmlformats.org/officeDocument/2006/relationships/hyperlink" Target="#ENTRADAS!A1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10" Type="http://schemas.openxmlformats.org/officeDocument/2006/relationships/image" Target="../media/image2.png"/><Relationship Id="rId4" Type="http://schemas.openxmlformats.org/officeDocument/2006/relationships/hyperlink" Target="#'CONT. ESTOQUE'!A1"/><Relationship Id="rId9" Type="http://schemas.openxmlformats.org/officeDocument/2006/relationships/hyperlink" Target="#CAPA!A1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FORN!A1"/><Relationship Id="rId3" Type="http://schemas.openxmlformats.org/officeDocument/2006/relationships/hyperlink" Target="#SA&#205;DAS!A1"/><Relationship Id="rId7" Type="http://schemas.openxmlformats.org/officeDocument/2006/relationships/hyperlink" Target="#LOJAS!A1"/><Relationship Id="rId2" Type="http://schemas.openxmlformats.org/officeDocument/2006/relationships/image" Target="../media/image2.png"/><Relationship Id="rId1" Type="http://schemas.openxmlformats.org/officeDocument/2006/relationships/hyperlink" Target="#CAPA!A1"/><Relationship Id="rId6" Type="http://schemas.openxmlformats.org/officeDocument/2006/relationships/hyperlink" Target="#ENTRADAS!A1"/><Relationship Id="rId5" Type="http://schemas.openxmlformats.org/officeDocument/2006/relationships/hyperlink" Target="#'CONT. ESTOQUE'!A1"/><Relationship Id="rId4" Type="http://schemas.openxmlformats.org/officeDocument/2006/relationships/image" Target="../media/image3.png"/><Relationship Id="rId9" Type="http://schemas.openxmlformats.org/officeDocument/2006/relationships/hyperlink" Target="#PROD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hyperlink" Target="#'CONT. ESTOQUE'!A1"/><Relationship Id="rId7" Type="http://schemas.openxmlformats.org/officeDocument/2006/relationships/hyperlink" Target="#CAPA!A1"/><Relationship Id="rId2" Type="http://schemas.openxmlformats.org/officeDocument/2006/relationships/hyperlink" Target="#SA&#205;DAS!A1"/><Relationship Id="rId1" Type="http://schemas.openxmlformats.org/officeDocument/2006/relationships/hyperlink" Target="#ENTRADAS!A1"/><Relationship Id="rId6" Type="http://schemas.openxmlformats.org/officeDocument/2006/relationships/hyperlink" Target="#LOJAS!A1"/><Relationship Id="rId5" Type="http://schemas.openxmlformats.org/officeDocument/2006/relationships/hyperlink" Target="#FORN!A1"/><Relationship Id="rId10" Type="http://schemas.openxmlformats.org/officeDocument/2006/relationships/image" Target="../media/image4.png"/><Relationship Id="rId4" Type="http://schemas.openxmlformats.org/officeDocument/2006/relationships/hyperlink" Target="#'DASH VG'!A1"/><Relationship Id="rId9" Type="http://schemas.openxmlformats.org/officeDocument/2006/relationships/hyperlink" Target="#Instru&#231;&#245;es!C8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hyperlink" Target="#'CONT. ESTOQUE'!A1"/><Relationship Id="rId7" Type="http://schemas.openxmlformats.org/officeDocument/2006/relationships/hyperlink" Target="#CAPA!A1"/><Relationship Id="rId2" Type="http://schemas.openxmlformats.org/officeDocument/2006/relationships/hyperlink" Target="#SA&#205;DAS!A1"/><Relationship Id="rId1" Type="http://schemas.openxmlformats.org/officeDocument/2006/relationships/hyperlink" Target="#ENTRADAS!A1"/><Relationship Id="rId6" Type="http://schemas.openxmlformats.org/officeDocument/2006/relationships/hyperlink" Target="#LOJAS!A1"/><Relationship Id="rId5" Type="http://schemas.openxmlformats.org/officeDocument/2006/relationships/hyperlink" Target="#PROD!A1"/><Relationship Id="rId10" Type="http://schemas.openxmlformats.org/officeDocument/2006/relationships/image" Target="../media/image4.png"/><Relationship Id="rId4" Type="http://schemas.openxmlformats.org/officeDocument/2006/relationships/hyperlink" Target="#'DASH VG'!A1"/><Relationship Id="rId9" Type="http://schemas.openxmlformats.org/officeDocument/2006/relationships/hyperlink" Target="#Instru&#231;&#245;es!C10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Instru&#231;&#245;es!C12"/><Relationship Id="rId3" Type="http://schemas.openxmlformats.org/officeDocument/2006/relationships/hyperlink" Target="#'CONT. ESTOQUE'!A1"/><Relationship Id="rId7" Type="http://schemas.openxmlformats.org/officeDocument/2006/relationships/image" Target="../media/image2.png"/><Relationship Id="rId2" Type="http://schemas.openxmlformats.org/officeDocument/2006/relationships/hyperlink" Target="#SA&#205;DAS!A1"/><Relationship Id="rId1" Type="http://schemas.openxmlformats.org/officeDocument/2006/relationships/hyperlink" Target="#ENTRADAS!A1"/><Relationship Id="rId6" Type="http://schemas.openxmlformats.org/officeDocument/2006/relationships/hyperlink" Target="#CAPA!A1"/><Relationship Id="rId5" Type="http://schemas.openxmlformats.org/officeDocument/2006/relationships/hyperlink" Target="#FORN!A1"/><Relationship Id="rId4" Type="http://schemas.openxmlformats.org/officeDocument/2006/relationships/hyperlink" Target="#'DASH VG'!A1"/><Relationship Id="rId9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'CONT. ESTOQUE'!A1"/><Relationship Id="rId7" Type="http://schemas.openxmlformats.org/officeDocument/2006/relationships/hyperlink" Target="#Instru&#231;&#245;es!C14"/><Relationship Id="rId2" Type="http://schemas.openxmlformats.org/officeDocument/2006/relationships/hyperlink" Target="#PROD!A1"/><Relationship Id="rId1" Type="http://schemas.openxmlformats.org/officeDocument/2006/relationships/hyperlink" Target="#SA&#205;DAS!A1"/><Relationship Id="rId6" Type="http://schemas.openxmlformats.org/officeDocument/2006/relationships/image" Target="../media/image2.png"/><Relationship Id="rId5" Type="http://schemas.openxmlformats.org/officeDocument/2006/relationships/hyperlink" Target="#CAPA!A1"/><Relationship Id="rId4" Type="http://schemas.openxmlformats.org/officeDocument/2006/relationships/hyperlink" Target="#'DASH VG'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'CONT. ESTOQUE'!A1"/><Relationship Id="rId7" Type="http://schemas.openxmlformats.org/officeDocument/2006/relationships/hyperlink" Target="#Instru&#231;&#245;es!C16"/><Relationship Id="rId2" Type="http://schemas.openxmlformats.org/officeDocument/2006/relationships/hyperlink" Target="#PROD!A1"/><Relationship Id="rId1" Type="http://schemas.openxmlformats.org/officeDocument/2006/relationships/hyperlink" Target="#ENTRADAS!A1"/><Relationship Id="rId6" Type="http://schemas.openxmlformats.org/officeDocument/2006/relationships/image" Target="../media/image2.png"/><Relationship Id="rId5" Type="http://schemas.openxmlformats.org/officeDocument/2006/relationships/hyperlink" Target="#CAPA!A1"/><Relationship Id="rId4" Type="http://schemas.openxmlformats.org/officeDocument/2006/relationships/hyperlink" Target="#'DASH VG'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PROD!A1"/><Relationship Id="rId7" Type="http://schemas.openxmlformats.org/officeDocument/2006/relationships/hyperlink" Target="#Instru&#231;&#245;es!C18"/><Relationship Id="rId2" Type="http://schemas.openxmlformats.org/officeDocument/2006/relationships/hyperlink" Target="#SA&#205;DAS!A1"/><Relationship Id="rId1" Type="http://schemas.openxmlformats.org/officeDocument/2006/relationships/hyperlink" Target="#ENTRADAS!A1"/><Relationship Id="rId6" Type="http://schemas.openxmlformats.org/officeDocument/2006/relationships/image" Target="../media/image2.png"/><Relationship Id="rId5" Type="http://schemas.openxmlformats.org/officeDocument/2006/relationships/hyperlink" Target="#CAPA!A1"/><Relationship Id="rId4" Type="http://schemas.openxmlformats.org/officeDocument/2006/relationships/hyperlink" Target="#'DASH VG'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hyperlink" Target="#PROD!A1"/><Relationship Id="rId7" Type="http://schemas.openxmlformats.org/officeDocument/2006/relationships/hyperlink" Target="#CAPA!A1"/><Relationship Id="rId2" Type="http://schemas.openxmlformats.org/officeDocument/2006/relationships/hyperlink" Target="#SA&#205;DAS!A1"/><Relationship Id="rId1" Type="http://schemas.openxmlformats.org/officeDocument/2006/relationships/hyperlink" Target="#ENTRADAS!A1"/><Relationship Id="rId6" Type="http://schemas.openxmlformats.org/officeDocument/2006/relationships/hyperlink" Target="#'DASH RESULTADOS'!A1"/><Relationship Id="rId5" Type="http://schemas.openxmlformats.org/officeDocument/2006/relationships/hyperlink" Target="#'DASH ESTOQUE'!A1"/><Relationship Id="rId4" Type="http://schemas.openxmlformats.org/officeDocument/2006/relationships/hyperlink" Target="#'CONT. ESTOQU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0</xdr:row>
      <xdr:rowOff>76200</xdr:rowOff>
    </xdr:from>
    <xdr:to>
      <xdr:col>13</xdr:col>
      <xdr:colOff>1</xdr:colOff>
      <xdr:row>7</xdr:row>
      <xdr:rowOff>152401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7F0FC2B-6A6E-4271-B7A8-8DC87E4FBD1B}"/>
            </a:ext>
          </a:extLst>
        </xdr:cNvPr>
        <xdr:cNvSpPr txBox="1"/>
      </xdr:nvSpPr>
      <xdr:spPr>
        <a:xfrm>
          <a:off x="2438401" y="76200"/>
          <a:ext cx="5486400" cy="1409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800" b="1">
              <a:solidFill>
                <a:schemeClr val="bg1"/>
              </a:solidFill>
            </a:rPr>
            <a:t>PLANILHA DE CONTROLE</a:t>
          </a:r>
          <a:r>
            <a:rPr lang="pt-BR" sz="2800" b="1" baseline="0">
              <a:solidFill>
                <a:schemeClr val="bg1"/>
              </a:solidFill>
            </a:rPr>
            <a:t> DE ESTOQUE</a:t>
          </a:r>
          <a:endParaRPr lang="pt-BR" sz="28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5</xdr:col>
      <xdr:colOff>161926</xdr:colOff>
      <xdr:row>12</xdr:row>
      <xdr:rowOff>123826</xdr:rowOff>
    </xdr:to>
    <xdr:sp macro="" textlink="">
      <xdr:nvSpPr>
        <xdr:cNvPr id="5" name="Retângulo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B5F84B-7916-41B9-9C1C-61EEC04173B4}"/>
            </a:ext>
          </a:extLst>
        </xdr:cNvPr>
        <xdr:cNvSpPr/>
      </xdr:nvSpPr>
      <xdr:spPr>
        <a:xfrm>
          <a:off x="1828800" y="1905000"/>
          <a:ext cx="1381126" cy="504826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283D3B"/>
              </a:solidFill>
            </a:rPr>
            <a:t>CADASTRO</a:t>
          </a:r>
          <a:r>
            <a:rPr lang="pt-BR" sz="1100" b="1" baseline="0">
              <a:solidFill>
                <a:srgbClr val="283D3B"/>
              </a:solidFill>
            </a:rPr>
            <a:t> DE DADOS</a:t>
          </a:r>
          <a:endParaRPr lang="pt-BR" sz="1100" b="1">
            <a:solidFill>
              <a:srgbClr val="283D3B"/>
            </a:solidFill>
          </a:endParaRPr>
        </a:p>
      </xdr:txBody>
    </xdr:sp>
    <xdr:clientData/>
  </xdr:twoCellAnchor>
  <xdr:twoCellAnchor>
    <xdr:from>
      <xdr:col>6</xdr:col>
      <xdr:colOff>0</xdr:colOff>
      <xdr:row>10</xdr:row>
      <xdr:rowOff>0</xdr:rowOff>
    </xdr:from>
    <xdr:to>
      <xdr:col>8</xdr:col>
      <xdr:colOff>161926</xdr:colOff>
      <xdr:row>12</xdr:row>
      <xdr:rowOff>123826</xdr:rowOff>
    </xdr:to>
    <xdr:sp macro="" textlink="">
      <xdr:nvSpPr>
        <xdr:cNvPr id="7" name="Retângulo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AFBB817-F2D5-4C5C-BB97-58D4E3A72D8C}"/>
            </a:ext>
          </a:extLst>
        </xdr:cNvPr>
        <xdr:cNvSpPr/>
      </xdr:nvSpPr>
      <xdr:spPr>
        <a:xfrm>
          <a:off x="3657600" y="1905000"/>
          <a:ext cx="1381126" cy="504826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283D3B"/>
              </a:solidFill>
            </a:rPr>
            <a:t>CONTROLE DE ENTRADAS</a:t>
          </a:r>
        </a:p>
      </xdr:txBody>
    </xdr:sp>
    <xdr:clientData/>
  </xdr:twoCellAnchor>
  <xdr:twoCellAnchor>
    <xdr:from>
      <xdr:col>9</xdr:col>
      <xdr:colOff>0</xdr:colOff>
      <xdr:row>10</xdr:row>
      <xdr:rowOff>0</xdr:rowOff>
    </xdr:from>
    <xdr:to>
      <xdr:col>11</xdr:col>
      <xdr:colOff>161926</xdr:colOff>
      <xdr:row>12</xdr:row>
      <xdr:rowOff>123826</xdr:rowOff>
    </xdr:to>
    <xdr:sp macro="" textlink="">
      <xdr:nvSpPr>
        <xdr:cNvPr id="8" name="Retângulo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3D30CE2-8038-4AB6-BC76-0C40D60E747A}"/>
            </a:ext>
          </a:extLst>
        </xdr:cNvPr>
        <xdr:cNvSpPr/>
      </xdr:nvSpPr>
      <xdr:spPr>
        <a:xfrm>
          <a:off x="5486400" y="1905000"/>
          <a:ext cx="1381126" cy="504826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283D3B"/>
              </a:solidFill>
            </a:rPr>
            <a:t>CONTROLE DE SAÍDAS</a:t>
          </a:r>
        </a:p>
      </xdr:txBody>
    </xdr:sp>
    <xdr:clientData/>
  </xdr:twoCellAnchor>
  <xdr:twoCellAnchor>
    <xdr:from>
      <xdr:col>12</xdr:col>
      <xdr:colOff>28575</xdr:colOff>
      <xdr:row>10</xdr:row>
      <xdr:rowOff>0</xdr:rowOff>
    </xdr:from>
    <xdr:to>
      <xdr:col>14</xdr:col>
      <xdr:colOff>190501</xdr:colOff>
      <xdr:row>12</xdr:row>
      <xdr:rowOff>123826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8466CF-DBCA-4BDB-B5AD-C85B68157CFA}"/>
            </a:ext>
          </a:extLst>
        </xdr:cNvPr>
        <xdr:cNvSpPr/>
      </xdr:nvSpPr>
      <xdr:spPr>
        <a:xfrm>
          <a:off x="7343775" y="1905000"/>
          <a:ext cx="1381126" cy="504826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283D3B"/>
              </a:solidFill>
            </a:rPr>
            <a:t>CONTROLE DE ESTOQUE</a:t>
          </a:r>
        </a:p>
      </xdr:txBody>
    </xdr:sp>
    <xdr:clientData/>
  </xdr:twoCellAnchor>
  <xdr:twoCellAnchor>
    <xdr:from>
      <xdr:col>7</xdr:col>
      <xdr:colOff>342899</xdr:colOff>
      <xdr:row>14</xdr:row>
      <xdr:rowOff>180975</xdr:rowOff>
    </xdr:from>
    <xdr:to>
      <xdr:col>9</xdr:col>
      <xdr:colOff>504825</xdr:colOff>
      <xdr:row>17</xdr:row>
      <xdr:rowOff>114301</xdr:rowOff>
    </xdr:to>
    <xdr:sp macro="" textlink="">
      <xdr:nvSpPr>
        <xdr:cNvPr id="10" name="Retângulo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935E31D-B963-4D6F-AAA7-C432A7CDDB26}"/>
            </a:ext>
          </a:extLst>
        </xdr:cNvPr>
        <xdr:cNvSpPr/>
      </xdr:nvSpPr>
      <xdr:spPr>
        <a:xfrm>
          <a:off x="4610099" y="2847975"/>
          <a:ext cx="1381126" cy="504826"/>
        </a:xfrm>
        <a:prstGeom prst="rect">
          <a:avLst/>
        </a:prstGeom>
        <a:solidFill>
          <a:srgbClr val="FF9F1C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283D3B"/>
              </a:solidFill>
            </a:rPr>
            <a:t>DASHBOARD</a:t>
          </a:r>
        </a:p>
      </xdr:txBody>
    </xdr:sp>
    <xdr:clientData/>
  </xdr:twoCellAnchor>
  <xdr:twoCellAnchor editAs="oneCell">
    <xdr:from>
      <xdr:col>15</xdr:col>
      <xdr:colOff>581026</xdr:colOff>
      <xdr:row>20</xdr:row>
      <xdr:rowOff>114301</xdr:rowOff>
    </xdr:from>
    <xdr:to>
      <xdr:col>16</xdr:col>
      <xdr:colOff>276226</xdr:colOff>
      <xdr:row>22</xdr:row>
      <xdr:rowOff>38101</xdr:rowOff>
    </xdr:to>
    <xdr:pic>
      <xdr:nvPicPr>
        <xdr:cNvPr id="6" name="Imagem 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8AA399A-9DD4-4B59-84C5-6D0389BDB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5026" y="3924301"/>
          <a:ext cx="304800" cy="3048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240505</xdr:colOff>
      <xdr:row>0</xdr:row>
      <xdr:rowOff>109537</xdr:rowOff>
    </xdr:from>
    <xdr:to>
      <xdr:col>5</xdr:col>
      <xdr:colOff>1212505</xdr:colOff>
      <xdr:row>0</xdr:row>
      <xdr:rowOff>469537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F12564-01C3-4869-B435-0DF1C41DBBCA}"/>
            </a:ext>
          </a:extLst>
        </xdr:cNvPr>
        <xdr:cNvSpPr/>
      </xdr:nvSpPr>
      <xdr:spPr>
        <a:xfrm>
          <a:off x="574595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ENTRADAS</a:t>
          </a:r>
        </a:p>
      </xdr:txBody>
    </xdr:sp>
    <xdr:clientData/>
  </xdr:twoCellAnchor>
  <xdr:twoCellAnchor editAs="absolute">
    <xdr:from>
      <xdr:col>6</xdr:col>
      <xdr:colOff>100011</xdr:colOff>
      <xdr:row>0</xdr:row>
      <xdr:rowOff>109537</xdr:rowOff>
    </xdr:from>
    <xdr:to>
      <xdr:col>6</xdr:col>
      <xdr:colOff>1072011</xdr:colOff>
      <xdr:row>0</xdr:row>
      <xdr:rowOff>469537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7D37A97-CE82-4E58-A26D-23DA7F29B69C}"/>
            </a:ext>
          </a:extLst>
        </xdr:cNvPr>
        <xdr:cNvSpPr/>
      </xdr:nvSpPr>
      <xdr:spPr>
        <a:xfrm>
          <a:off x="6824661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SAÍDAS</a:t>
          </a:r>
        </a:p>
      </xdr:txBody>
    </xdr:sp>
    <xdr:clientData/>
  </xdr:twoCellAnchor>
  <xdr:twoCellAnchor editAs="absolute">
    <xdr:from>
      <xdr:col>4</xdr:col>
      <xdr:colOff>380999</xdr:colOff>
      <xdr:row>0</xdr:row>
      <xdr:rowOff>109537</xdr:rowOff>
    </xdr:from>
    <xdr:to>
      <xdr:col>5</xdr:col>
      <xdr:colOff>133799</xdr:colOff>
      <xdr:row>0</xdr:row>
      <xdr:rowOff>469537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479CD1C-0E46-4C3C-8B80-C272AA123FD9}"/>
            </a:ext>
          </a:extLst>
        </xdr:cNvPr>
        <xdr:cNvSpPr/>
      </xdr:nvSpPr>
      <xdr:spPr>
        <a:xfrm>
          <a:off x="4667249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/>
            <a:t>CADASTRO DE</a:t>
          </a:r>
          <a:r>
            <a:rPr lang="pt-BR" sz="800" baseline="0"/>
            <a:t> PRODUTOS</a:t>
          </a:r>
          <a:endParaRPr lang="pt-BR" sz="800"/>
        </a:p>
      </xdr:txBody>
    </xdr:sp>
    <xdr:clientData/>
  </xdr:twoCellAnchor>
  <xdr:twoCellAnchor editAs="absolute">
    <xdr:from>
      <xdr:col>6</xdr:col>
      <xdr:colOff>1178717</xdr:colOff>
      <xdr:row>0</xdr:row>
      <xdr:rowOff>109537</xdr:rowOff>
    </xdr:from>
    <xdr:to>
      <xdr:col>7</xdr:col>
      <xdr:colOff>721967</xdr:colOff>
      <xdr:row>0</xdr:row>
      <xdr:rowOff>469537</xdr:rowOff>
    </xdr:to>
    <xdr:sp macro="" textlink="">
      <xdr:nvSpPr>
        <xdr:cNvPr id="5" name="Retâ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E7A6E03-5921-4788-A0C3-F7CF7E44B6CE}"/>
            </a:ext>
          </a:extLst>
        </xdr:cNvPr>
        <xdr:cNvSpPr/>
      </xdr:nvSpPr>
      <xdr:spPr>
        <a:xfrm>
          <a:off x="7903367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CONTROLE DE ESTOQUE</a:t>
          </a:r>
        </a:p>
      </xdr:txBody>
    </xdr:sp>
    <xdr:clientData/>
  </xdr:twoCellAnchor>
  <xdr:twoCellAnchor editAs="absolute">
    <xdr:from>
      <xdr:col>7</xdr:col>
      <xdr:colOff>828675</xdr:colOff>
      <xdr:row>0</xdr:row>
      <xdr:rowOff>109537</xdr:rowOff>
    </xdr:from>
    <xdr:to>
      <xdr:col>8</xdr:col>
      <xdr:colOff>333825</xdr:colOff>
      <xdr:row>0</xdr:row>
      <xdr:rowOff>469537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32602EEA-99F7-4800-BE7A-647DC05E0F47}"/>
            </a:ext>
          </a:extLst>
        </xdr:cNvPr>
        <xdr:cNvSpPr/>
      </xdr:nvSpPr>
      <xdr:spPr>
        <a:xfrm>
          <a:off x="8982075" y="109537"/>
          <a:ext cx="972000" cy="360000"/>
        </a:xfrm>
        <a:prstGeom prst="rect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 b="1">
              <a:solidFill>
                <a:schemeClr val="tx2"/>
              </a:solidFill>
              <a:latin typeface="+mn-lt"/>
              <a:ea typeface="+mn-ea"/>
              <a:cs typeface="+mn-cs"/>
            </a:rPr>
            <a:t>DASHBOARD</a:t>
          </a:r>
        </a:p>
      </xdr:txBody>
    </xdr:sp>
    <xdr:clientData/>
  </xdr:twoCellAnchor>
  <xdr:twoCellAnchor>
    <xdr:from>
      <xdr:col>1</xdr:col>
      <xdr:colOff>19049</xdr:colOff>
      <xdr:row>10</xdr:row>
      <xdr:rowOff>9525</xdr:rowOff>
    </xdr:from>
    <xdr:to>
      <xdr:col>10</xdr:col>
      <xdr:colOff>219074</xdr:colOff>
      <xdr:row>22</xdr:row>
      <xdr:rowOff>142875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A157868-1139-409A-B115-72391E09C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</xdr:col>
      <xdr:colOff>609600</xdr:colOff>
      <xdr:row>3</xdr:row>
      <xdr:rowOff>19050</xdr:rowOff>
    </xdr:from>
    <xdr:to>
      <xdr:col>4</xdr:col>
      <xdr:colOff>295275</xdr:colOff>
      <xdr:row>4</xdr:row>
      <xdr:rowOff>133349</xdr:rowOff>
    </xdr:to>
    <xdr:sp macro="" textlink="">
      <xdr:nvSpPr>
        <xdr:cNvPr id="27" name="Retângulo 2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F3F5EC3-91C9-4E14-8931-7C88C2430AC7}"/>
            </a:ext>
          </a:extLst>
        </xdr:cNvPr>
        <xdr:cNvSpPr/>
      </xdr:nvSpPr>
      <xdr:spPr>
        <a:xfrm>
          <a:off x="3676650" y="762000"/>
          <a:ext cx="904875" cy="30479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Visão</a:t>
          </a:r>
          <a:r>
            <a:rPr lang="pt-BR" sz="1000" baseline="0"/>
            <a:t> Geral</a:t>
          </a:r>
          <a:endParaRPr lang="pt-BR" sz="1000"/>
        </a:p>
      </xdr:txBody>
    </xdr:sp>
    <xdr:clientData/>
  </xdr:twoCellAnchor>
  <xdr:twoCellAnchor editAs="absolute">
    <xdr:from>
      <xdr:col>4</xdr:col>
      <xdr:colOff>414338</xdr:colOff>
      <xdr:row>3</xdr:row>
      <xdr:rowOff>19050</xdr:rowOff>
    </xdr:from>
    <xdr:to>
      <xdr:col>5</xdr:col>
      <xdr:colOff>100013</xdr:colOff>
      <xdr:row>4</xdr:row>
      <xdr:rowOff>133349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5ED30616-3830-4B58-B82D-0F3B6F525808}"/>
            </a:ext>
          </a:extLst>
        </xdr:cNvPr>
        <xdr:cNvSpPr/>
      </xdr:nvSpPr>
      <xdr:spPr>
        <a:xfrm>
          <a:off x="4700588" y="762000"/>
          <a:ext cx="904875" cy="304799"/>
        </a:xfrm>
        <a:prstGeom prst="rect">
          <a:avLst/>
        </a:prstGeom>
        <a:solidFill>
          <a:srgbClr val="9E2A2B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/>
            <a:t>Saldo Estoque</a:t>
          </a:r>
        </a:p>
      </xdr:txBody>
    </xdr:sp>
    <xdr:clientData/>
  </xdr:twoCellAnchor>
  <xdr:twoCellAnchor editAs="absolute">
    <xdr:from>
      <xdr:col>5</xdr:col>
      <xdr:colOff>219075</xdr:colOff>
      <xdr:row>3</xdr:row>
      <xdr:rowOff>19050</xdr:rowOff>
    </xdr:from>
    <xdr:to>
      <xdr:col>5</xdr:col>
      <xdr:colOff>1123950</xdr:colOff>
      <xdr:row>4</xdr:row>
      <xdr:rowOff>133349</xdr:rowOff>
    </xdr:to>
    <xdr:sp macro="" textlink="">
      <xdr:nvSpPr>
        <xdr:cNvPr id="29" name="Retângulo 2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98994F8-7B98-4A9C-A4DA-BDA2012DB465}"/>
            </a:ext>
          </a:extLst>
        </xdr:cNvPr>
        <xdr:cNvSpPr/>
      </xdr:nvSpPr>
      <xdr:spPr>
        <a:xfrm>
          <a:off x="5724525" y="762000"/>
          <a:ext cx="904875" cy="30479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Produtos</a:t>
          </a:r>
        </a:p>
      </xdr:txBody>
    </xdr:sp>
    <xdr:clientData/>
  </xdr:twoCellAnchor>
  <xdr:twoCellAnchor editAs="oneCell">
    <xdr:from>
      <xdr:col>9</xdr:col>
      <xdr:colOff>495300</xdr:colOff>
      <xdr:row>0</xdr:row>
      <xdr:rowOff>133350</xdr:rowOff>
    </xdr:from>
    <xdr:to>
      <xdr:col>9</xdr:col>
      <xdr:colOff>828674</xdr:colOff>
      <xdr:row>0</xdr:row>
      <xdr:rowOff>393382</xdr:rowOff>
    </xdr:to>
    <xdr:pic>
      <xdr:nvPicPr>
        <xdr:cNvPr id="30" name="Imagem 2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9EADB4E-D891-4F8C-BDDF-7626A0861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133350"/>
          <a:ext cx="333374" cy="26003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516730</xdr:colOff>
      <xdr:row>0</xdr:row>
      <xdr:rowOff>109537</xdr:rowOff>
    </xdr:from>
    <xdr:to>
      <xdr:col>6</xdr:col>
      <xdr:colOff>545755</xdr:colOff>
      <xdr:row>0</xdr:row>
      <xdr:rowOff>469537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A9AC24-538F-4211-905C-EFCD8AFFA843}"/>
            </a:ext>
          </a:extLst>
        </xdr:cNvPr>
        <xdr:cNvSpPr/>
      </xdr:nvSpPr>
      <xdr:spPr>
        <a:xfrm>
          <a:off x="574595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ENTRADAS</a:t>
          </a:r>
        </a:p>
      </xdr:txBody>
    </xdr:sp>
    <xdr:clientData/>
  </xdr:twoCellAnchor>
  <xdr:twoCellAnchor editAs="absolute">
    <xdr:from>
      <xdr:col>6</xdr:col>
      <xdr:colOff>652461</xdr:colOff>
      <xdr:row>0</xdr:row>
      <xdr:rowOff>109537</xdr:rowOff>
    </xdr:from>
    <xdr:to>
      <xdr:col>7</xdr:col>
      <xdr:colOff>195711</xdr:colOff>
      <xdr:row>0</xdr:row>
      <xdr:rowOff>469537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2688E05-1338-40D2-82A8-5DA1A4CCF480}"/>
            </a:ext>
          </a:extLst>
        </xdr:cNvPr>
        <xdr:cNvSpPr/>
      </xdr:nvSpPr>
      <xdr:spPr>
        <a:xfrm>
          <a:off x="6824661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SAÍDAS</a:t>
          </a:r>
        </a:p>
      </xdr:txBody>
    </xdr:sp>
    <xdr:clientData/>
  </xdr:twoCellAnchor>
  <xdr:twoCellAnchor editAs="absolute">
    <xdr:from>
      <xdr:col>4</xdr:col>
      <xdr:colOff>380999</xdr:colOff>
      <xdr:row>0</xdr:row>
      <xdr:rowOff>109537</xdr:rowOff>
    </xdr:from>
    <xdr:to>
      <xdr:col>5</xdr:col>
      <xdr:colOff>410024</xdr:colOff>
      <xdr:row>0</xdr:row>
      <xdr:rowOff>469537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AF81F7-B480-4CC1-A9E6-B8B9AF9EDC31}"/>
            </a:ext>
          </a:extLst>
        </xdr:cNvPr>
        <xdr:cNvSpPr/>
      </xdr:nvSpPr>
      <xdr:spPr>
        <a:xfrm>
          <a:off x="4667249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/>
            <a:t>CADASTRO DE</a:t>
          </a:r>
          <a:r>
            <a:rPr lang="pt-BR" sz="800" baseline="0"/>
            <a:t> PRODUTOS</a:t>
          </a:r>
          <a:endParaRPr lang="pt-BR" sz="800"/>
        </a:p>
      </xdr:txBody>
    </xdr:sp>
    <xdr:clientData/>
  </xdr:twoCellAnchor>
  <xdr:twoCellAnchor editAs="absolute">
    <xdr:from>
      <xdr:col>7</xdr:col>
      <xdr:colOff>302417</xdr:colOff>
      <xdr:row>0</xdr:row>
      <xdr:rowOff>109537</xdr:rowOff>
    </xdr:from>
    <xdr:to>
      <xdr:col>7</xdr:col>
      <xdr:colOff>1274417</xdr:colOff>
      <xdr:row>0</xdr:row>
      <xdr:rowOff>469537</xdr:rowOff>
    </xdr:to>
    <xdr:sp macro="" textlink="">
      <xdr:nvSpPr>
        <xdr:cNvPr id="5" name="Retâ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C87CE91-32DC-4BF1-890C-7E20EA5CFFE6}"/>
            </a:ext>
          </a:extLst>
        </xdr:cNvPr>
        <xdr:cNvSpPr/>
      </xdr:nvSpPr>
      <xdr:spPr>
        <a:xfrm>
          <a:off x="7903367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CONTROLE DE ESTOQUE</a:t>
          </a:r>
        </a:p>
      </xdr:txBody>
    </xdr:sp>
    <xdr:clientData/>
  </xdr:twoCellAnchor>
  <xdr:twoCellAnchor editAs="absolute">
    <xdr:from>
      <xdr:col>7</xdr:col>
      <xdr:colOff>1381125</xdr:colOff>
      <xdr:row>0</xdr:row>
      <xdr:rowOff>109537</xdr:rowOff>
    </xdr:from>
    <xdr:to>
      <xdr:col>8</xdr:col>
      <xdr:colOff>886275</xdr:colOff>
      <xdr:row>0</xdr:row>
      <xdr:rowOff>469537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FB732F55-4579-4DD0-B4AE-648AA0F0CCF7}"/>
            </a:ext>
          </a:extLst>
        </xdr:cNvPr>
        <xdr:cNvSpPr/>
      </xdr:nvSpPr>
      <xdr:spPr>
        <a:xfrm>
          <a:off x="8982075" y="109537"/>
          <a:ext cx="972000" cy="360000"/>
        </a:xfrm>
        <a:prstGeom prst="rect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 b="1">
              <a:solidFill>
                <a:schemeClr val="tx2"/>
              </a:solidFill>
              <a:latin typeface="+mn-lt"/>
              <a:ea typeface="+mn-ea"/>
              <a:cs typeface="+mn-cs"/>
            </a:rPr>
            <a:t>DASHBOARD</a:t>
          </a:r>
        </a:p>
      </xdr:txBody>
    </xdr:sp>
    <xdr:clientData/>
  </xdr:twoCellAnchor>
  <xdr:twoCellAnchor editAs="absolute">
    <xdr:from>
      <xdr:col>0</xdr:col>
      <xdr:colOff>152399</xdr:colOff>
      <xdr:row>10</xdr:row>
      <xdr:rowOff>0</xdr:rowOff>
    </xdr:from>
    <xdr:to>
      <xdr:col>5</xdr:col>
      <xdr:colOff>514350</xdr:colOff>
      <xdr:row>22</xdr:row>
      <xdr:rowOff>114300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9A97184-C412-4923-BDF2-CFC73908D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5</xdr:col>
      <xdr:colOff>657225</xdr:colOff>
      <xdr:row>9</xdr:row>
      <xdr:rowOff>182879</xdr:rowOff>
    </xdr:from>
    <xdr:to>
      <xdr:col>11</xdr:col>
      <xdr:colOff>381000</xdr:colOff>
      <xdr:row>22</xdr:row>
      <xdr:rowOff>123824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67521E8-E239-496A-A77A-1616E5471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3</xdr:col>
      <xdr:colOff>609600</xdr:colOff>
      <xdr:row>3</xdr:row>
      <xdr:rowOff>19050</xdr:rowOff>
    </xdr:from>
    <xdr:to>
      <xdr:col>4</xdr:col>
      <xdr:colOff>295275</xdr:colOff>
      <xdr:row>4</xdr:row>
      <xdr:rowOff>133349</xdr:rowOff>
    </xdr:to>
    <xdr:sp macro="" textlink="">
      <xdr:nvSpPr>
        <xdr:cNvPr id="16" name="Retângulo 1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9FB6FF1-5C97-47E4-890E-533C216786DB}"/>
            </a:ext>
          </a:extLst>
        </xdr:cNvPr>
        <xdr:cNvSpPr/>
      </xdr:nvSpPr>
      <xdr:spPr>
        <a:xfrm>
          <a:off x="3676650" y="762000"/>
          <a:ext cx="904875" cy="30479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Visão</a:t>
          </a:r>
          <a:r>
            <a:rPr lang="pt-BR" sz="1000" baseline="0"/>
            <a:t> Geral</a:t>
          </a:r>
          <a:endParaRPr lang="pt-BR" sz="1000"/>
        </a:p>
      </xdr:txBody>
    </xdr:sp>
    <xdr:clientData/>
  </xdr:twoCellAnchor>
  <xdr:twoCellAnchor editAs="absolute">
    <xdr:from>
      <xdr:col>4</xdr:col>
      <xdr:colOff>414338</xdr:colOff>
      <xdr:row>3</xdr:row>
      <xdr:rowOff>19050</xdr:rowOff>
    </xdr:from>
    <xdr:to>
      <xdr:col>5</xdr:col>
      <xdr:colOff>376238</xdr:colOff>
      <xdr:row>4</xdr:row>
      <xdr:rowOff>133349</xdr:rowOff>
    </xdr:to>
    <xdr:sp macro="" textlink="">
      <xdr:nvSpPr>
        <xdr:cNvPr id="17" name="Retângulo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C3D31B3-F444-4E74-803A-A3BBBA74608A}"/>
            </a:ext>
          </a:extLst>
        </xdr:cNvPr>
        <xdr:cNvSpPr/>
      </xdr:nvSpPr>
      <xdr:spPr>
        <a:xfrm>
          <a:off x="4700588" y="762000"/>
          <a:ext cx="904875" cy="30479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/>
            <a:t>Saldo Estoque</a:t>
          </a:r>
        </a:p>
      </xdr:txBody>
    </xdr:sp>
    <xdr:clientData/>
  </xdr:twoCellAnchor>
  <xdr:twoCellAnchor editAs="absolute">
    <xdr:from>
      <xdr:col>5</xdr:col>
      <xdr:colOff>495300</xdr:colOff>
      <xdr:row>3</xdr:row>
      <xdr:rowOff>19050</xdr:rowOff>
    </xdr:from>
    <xdr:to>
      <xdr:col>6</xdr:col>
      <xdr:colOff>457200</xdr:colOff>
      <xdr:row>4</xdr:row>
      <xdr:rowOff>133349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B29DEB97-6898-4434-858B-73326464421E}"/>
            </a:ext>
          </a:extLst>
        </xdr:cNvPr>
        <xdr:cNvSpPr/>
      </xdr:nvSpPr>
      <xdr:spPr>
        <a:xfrm>
          <a:off x="5724525" y="762000"/>
          <a:ext cx="904875" cy="304799"/>
        </a:xfrm>
        <a:prstGeom prst="rect">
          <a:avLst/>
        </a:prstGeom>
        <a:solidFill>
          <a:srgbClr val="9E2A2B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Produtos</a:t>
          </a:r>
        </a:p>
      </xdr:txBody>
    </xdr:sp>
    <xdr:clientData/>
  </xdr:twoCellAnchor>
  <xdr:twoCellAnchor editAs="oneCell">
    <xdr:from>
      <xdr:col>10</xdr:col>
      <xdr:colOff>95250</xdr:colOff>
      <xdr:row>0</xdr:row>
      <xdr:rowOff>161925</xdr:rowOff>
    </xdr:from>
    <xdr:to>
      <xdr:col>10</xdr:col>
      <xdr:colOff>428624</xdr:colOff>
      <xdr:row>0</xdr:row>
      <xdr:rowOff>421957</xdr:rowOff>
    </xdr:to>
    <xdr:pic>
      <xdr:nvPicPr>
        <xdr:cNvPr id="19" name="Imagem 1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E0556BE-A51D-4FAD-A0FF-462724E57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161925"/>
          <a:ext cx="333374" cy="26003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200023</xdr:colOff>
      <xdr:row>5</xdr:row>
      <xdr:rowOff>95249</xdr:rowOff>
    </xdr:from>
    <xdr:to>
      <xdr:col>19</xdr:col>
      <xdr:colOff>371474</xdr:colOff>
      <xdr:row>17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2E02D8-425F-4FF6-A931-1F211A5D4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180974</xdr:colOff>
      <xdr:row>21</xdr:row>
      <xdr:rowOff>47625</xdr:rowOff>
    </xdr:from>
    <xdr:to>
      <xdr:col>19</xdr:col>
      <xdr:colOff>361949</xdr:colOff>
      <xdr:row>34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663500-3158-43D4-9B46-55A31FD88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190499</xdr:colOff>
      <xdr:row>41</xdr:row>
      <xdr:rowOff>28574</xdr:rowOff>
    </xdr:from>
    <xdr:to>
      <xdr:col>18</xdr:col>
      <xdr:colOff>142875</xdr:colOff>
      <xdr:row>52</xdr:row>
      <xdr:rowOff>190499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500FC0B-C537-447F-B69F-DD2F0F9AE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247650</xdr:colOff>
      <xdr:row>0</xdr:row>
      <xdr:rowOff>133350</xdr:rowOff>
    </xdr:from>
    <xdr:to>
      <xdr:col>17</xdr:col>
      <xdr:colOff>581024</xdr:colOff>
      <xdr:row>0</xdr:row>
      <xdr:rowOff>393382</xdr:rowOff>
    </xdr:to>
    <xdr:pic>
      <xdr:nvPicPr>
        <xdr:cNvPr id="5" name="Imagem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5EC47D-C98C-47E7-9964-91AD8B6C0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4775" y="133350"/>
          <a:ext cx="333374" cy="260032"/>
        </a:xfrm>
        <a:prstGeom prst="rect">
          <a:avLst/>
        </a:prstGeom>
      </xdr:spPr>
    </xdr:pic>
    <xdr:clientData/>
  </xdr:twoCellAnchor>
  <xdr:twoCellAnchor>
    <xdr:from>
      <xdr:col>18</xdr:col>
      <xdr:colOff>429394</xdr:colOff>
      <xdr:row>15</xdr:row>
      <xdr:rowOff>1322293</xdr:rowOff>
    </xdr:from>
    <xdr:to>
      <xdr:col>21</xdr:col>
      <xdr:colOff>123265</xdr:colOff>
      <xdr:row>15</xdr:row>
      <xdr:rowOff>1949823</xdr:rowOff>
    </xdr:to>
    <xdr:grpSp>
      <xdr:nvGrpSpPr>
        <xdr:cNvPr id="7" name="Agrupar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2EB4A01-F32B-4A16-9C6D-7A9884265A1C}"/>
            </a:ext>
          </a:extLst>
        </xdr:cNvPr>
        <xdr:cNvGrpSpPr/>
      </xdr:nvGrpSpPr>
      <xdr:grpSpPr>
        <a:xfrm>
          <a:off x="12953088" y="12277164"/>
          <a:ext cx="1522671" cy="627530"/>
          <a:chOff x="12677423" y="10141323"/>
          <a:chExt cx="1509224" cy="62753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9A4BC0A0-7BDE-4411-AB47-54D3D83A4C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677423" y="10298204"/>
            <a:ext cx="422251" cy="291353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03B62436-D5B7-4E8D-89F7-CD43B3E2F7D5}"/>
              </a:ext>
            </a:extLst>
          </xdr:cNvPr>
          <xdr:cNvSpPr txBox="1"/>
        </xdr:nvSpPr>
        <xdr:spPr>
          <a:xfrm>
            <a:off x="13133294" y="10141323"/>
            <a:ext cx="1053353" cy="6275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 b="0">
                <a:solidFill>
                  <a:srgbClr val="0000FF"/>
                </a:solidFill>
              </a:rPr>
              <a:t>Voltar para a aba SAÍDAS</a:t>
            </a:r>
          </a:p>
        </xdr:txBody>
      </xdr:sp>
    </xdr:grpSp>
    <xdr:clientData/>
  </xdr:twoCellAnchor>
  <xdr:twoCellAnchor>
    <xdr:from>
      <xdr:col>18</xdr:col>
      <xdr:colOff>459441</xdr:colOff>
      <xdr:row>17</xdr:row>
      <xdr:rowOff>2017058</xdr:rowOff>
    </xdr:from>
    <xdr:to>
      <xdr:col>21</xdr:col>
      <xdr:colOff>153312</xdr:colOff>
      <xdr:row>17</xdr:row>
      <xdr:rowOff>2644588</xdr:rowOff>
    </xdr:to>
    <xdr:grpSp>
      <xdr:nvGrpSpPr>
        <xdr:cNvPr id="8" name="Agrupar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3EEBF23-E2FB-4AF7-825A-9AE2674A6A0D}"/>
            </a:ext>
          </a:extLst>
        </xdr:cNvPr>
        <xdr:cNvGrpSpPr/>
      </xdr:nvGrpSpPr>
      <xdr:grpSpPr>
        <a:xfrm>
          <a:off x="12983135" y="16934329"/>
          <a:ext cx="1522671" cy="627530"/>
          <a:chOff x="12677423" y="10141323"/>
          <a:chExt cx="1509224" cy="627530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024D0CA1-2B9C-45DE-A944-CDD150FEBA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677423" y="10298204"/>
            <a:ext cx="422251" cy="291353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1387B0F5-C60D-4534-BA0E-05876D5B80D8}"/>
              </a:ext>
            </a:extLst>
          </xdr:cNvPr>
          <xdr:cNvSpPr txBox="1"/>
        </xdr:nvSpPr>
        <xdr:spPr>
          <a:xfrm>
            <a:off x="13133294" y="10141323"/>
            <a:ext cx="1053353" cy="6275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 b="0">
                <a:solidFill>
                  <a:srgbClr val="0000FF"/>
                </a:solidFill>
              </a:rPr>
              <a:t>Voltar para a aba CONTROLE</a:t>
            </a:r>
            <a:r>
              <a:rPr lang="pt-BR" sz="1100" b="0" baseline="0">
                <a:solidFill>
                  <a:srgbClr val="0000FF"/>
                </a:solidFill>
              </a:rPr>
              <a:t> DE ESTOQUE</a:t>
            </a:r>
            <a:endParaRPr lang="pt-BR" sz="1100" b="0">
              <a:solidFill>
                <a:srgbClr val="0000FF"/>
              </a:solidFill>
            </a:endParaRPr>
          </a:p>
        </xdr:txBody>
      </xdr:sp>
    </xdr:grpSp>
    <xdr:clientData/>
  </xdr:twoCellAnchor>
  <xdr:twoCellAnchor>
    <xdr:from>
      <xdr:col>18</xdr:col>
      <xdr:colOff>392206</xdr:colOff>
      <xdr:row>13</xdr:row>
      <xdr:rowOff>649941</xdr:rowOff>
    </xdr:from>
    <xdr:to>
      <xdr:col>21</xdr:col>
      <xdr:colOff>86077</xdr:colOff>
      <xdr:row>13</xdr:row>
      <xdr:rowOff>1277471</xdr:rowOff>
    </xdr:to>
    <xdr:grpSp>
      <xdr:nvGrpSpPr>
        <xdr:cNvPr id="11" name="Agrupar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B7ECDFA-2FA2-4D08-A4E6-11E3EFBFC4F6}"/>
            </a:ext>
          </a:extLst>
        </xdr:cNvPr>
        <xdr:cNvGrpSpPr/>
      </xdr:nvGrpSpPr>
      <xdr:grpSpPr>
        <a:xfrm>
          <a:off x="12915900" y="9516035"/>
          <a:ext cx="1522671" cy="627530"/>
          <a:chOff x="12677423" y="10141323"/>
          <a:chExt cx="1509224" cy="627530"/>
        </a:xfrm>
      </xdr:grpSpPr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1A780E6B-AC4C-4CD7-8FC6-4B1C5B05EC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677423" y="10298204"/>
            <a:ext cx="422251" cy="291353"/>
          </a:xfrm>
          <a:prstGeom prst="rect">
            <a:avLst/>
          </a:prstGeom>
        </xdr:spPr>
      </xdr:pic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825D757F-EB47-4901-A0F2-49C91DE1C34D}"/>
              </a:ext>
            </a:extLst>
          </xdr:cNvPr>
          <xdr:cNvSpPr txBox="1"/>
        </xdr:nvSpPr>
        <xdr:spPr>
          <a:xfrm>
            <a:off x="13133294" y="10141323"/>
            <a:ext cx="1053353" cy="6275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 b="0">
                <a:solidFill>
                  <a:srgbClr val="0000FF"/>
                </a:solidFill>
              </a:rPr>
              <a:t>Voltar para a aba ENTRADAS</a:t>
            </a:r>
          </a:p>
        </xdr:txBody>
      </xdr:sp>
    </xdr:grpSp>
    <xdr:clientData/>
  </xdr:twoCellAnchor>
  <xdr:twoCellAnchor>
    <xdr:from>
      <xdr:col>18</xdr:col>
      <xdr:colOff>347383</xdr:colOff>
      <xdr:row>11</xdr:row>
      <xdr:rowOff>526677</xdr:rowOff>
    </xdr:from>
    <xdr:to>
      <xdr:col>21</xdr:col>
      <xdr:colOff>41254</xdr:colOff>
      <xdr:row>11</xdr:row>
      <xdr:rowOff>1154207</xdr:rowOff>
    </xdr:to>
    <xdr:grpSp>
      <xdr:nvGrpSpPr>
        <xdr:cNvPr id="14" name="Agrupar 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9297474-A2BE-4892-85DB-D499E907D2B9}"/>
            </a:ext>
          </a:extLst>
        </xdr:cNvPr>
        <xdr:cNvGrpSpPr/>
      </xdr:nvGrpSpPr>
      <xdr:grpSpPr>
        <a:xfrm>
          <a:off x="12871077" y="7303995"/>
          <a:ext cx="1522671" cy="627530"/>
          <a:chOff x="12677423" y="10141323"/>
          <a:chExt cx="1509224" cy="627530"/>
        </a:xfrm>
      </xdr:grpSpPr>
      <xdr:pic>
        <xdr:nvPicPr>
          <xdr:cNvPr id="15" name="Imagem 14">
            <a:extLst>
              <a:ext uri="{FF2B5EF4-FFF2-40B4-BE49-F238E27FC236}">
                <a16:creationId xmlns:a16="http://schemas.microsoft.com/office/drawing/2014/main" id="{3A8EDC5D-0727-4799-A250-D209CEB8C9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677423" y="10298204"/>
            <a:ext cx="422251" cy="291353"/>
          </a:xfrm>
          <a:prstGeom prst="rect">
            <a:avLst/>
          </a:prstGeom>
        </xdr:spPr>
      </xdr:pic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0544855F-7E6B-43C7-B60A-03D94AF2CD57}"/>
              </a:ext>
            </a:extLst>
          </xdr:cNvPr>
          <xdr:cNvSpPr txBox="1"/>
        </xdr:nvSpPr>
        <xdr:spPr>
          <a:xfrm>
            <a:off x="13133294" y="10141323"/>
            <a:ext cx="1053353" cy="6275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 b="0">
                <a:solidFill>
                  <a:srgbClr val="0000FF"/>
                </a:solidFill>
              </a:rPr>
              <a:t>Voltar para a aba LOJAS</a:t>
            </a:r>
          </a:p>
        </xdr:txBody>
      </xdr:sp>
    </xdr:grpSp>
    <xdr:clientData/>
  </xdr:twoCellAnchor>
  <xdr:twoCellAnchor>
    <xdr:from>
      <xdr:col>18</xdr:col>
      <xdr:colOff>331694</xdr:colOff>
      <xdr:row>9</xdr:row>
      <xdr:rowOff>578224</xdr:rowOff>
    </xdr:from>
    <xdr:to>
      <xdr:col>21</xdr:col>
      <xdr:colOff>100852</xdr:colOff>
      <xdr:row>9</xdr:row>
      <xdr:rowOff>1205754</xdr:rowOff>
    </xdr:to>
    <xdr:grpSp>
      <xdr:nvGrpSpPr>
        <xdr:cNvPr id="17" name="Agrupar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5F42144-1EDF-4811-AC89-2BF30DA8676C}"/>
            </a:ext>
          </a:extLst>
        </xdr:cNvPr>
        <xdr:cNvGrpSpPr/>
      </xdr:nvGrpSpPr>
      <xdr:grpSpPr>
        <a:xfrm>
          <a:off x="12855388" y="5248836"/>
          <a:ext cx="1597958" cy="627530"/>
          <a:chOff x="12677423" y="10141323"/>
          <a:chExt cx="1584511" cy="627530"/>
        </a:xfrm>
      </xdr:grpSpPr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686050E2-DFE9-48B9-A2D1-748BB4FAFC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677423" y="10298204"/>
            <a:ext cx="422251" cy="291353"/>
          </a:xfrm>
          <a:prstGeom prst="rect">
            <a:avLst/>
          </a:prstGeom>
        </xdr:spPr>
      </xdr:pic>
      <xdr:sp macro="" textlink="">
        <xdr:nvSpPr>
          <xdr:cNvPr id="19" name="CaixaDeTexto 18">
            <a:extLst>
              <a:ext uri="{FF2B5EF4-FFF2-40B4-BE49-F238E27FC236}">
                <a16:creationId xmlns:a16="http://schemas.microsoft.com/office/drawing/2014/main" id="{27CBE61B-3B90-48E8-90AE-FCE451A23F66}"/>
              </a:ext>
            </a:extLst>
          </xdr:cNvPr>
          <xdr:cNvSpPr txBox="1"/>
        </xdr:nvSpPr>
        <xdr:spPr>
          <a:xfrm>
            <a:off x="13133294" y="10141323"/>
            <a:ext cx="1128640" cy="6275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 b="0">
                <a:solidFill>
                  <a:srgbClr val="0000FF"/>
                </a:solidFill>
              </a:rPr>
              <a:t>Voltar para a aba FORNECEDORES</a:t>
            </a:r>
          </a:p>
        </xdr:txBody>
      </xdr:sp>
    </xdr:grpSp>
    <xdr:clientData/>
  </xdr:twoCellAnchor>
  <xdr:twoCellAnchor>
    <xdr:from>
      <xdr:col>18</xdr:col>
      <xdr:colOff>313766</xdr:colOff>
      <xdr:row>7</xdr:row>
      <xdr:rowOff>649942</xdr:rowOff>
    </xdr:from>
    <xdr:to>
      <xdr:col>21</xdr:col>
      <xdr:colOff>7637</xdr:colOff>
      <xdr:row>7</xdr:row>
      <xdr:rowOff>1277472</xdr:rowOff>
    </xdr:to>
    <xdr:grpSp>
      <xdr:nvGrpSpPr>
        <xdr:cNvPr id="20" name="Agrupar 1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9EBB0B3-BBAF-40DC-AADB-FA7340367261}"/>
            </a:ext>
          </a:extLst>
        </xdr:cNvPr>
        <xdr:cNvGrpSpPr/>
      </xdr:nvGrpSpPr>
      <xdr:grpSpPr>
        <a:xfrm>
          <a:off x="12837460" y="3195918"/>
          <a:ext cx="1522671" cy="627530"/>
          <a:chOff x="12677423" y="10141323"/>
          <a:chExt cx="1509224" cy="627530"/>
        </a:xfrm>
      </xdr:grpSpPr>
      <xdr:pic>
        <xdr:nvPicPr>
          <xdr:cNvPr id="21" name="Imagem 20">
            <a:extLst>
              <a:ext uri="{FF2B5EF4-FFF2-40B4-BE49-F238E27FC236}">
                <a16:creationId xmlns:a16="http://schemas.microsoft.com/office/drawing/2014/main" id="{B77D350B-88DD-47FD-A259-CE2574BC21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677423" y="10298204"/>
            <a:ext cx="422251" cy="291353"/>
          </a:xfrm>
          <a:prstGeom prst="rect">
            <a:avLst/>
          </a:prstGeom>
        </xdr:spPr>
      </xdr:pic>
      <xdr:sp macro="" textlink="">
        <xdr:nvSpPr>
          <xdr:cNvPr id="22" name="CaixaDeTexto 21">
            <a:extLst>
              <a:ext uri="{FF2B5EF4-FFF2-40B4-BE49-F238E27FC236}">
                <a16:creationId xmlns:a16="http://schemas.microsoft.com/office/drawing/2014/main" id="{F785B464-EF1A-424E-B1A5-F6273002B2E3}"/>
              </a:ext>
            </a:extLst>
          </xdr:cNvPr>
          <xdr:cNvSpPr txBox="1"/>
        </xdr:nvSpPr>
        <xdr:spPr>
          <a:xfrm>
            <a:off x="13133294" y="10141323"/>
            <a:ext cx="1053353" cy="6275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 b="0">
                <a:solidFill>
                  <a:srgbClr val="0000FF"/>
                </a:solidFill>
              </a:rPr>
              <a:t>Voltar para a aba PRODUTOS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840580</xdr:colOff>
      <xdr:row>0</xdr:row>
      <xdr:rowOff>109537</xdr:rowOff>
    </xdr:from>
    <xdr:to>
      <xdr:col>5</xdr:col>
      <xdr:colOff>288580</xdr:colOff>
      <xdr:row>0</xdr:row>
      <xdr:rowOff>469537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7A7FD6-2021-40C8-BF02-7E755A5649B5}"/>
            </a:ext>
          </a:extLst>
        </xdr:cNvPr>
        <xdr:cNvSpPr/>
      </xdr:nvSpPr>
      <xdr:spPr>
        <a:xfrm>
          <a:off x="574595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ENTRADAS</a:t>
          </a:r>
        </a:p>
      </xdr:txBody>
    </xdr:sp>
    <xdr:clientData/>
  </xdr:twoCellAnchor>
  <xdr:twoCellAnchor editAs="absolute">
    <xdr:from>
      <xdr:col>5</xdr:col>
      <xdr:colOff>395286</xdr:colOff>
      <xdr:row>0</xdr:row>
      <xdr:rowOff>109537</xdr:rowOff>
    </xdr:from>
    <xdr:to>
      <xdr:col>5</xdr:col>
      <xdr:colOff>1367286</xdr:colOff>
      <xdr:row>0</xdr:row>
      <xdr:rowOff>469537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2E415A4-ADB8-4A64-8234-34B53D6D43B4}"/>
            </a:ext>
          </a:extLst>
        </xdr:cNvPr>
        <xdr:cNvSpPr/>
      </xdr:nvSpPr>
      <xdr:spPr>
        <a:xfrm>
          <a:off x="6824661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SAÍDAS</a:t>
          </a:r>
        </a:p>
      </xdr:txBody>
    </xdr:sp>
    <xdr:clientData/>
  </xdr:twoCellAnchor>
  <xdr:twoCellAnchor editAs="absolute">
    <xdr:from>
      <xdr:col>3</xdr:col>
      <xdr:colOff>1666874</xdr:colOff>
      <xdr:row>0</xdr:row>
      <xdr:rowOff>109537</xdr:rowOff>
    </xdr:from>
    <xdr:to>
      <xdr:col>4</xdr:col>
      <xdr:colOff>733874</xdr:colOff>
      <xdr:row>0</xdr:row>
      <xdr:rowOff>469537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2DAF5708-1CAE-45D6-BEB0-F5F168FA91E7}"/>
            </a:ext>
          </a:extLst>
        </xdr:cNvPr>
        <xdr:cNvSpPr/>
      </xdr:nvSpPr>
      <xdr:spPr>
        <a:xfrm>
          <a:off x="4667249" y="109537"/>
          <a:ext cx="972000" cy="360000"/>
        </a:xfrm>
        <a:prstGeom prst="rect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 b="1">
              <a:solidFill>
                <a:srgbClr val="283D3B"/>
              </a:solidFill>
              <a:latin typeface="+mn-lt"/>
              <a:ea typeface="+mn-ea"/>
              <a:cs typeface="+mn-cs"/>
            </a:rPr>
            <a:t>CADASTRO</a:t>
          </a:r>
        </a:p>
      </xdr:txBody>
    </xdr:sp>
    <xdr:clientData/>
  </xdr:twoCellAnchor>
  <xdr:twoCellAnchor editAs="absolute">
    <xdr:from>
      <xdr:col>5</xdr:col>
      <xdr:colOff>1473992</xdr:colOff>
      <xdr:row>0</xdr:row>
      <xdr:rowOff>109537</xdr:rowOff>
    </xdr:from>
    <xdr:to>
      <xdr:col>6</xdr:col>
      <xdr:colOff>921992</xdr:colOff>
      <xdr:row>0</xdr:row>
      <xdr:rowOff>469537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E26037D-DC99-4AE3-944E-1B005507BAB8}"/>
            </a:ext>
          </a:extLst>
        </xdr:cNvPr>
        <xdr:cNvSpPr/>
      </xdr:nvSpPr>
      <xdr:spPr>
        <a:xfrm>
          <a:off x="7903367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CONTROLE DE ESTOQUE</a:t>
          </a:r>
        </a:p>
      </xdr:txBody>
    </xdr:sp>
    <xdr:clientData/>
  </xdr:twoCellAnchor>
  <xdr:twoCellAnchor editAs="absolute">
    <xdr:from>
      <xdr:col>6</xdr:col>
      <xdr:colOff>1028700</xdr:colOff>
      <xdr:row>0</xdr:row>
      <xdr:rowOff>109537</xdr:rowOff>
    </xdr:from>
    <xdr:to>
      <xdr:col>7</xdr:col>
      <xdr:colOff>371925</xdr:colOff>
      <xdr:row>0</xdr:row>
      <xdr:rowOff>469537</xdr:rowOff>
    </xdr:to>
    <xdr:sp macro="" textlink="">
      <xdr:nvSpPr>
        <xdr:cNvPr id="7" name="Retâ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B691330-2534-4A9C-A7BF-5D14FF617D77}"/>
            </a:ext>
          </a:extLst>
        </xdr:cNvPr>
        <xdr:cNvSpPr/>
      </xdr:nvSpPr>
      <xdr:spPr>
        <a:xfrm>
          <a:off x="898207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DASHBOARD</a:t>
          </a:r>
        </a:p>
      </xdr:txBody>
    </xdr:sp>
    <xdr:clientData/>
  </xdr:twoCellAnchor>
  <xdr:twoCellAnchor editAs="absolute">
    <xdr:from>
      <xdr:col>1</xdr:col>
      <xdr:colOff>9525</xdr:colOff>
      <xdr:row>2</xdr:row>
      <xdr:rowOff>161926</xdr:rowOff>
    </xdr:from>
    <xdr:to>
      <xdr:col>1</xdr:col>
      <xdr:colOff>914400</xdr:colOff>
      <xdr:row>4</xdr:row>
      <xdr:rowOff>85725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859E5FE4-C080-4875-96A8-9A027ADC1A37}"/>
            </a:ext>
          </a:extLst>
        </xdr:cNvPr>
        <xdr:cNvSpPr/>
      </xdr:nvSpPr>
      <xdr:spPr>
        <a:xfrm>
          <a:off x="200025" y="714376"/>
          <a:ext cx="904875" cy="304799"/>
        </a:xfrm>
        <a:prstGeom prst="rect">
          <a:avLst/>
        </a:prstGeom>
        <a:solidFill>
          <a:srgbClr val="9E2A2B"/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Produtos</a:t>
          </a:r>
        </a:p>
      </xdr:txBody>
    </xdr:sp>
    <xdr:clientData/>
  </xdr:twoCellAnchor>
  <xdr:twoCellAnchor editAs="absolute">
    <xdr:from>
      <xdr:col>1</xdr:col>
      <xdr:colOff>1033463</xdr:colOff>
      <xdr:row>2</xdr:row>
      <xdr:rowOff>161926</xdr:rowOff>
    </xdr:from>
    <xdr:to>
      <xdr:col>2</xdr:col>
      <xdr:colOff>757238</xdr:colOff>
      <xdr:row>4</xdr:row>
      <xdr:rowOff>85725</xdr:rowOff>
    </xdr:to>
    <xdr:sp macro="" textlink="">
      <xdr:nvSpPr>
        <xdr:cNvPr id="9" name="Retângulo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D94080E-1747-4C8E-87DA-61276B388319}"/>
            </a:ext>
          </a:extLst>
        </xdr:cNvPr>
        <xdr:cNvSpPr/>
      </xdr:nvSpPr>
      <xdr:spPr>
        <a:xfrm>
          <a:off x="1223963" y="714376"/>
          <a:ext cx="904875" cy="30479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Fornecedores</a:t>
          </a:r>
        </a:p>
      </xdr:txBody>
    </xdr:sp>
    <xdr:clientData/>
  </xdr:twoCellAnchor>
  <xdr:twoCellAnchor editAs="absolute">
    <xdr:from>
      <xdr:col>2</xdr:col>
      <xdr:colOff>876300</xdr:colOff>
      <xdr:row>2</xdr:row>
      <xdr:rowOff>161926</xdr:rowOff>
    </xdr:from>
    <xdr:to>
      <xdr:col>3</xdr:col>
      <xdr:colOff>152400</xdr:colOff>
      <xdr:row>4</xdr:row>
      <xdr:rowOff>85725</xdr:rowOff>
    </xdr:to>
    <xdr:sp macro="" textlink="">
      <xdr:nvSpPr>
        <xdr:cNvPr id="10" name="Retângulo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EE108EC-BDF7-4941-9E1E-62D6F146B252}"/>
            </a:ext>
          </a:extLst>
        </xdr:cNvPr>
        <xdr:cNvSpPr/>
      </xdr:nvSpPr>
      <xdr:spPr>
        <a:xfrm>
          <a:off x="2247900" y="714376"/>
          <a:ext cx="904875" cy="30479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Lojas</a:t>
          </a:r>
        </a:p>
      </xdr:txBody>
    </xdr:sp>
    <xdr:clientData/>
  </xdr:twoCellAnchor>
  <xdr:twoCellAnchor editAs="oneCell">
    <xdr:from>
      <xdr:col>7</xdr:col>
      <xdr:colOff>1514475</xdr:colOff>
      <xdr:row>0</xdr:row>
      <xdr:rowOff>142875</xdr:rowOff>
    </xdr:from>
    <xdr:to>
      <xdr:col>8</xdr:col>
      <xdr:colOff>161924</xdr:colOff>
      <xdr:row>0</xdr:row>
      <xdr:rowOff>402907</xdr:rowOff>
    </xdr:to>
    <xdr:pic>
      <xdr:nvPicPr>
        <xdr:cNvPr id="11" name="Imagem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8F01938-673B-4148-8F44-01BC0B81E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96625" y="142875"/>
          <a:ext cx="333374" cy="260032"/>
        </a:xfrm>
        <a:prstGeom prst="rect">
          <a:avLst/>
        </a:prstGeom>
      </xdr:spPr>
    </xdr:pic>
    <xdr:clientData/>
  </xdr:twoCellAnchor>
  <xdr:twoCellAnchor>
    <xdr:from>
      <xdr:col>6</xdr:col>
      <xdr:colOff>657225</xdr:colOff>
      <xdr:row>2</xdr:row>
      <xdr:rowOff>161925</xdr:rowOff>
    </xdr:from>
    <xdr:to>
      <xdr:col>6</xdr:col>
      <xdr:colOff>1600200</xdr:colOff>
      <xdr:row>4</xdr:row>
      <xdr:rowOff>38101</xdr:rowOff>
    </xdr:to>
    <xdr:grpSp>
      <xdr:nvGrpSpPr>
        <xdr:cNvPr id="14" name="Agrupar 1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C4B80B6-71CC-43E4-9E70-16F2C37DFDAF}"/>
            </a:ext>
          </a:extLst>
        </xdr:cNvPr>
        <xdr:cNvGrpSpPr/>
      </xdr:nvGrpSpPr>
      <xdr:grpSpPr>
        <a:xfrm>
          <a:off x="8841105" y="710565"/>
          <a:ext cx="942975" cy="241936"/>
          <a:chOff x="8620125" y="723899"/>
          <a:chExt cx="942975" cy="257176"/>
        </a:xfrm>
      </xdr:grpSpPr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AC805A1D-A1BF-4905-9792-0F6A950A0029}"/>
              </a:ext>
            </a:extLst>
          </xdr:cNvPr>
          <xdr:cNvSpPr txBox="1"/>
        </xdr:nvSpPr>
        <xdr:spPr>
          <a:xfrm>
            <a:off x="8620125" y="723899"/>
            <a:ext cx="752475" cy="2381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0">
                <a:solidFill>
                  <a:srgbClr val="FF0000"/>
                </a:solidFill>
              </a:rPr>
              <a:t>Dúvidas?</a:t>
            </a:r>
          </a:p>
        </xdr:txBody>
      </xdr:sp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CF9C5671-ED50-4A8E-9A29-7A775B3E08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15450" y="733425"/>
            <a:ext cx="247650" cy="247650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840580</xdr:colOff>
      <xdr:row>0</xdr:row>
      <xdr:rowOff>109537</xdr:rowOff>
    </xdr:from>
    <xdr:to>
      <xdr:col>4</xdr:col>
      <xdr:colOff>1812580</xdr:colOff>
      <xdr:row>0</xdr:row>
      <xdr:rowOff>469537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225A45-E191-4600-96FB-6EC766D11292}"/>
            </a:ext>
          </a:extLst>
        </xdr:cNvPr>
        <xdr:cNvSpPr/>
      </xdr:nvSpPr>
      <xdr:spPr>
        <a:xfrm>
          <a:off x="574595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ENTRADAS</a:t>
          </a:r>
        </a:p>
      </xdr:txBody>
    </xdr:sp>
    <xdr:clientData/>
  </xdr:twoCellAnchor>
  <xdr:twoCellAnchor editAs="absolute">
    <xdr:from>
      <xdr:col>4</xdr:col>
      <xdr:colOff>1919286</xdr:colOff>
      <xdr:row>0</xdr:row>
      <xdr:rowOff>109537</xdr:rowOff>
    </xdr:from>
    <xdr:to>
      <xdr:col>4</xdr:col>
      <xdr:colOff>2891286</xdr:colOff>
      <xdr:row>0</xdr:row>
      <xdr:rowOff>469537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274E147-E56F-4646-A0DA-2010C836C112}"/>
            </a:ext>
          </a:extLst>
        </xdr:cNvPr>
        <xdr:cNvSpPr/>
      </xdr:nvSpPr>
      <xdr:spPr>
        <a:xfrm>
          <a:off x="6824661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SAÍDAS</a:t>
          </a:r>
        </a:p>
      </xdr:txBody>
    </xdr:sp>
    <xdr:clientData/>
  </xdr:twoCellAnchor>
  <xdr:twoCellAnchor editAs="absolute">
    <xdr:from>
      <xdr:col>3</xdr:col>
      <xdr:colOff>1666874</xdr:colOff>
      <xdr:row>0</xdr:row>
      <xdr:rowOff>109537</xdr:rowOff>
    </xdr:from>
    <xdr:to>
      <xdr:col>4</xdr:col>
      <xdr:colOff>733874</xdr:colOff>
      <xdr:row>0</xdr:row>
      <xdr:rowOff>469537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D4D071-4088-4D6A-ABF5-5EC6028BBC98}"/>
            </a:ext>
          </a:extLst>
        </xdr:cNvPr>
        <xdr:cNvSpPr/>
      </xdr:nvSpPr>
      <xdr:spPr>
        <a:xfrm>
          <a:off x="4667249" y="109537"/>
          <a:ext cx="972000" cy="360000"/>
        </a:xfrm>
        <a:prstGeom prst="rect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 b="1">
              <a:solidFill>
                <a:srgbClr val="283D3B"/>
              </a:solidFill>
              <a:latin typeface="+mn-lt"/>
              <a:ea typeface="+mn-ea"/>
              <a:cs typeface="+mn-cs"/>
            </a:rPr>
            <a:t>CADASTRO</a:t>
          </a:r>
        </a:p>
      </xdr:txBody>
    </xdr:sp>
    <xdr:clientData/>
  </xdr:twoCellAnchor>
  <xdr:twoCellAnchor editAs="absolute">
    <xdr:from>
      <xdr:col>4</xdr:col>
      <xdr:colOff>2997992</xdr:colOff>
      <xdr:row>0</xdr:row>
      <xdr:rowOff>109537</xdr:rowOff>
    </xdr:from>
    <xdr:to>
      <xdr:col>5</xdr:col>
      <xdr:colOff>864842</xdr:colOff>
      <xdr:row>0</xdr:row>
      <xdr:rowOff>469537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11B28FF-9DFE-4AEE-A87F-377DEB2B359A}"/>
            </a:ext>
          </a:extLst>
        </xdr:cNvPr>
        <xdr:cNvSpPr/>
      </xdr:nvSpPr>
      <xdr:spPr>
        <a:xfrm>
          <a:off x="7903367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CONTROLE DE ESTOQUE</a:t>
          </a:r>
        </a:p>
      </xdr:txBody>
    </xdr:sp>
    <xdr:clientData/>
  </xdr:twoCellAnchor>
  <xdr:twoCellAnchor editAs="absolute">
    <xdr:from>
      <xdr:col>5</xdr:col>
      <xdr:colOff>971550</xdr:colOff>
      <xdr:row>0</xdr:row>
      <xdr:rowOff>109537</xdr:rowOff>
    </xdr:from>
    <xdr:to>
      <xdr:col>6</xdr:col>
      <xdr:colOff>419550</xdr:colOff>
      <xdr:row>0</xdr:row>
      <xdr:rowOff>469537</xdr:rowOff>
    </xdr:to>
    <xdr:sp macro="" textlink="">
      <xdr:nvSpPr>
        <xdr:cNvPr id="7" name="Retâ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B751FB9-B46E-4D55-8498-097490305F32}"/>
            </a:ext>
          </a:extLst>
        </xdr:cNvPr>
        <xdr:cNvSpPr/>
      </xdr:nvSpPr>
      <xdr:spPr>
        <a:xfrm>
          <a:off x="898207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DASHBOARD</a:t>
          </a:r>
        </a:p>
      </xdr:txBody>
    </xdr:sp>
    <xdr:clientData/>
  </xdr:twoCellAnchor>
  <xdr:twoCellAnchor editAs="absolute">
    <xdr:from>
      <xdr:col>1</xdr:col>
      <xdr:colOff>9525</xdr:colOff>
      <xdr:row>2</xdr:row>
      <xdr:rowOff>161926</xdr:rowOff>
    </xdr:from>
    <xdr:to>
      <xdr:col>1</xdr:col>
      <xdr:colOff>914400</xdr:colOff>
      <xdr:row>4</xdr:row>
      <xdr:rowOff>85725</xdr:rowOff>
    </xdr:to>
    <xdr:sp macro="" textlink="">
      <xdr:nvSpPr>
        <xdr:cNvPr id="8" name="Retângulo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C2E0948-338A-4B29-AD79-1F63BDFCC483}"/>
            </a:ext>
          </a:extLst>
        </xdr:cNvPr>
        <xdr:cNvSpPr/>
      </xdr:nvSpPr>
      <xdr:spPr>
        <a:xfrm>
          <a:off x="200025" y="714376"/>
          <a:ext cx="904875" cy="30479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>
              <a:solidFill>
                <a:schemeClr val="lt1"/>
              </a:solidFill>
              <a:latin typeface="+mn-lt"/>
              <a:ea typeface="+mn-ea"/>
              <a:cs typeface="+mn-cs"/>
            </a:rPr>
            <a:t>Produtos</a:t>
          </a:r>
        </a:p>
      </xdr:txBody>
    </xdr:sp>
    <xdr:clientData/>
  </xdr:twoCellAnchor>
  <xdr:twoCellAnchor editAs="absolute">
    <xdr:from>
      <xdr:col>1</xdr:col>
      <xdr:colOff>1033463</xdr:colOff>
      <xdr:row>2</xdr:row>
      <xdr:rowOff>161926</xdr:rowOff>
    </xdr:from>
    <xdr:to>
      <xdr:col>2</xdr:col>
      <xdr:colOff>757238</xdr:colOff>
      <xdr:row>4</xdr:row>
      <xdr:rowOff>85725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4885A5E2-B79D-437F-9241-32D46D8D6E27}"/>
            </a:ext>
          </a:extLst>
        </xdr:cNvPr>
        <xdr:cNvSpPr/>
      </xdr:nvSpPr>
      <xdr:spPr>
        <a:xfrm>
          <a:off x="1223963" y="714376"/>
          <a:ext cx="904875" cy="304799"/>
        </a:xfrm>
        <a:prstGeom prst="rect">
          <a:avLst/>
        </a:prstGeom>
        <a:solidFill>
          <a:srgbClr val="9E2A2B"/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>
              <a:solidFill>
                <a:schemeClr val="lt1"/>
              </a:solidFill>
              <a:latin typeface="+mn-lt"/>
              <a:ea typeface="+mn-ea"/>
              <a:cs typeface="+mn-cs"/>
            </a:rPr>
            <a:t>Fornecedores</a:t>
          </a:r>
        </a:p>
      </xdr:txBody>
    </xdr:sp>
    <xdr:clientData/>
  </xdr:twoCellAnchor>
  <xdr:twoCellAnchor editAs="absolute">
    <xdr:from>
      <xdr:col>2</xdr:col>
      <xdr:colOff>876300</xdr:colOff>
      <xdr:row>2</xdr:row>
      <xdr:rowOff>161926</xdr:rowOff>
    </xdr:from>
    <xdr:to>
      <xdr:col>3</xdr:col>
      <xdr:colOff>152400</xdr:colOff>
      <xdr:row>4</xdr:row>
      <xdr:rowOff>85725</xdr:rowOff>
    </xdr:to>
    <xdr:sp macro="" textlink="">
      <xdr:nvSpPr>
        <xdr:cNvPr id="10" name="Retângulo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E2455D5-AF12-4FD0-A6A5-DF4AB7BC3C2B}"/>
            </a:ext>
          </a:extLst>
        </xdr:cNvPr>
        <xdr:cNvSpPr/>
      </xdr:nvSpPr>
      <xdr:spPr>
        <a:xfrm>
          <a:off x="2247900" y="714376"/>
          <a:ext cx="904875" cy="30479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Lojas</a:t>
          </a:r>
        </a:p>
      </xdr:txBody>
    </xdr:sp>
    <xdr:clientData/>
  </xdr:twoCellAnchor>
  <xdr:twoCellAnchor editAs="oneCell">
    <xdr:from>
      <xdr:col>6</xdr:col>
      <xdr:colOff>1552575</xdr:colOff>
      <xdr:row>0</xdr:row>
      <xdr:rowOff>152400</xdr:rowOff>
    </xdr:from>
    <xdr:to>
      <xdr:col>7</xdr:col>
      <xdr:colOff>257174</xdr:colOff>
      <xdr:row>0</xdr:row>
      <xdr:rowOff>412432</xdr:rowOff>
    </xdr:to>
    <xdr:pic>
      <xdr:nvPicPr>
        <xdr:cNvPr id="11" name="Imagem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E77869F-CE14-4B5C-ACC3-6C9232F39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152400"/>
          <a:ext cx="333374" cy="260032"/>
        </a:xfrm>
        <a:prstGeom prst="rect">
          <a:avLst/>
        </a:prstGeom>
      </xdr:spPr>
    </xdr:pic>
    <xdr:clientData/>
  </xdr:twoCellAnchor>
  <xdr:twoCellAnchor>
    <xdr:from>
      <xdr:col>5</xdr:col>
      <xdr:colOff>571500</xdr:colOff>
      <xdr:row>2</xdr:row>
      <xdr:rowOff>161925</xdr:rowOff>
    </xdr:from>
    <xdr:to>
      <xdr:col>5</xdr:col>
      <xdr:colOff>1514475</xdr:colOff>
      <xdr:row>4</xdr:row>
      <xdr:rowOff>38101</xdr:rowOff>
    </xdr:to>
    <xdr:grpSp>
      <xdr:nvGrpSpPr>
        <xdr:cNvPr id="12" name="Agrupar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79788E4-76B9-49DA-9832-B447B06B7D99}"/>
            </a:ext>
          </a:extLst>
        </xdr:cNvPr>
        <xdr:cNvGrpSpPr/>
      </xdr:nvGrpSpPr>
      <xdr:grpSpPr>
        <a:xfrm>
          <a:off x="8808720" y="710565"/>
          <a:ext cx="942975" cy="241936"/>
          <a:chOff x="8620125" y="723899"/>
          <a:chExt cx="942975" cy="257176"/>
        </a:xfrm>
      </xdr:grpSpPr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8C86AE37-1827-4E1F-845A-614F7972D125}"/>
              </a:ext>
            </a:extLst>
          </xdr:cNvPr>
          <xdr:cNvSpPr txBox="1"/>
        </xdr:nvSpPr>
        <xdr:spPr>
          <a:xfrm>
            <a:off x="8620125" y="723899"/>
            <a:ext cx="752475" cy="2381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0">
                <a:solidFill>
                  <a:srgbClr val="FF0000"/>
                </a:solidFill>
              </a:rPr>
              <a:t>Dúvidas?</a:t>
            </a:r>
          </a:p>
        </xdr:txBody>
      </xdr:sp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9FB2C0BD-993D-45CC-8025-A0773EE460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15450" y="733425"/>
            <a:ext cx="247650" cy="247650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840580</xdr:colOff>
      <xdr:row>0</xdr:row>
      <xdr:rowOff>109537</xdr:rowOff>
    </xdr:from>
    <xdr:to>
      <xdr:col>4</xdr:col>
      <xdr:colOff>1812580</xdr:colOff>
      <xdr:row>0</xdr:row>
      <xdr:rowOff>469537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2993C1-2643-4413-B9B4-3135E708CEFE}"/>
            </a:ext>
          </a:extLst>
        </xdr:cNvPr>
        <xdr:cNvSpPr/>
      </xdr:nvSpPr>
      <xdr:spPr>
        <a:xfrm>
          <a:off x="574595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ENTRADAS</a:t>
          </a:r>
        </a:p>
      </xdr:txBody>
    </xdr:sp>
    <xdr:clientData/>
  </xdr:twoCellAnchor>
  <xdr:twoCellAnchor editAs="absolute">
    <xdr:from>
      <xdr:col>4</xdr:col>
      <xdr:colOff>1919286</xdr:colOff>
      <xdr:row>0</xdr:row>
      <xdr:rowOff>109537</xdr:rowOff>
    </xdr:from>
    <xdr:to>
      <xdr:col>4</xdr:col>
      <xdr:colOff>2891286</xdr:colOff>
      <xdr:row>0</xdr:row>
      <xdr:rowOff>469537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7240FBD-9EDC-453C-A2CA-F660208E74C0}"/>
            </a:ext>
          </a:extLst>
        </xdr:cNvPr>
        <xdr:cNvSpPr/>
      </xdr:nvSpPr>
      <xdr:spPr>
        <a:xfrm>
          <a:off x="6824661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SAÍDAS</a:t>
          </a:r>
        </a:p>
      </xdr:txBody>
    </xdr:sp>
    <xdr:clientData/>
  </xdr:twoCellAnchor>
  <xdr:twoCellAnchor editAs="absolute">
    <xdr:from>
      <xdr:col>3</xdr:col>
      <xdr:colOff>1666874</xdr:colOff>
      <xdr:row>0</xdr:row>
      <xdr:rowOff>109537</xdr:rowOff>
    </xdr:from>
    <xdr:to>
      <xdr:col>4</xdr:col>
      <xdr:colOff>733874</xdr:colOff>
      <xdr:row>0</xdr:row>
      <xdr:rowOff>469537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BC126958-38FF-45B5-AC92-C8564946B632}"/>
            </a:ext>
          </a:extLst>
        </xdr:cNvPr>
        <xdr:cNvSpPr/>
      </xdr:nvSpPr>
      <xdr:spPr>
        <a:xfrm>
          <a:off x="4667249" y="109537"/>
          <a:ext cx="972000" cy="360000"/>
        </a:xfrm>
        <a:prstGeom prst="rect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 b="1">
              <a:solidFill>
                <a:srgbClr val="283D3B"/>
              </a:solidFill>
              <a:latin typeface="+mn-lt"/>
              <a:ea typeface="+mn-ea"/>
              <a:cs typeface="+mn-cs"/>
            </a:rPr>
            <a:t>CADASTRO</a:t>
          </a:r>
        </a:p>
      </xdr:txBody>
    </xdr:sp>
    <xdr:clientData/>
  </xdr:twoCellAnchor>
  <xdr:twoCellAnchor editAs="absolute">
    <xdr:from>
      <xdr:col>4</xdr:col>
      <xdr:colOff>2997992</xdr:colOff>
      <xdr:row>0</xdr:row>
      <xdr:rowOff>109537</xdr:rowOff>
    </xdr:from>
    <xdr:to>
      <xdr:col>5</xdr:col>
      <xdr:colOff>864842</xdr:colOff>
      <xdr:row>0</xdr:row>
      <xdr:rowOff>469537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88741E-9DB2-42F6-8F2E-297E5BEE1D04}"/>
            </a:ext>
          </a:extLst>
        </xdr:cNvPr>
        <xdr:cNvSpPr/>
      </xdr:nvSpPr>
      <xdr:spPr>
        <a:xfrm>
          <a:off x="7903367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CONTROLE DE ESTOQUE</a:t>
          </a:r>
        </a:p>
      </xdr:txBody>
    </xdr:sp>
    <xdr:clientData/>
  </xdr:twoCellAnchor>
  <xdr:twoCellAnchor editAs="absolute">
    <xdr:from>
      <xdr:col>5</xdr:col>
      <xdr:colOff>971550</xdr:colOff>
      <xdr:row>0</xdr:row>
      <xdr:rowOff>109537</xdr:rowOff>
    </xdr:from>
    <xdr:to>
      <xdr:col>6</xdr:col>
      <xdr:colOff>419550</xdr:colOff>
      <xdr:row>0</xdr:row>
      <xdr:rowOff>469537</xdr:rowOff>
    </xdr:to>
    <xdr:sp macro="" textlink="">
      <xdr:nvSpPr>
        <xdr:cNvPr id="7" name="Retâ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2DA03BB-4B0C-4188-B93B-2365A90D64D3}"/>
            </a:ext>
          </a:extLst>
        </xdr:cNvPr>
        <xdr:cNvSpPr/>
      </xdr:nvSpPr>
      <xdr:spPr>
        <a:xfrm>
          <a:off x="898207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DASHBOARD</a:t>
          </a:r>
        </a:p>
      </xdr:txBody>
    </xdr:sp>
    <xdr:clientData/>
  </xdr:twoCellAnchor>
  <xdr:twoCellAnchor editAs="absolute">
    <xdr:from>
      <xdr:col>1</xdr:col>
      <xdr:colOff>9525</xdr:colOff>
      <xdr:row>2</xdr:row>
      <xdr:rowOff>161926</xdr:rowOff>
    </xdr:from>
    <xdr:to>
      <xdr:col>1</xdr:col>
      <xdr:colOff>914400</xdr:colOff>
      <xdr:row>4</xdr:row>
      <xdr:rowOff>85725</xdr:rowOff>
    </xdr:to>
    <xdr:sp macro="" textlink="">
      <xdr:nvSpPr>
        <xdr:cNvPr id="8" name="Retângulo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13F93F6-B722-44B0-835E-0048865735BD}"/>
            </a:ext>
          </a:extLst>
        </xdr:cNvPr>
        <xdr:cNvSpPr/>
      </xdr:nvSpPr>
      <xdr:spPr>
        <a:xfrm>
          <a:off x="200025" y="714376"/>
          <a:ext cx="904875" cy="30479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>
              <a:solidFill>
                <a:schemeClr val="lt1"/>
              </a:solidFill>
              <a:latin typeface="+mn-lt"/>
              <a:ea typeface="+mn-ea"/>
              <a:cs typeface="+mn-cs"/>
            </a:rPr>
            <a:t>Produtos</a:t>
          </a:r>
        </a:p>
      </xdr:txBody>
    </xdr:sp>
    <xdr:clientData/>
  </xdr:twoCellAnchor>
  <xdr:twoCellAnchor editAs="absolute">
    <xdr:from>
      <xdr:col>1</xdr:col>
      <xdr:colOff>1033463</xdr:colOff>
      <xdr:row>2</xdr:row>
      <xdr:rowOff>161926</xdr:rowOff>
    </xdr:from>
    <xdr:to>
      <xdr:col>2</xdr:col>
      <xdr:colOff>757238</xdr:colOff>
      <xdr:row>4</xdr:row>
      <xdr:rowOff>85725</xdr:rowOff>
    </xdr:to>
    <xdr:sp macro="" textlink="">
      <xdr:nvSpPr>
        <xdr:cNvPr id="9" name="Retângulo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CA36057-4395-46D8-9979-AF219065CA7C}"/>
            </a:ext>
          </a:extLst>
        </xdr:cNvPr>
        <xdr:cNvSpPr/>
      </xdr:nvSpPr>
      <xdr:spPr>
        <a:xfrm>
          <a:off x="1223963" y="714376"/>
          <a:ext cx="904875" cy="30479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>
              <a:solidFill>
                <a:schemeClr val="lt1"/>
              </a:solidFill>
              <a:latin typeface="+mn-lt"/>
              <a:ea typeface="+mn-ea"/>
              <a:cs typeface="+mn-cs"/>
            </a:rPr>
            <a:t>Fornecedores</a:t>
          </a:r>
        </a:p>
      </xdr:txBody>
    </xdr:sp>
    <xdr:clientData/>
  </xdr:twoCellAnchor>
  <xdr:twoCellAnchor editAs="absolute">
    <xdr:from>
      <xdr:col>2</xdr:col>
      <xdr:colOff>876300</xdr:colOff>
      <xdr:row>2</xdr:row>
      <xdr:rowOff>161926</xdr:rowOff>
    </xdr:from>
    <xdr:to>
      <xdr:col>3</xdr:col>
      <xdr:colOff>152400</xdr:colOff>
      <xdr:row>4</xdr:row>
      <xdr:rowOff>85725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3D8B4C85-C609-41F0-B0AA-D70860180898}"/>
            </a:ext>
          </a:extLst>
        </xdr:cNvPr>
        <xdr:cNvSpPr/>
      </xdr:nvSpPr>
      <xdr:spPr>
        <a:xfrm>
          <a:off x="2247900" y="714376"/>
          <a:ext cx="904875" cy="304799"/>
        </a:xfrm>
        <a:prstGeom prst="rect">
          <a:avLst/>
        </a:prstGeom>
        <a:solidFill>
          <a:srgbClr val="9E2A2B"/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>
              <a:solidFill>
                <a:schemeClr val="lt1"/>
              </a:solidFill>
              <a:latin typeface="+mn-lt"/>
              <a:ea typeface="+mn-ea"/>
              <a:cs typeface="+mn-cs"/>
            </a:rPr>
            <a:t>Lojas</a:t>
          </a:r>
        </a:p>
      </xdr:txBody>
    </xdr:sp>
    <xdr:clientData/>
  </xdr:twoCellAnchor>
  <xdr:twoCellAnchor editAs="oneCell">
    <xdr:from>
      <xdr:col>6</xdr:col>
      <xdr:colOff>1552575</xdr:colOff>
      <xdr:row>0</xdr:row>
      <xdr:rowOff>142876</xdr:rowOff>
    </xdr:from>
    <xdr:to>
      <xdr:col>7</xdr:col>
      <xdr:colOff>257174</xdr:colOff>
      <xdr:row>0</xdr:row>
      <xdr:rowOff>402908</xdr:rowOff>
    </xdr:to>
    <xdr:pic>
      <xdr:nvPicPr>
        <xdr:cNvPr id="12" name="Imagem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1720252-A5B3-4B02-9CED-54EFD1483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142876"/>
          <a:ext cx="333374" cy="260032"/>
        </a:xfrm>
        <a:prstGeom prst="rect">
          <a:avLst/>
        </a:prstGeom>
      </xdr:spPr>
    </xdr:pic>
    <xdr:clientData/>
  </xdr:twoCellAnchor>
  <xdr:twoCellAnchor>
    <xdr:from>
      <xdr:col>5</xdr:col>
      <xdr:colOff>542925</xdr:colOff>
      <xdr:row>2</xdr:row>
      <xdr:rowOff>180975</xdr:rowOff>
    </xdr:from>
    <xdr:to>
      <xdr:col>5</xdr:col>
      <xdr:colOff>1485900</xdr:colOff>
      <xdr:row>4</xdr:row>
      <xdr:rowOff>57151</xdr:rowOff>
    </xdr:to>
    <xdr:grpSp>
      <xdr:nvGrpSpPr>
        <xdr:cNvPr id="13" name="Agrupar 1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399EE0F-3764-4AA9-9634-3702B353CCAC}"/>
            </a:ext>
          </a:extLst>
        </xdr:cNvPr>
        <xdr:cNvGrpSpPr/>
      </xdr:nvGrpSpPr>
      <xdr:grpSpPr>
        <a:xfrm>
          <a:off x="8780145" y="729615"/>
          <a:ext cx="942975" cy="241936"/>
          <a:chOff x="8620125" y="723899"/>
          <a:chExt cx="942975" cy="257176"/>
        </a:xfrm>
      </xdr:grpSpPr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EE279C93-C951-43CA-9EDD-CFD063E32B8F}"/>
              </a:ext>
            </a:extLst>
          </xdr:cNvPr>
          <xdr:cNvSpPr txBox="1"/>
        </xdr:nvSpPr>
        <xdr:spPr>
          <a:xfrm>
            <a:off x="8620125" y="723899"/>
            <a:ext cx="752475" cy="2381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0">
                <a:solidFill>
                  <a:srgbClr val="FF0000"/>
                </a:solidFill>
              </a:rPr>
              <a:t>Dúvidas?</a:t>
            </a:r>
          </a:p>
        </xdr:txBody>
      </xdr:sp>
      <xdr:pic>
        <xdr:nvPicPr>
          <xdr:cNvPr id="15" name="Imagem 14">
            <a:extLst>
              <a:ext uri="{FF2B5EF4-FFF2-40B4-BE49-F238E27FC236}">
                <a16:creationId xmlns:a16="http://schemas.microsoft.com/office/drawing/2014/main" id="{E7141994-6032-4A3C-8545-D7437CAD4A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15450" y="733425"/>
            <a:ext cx="247650" cy="247650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840580</xdr:colOff>
      <xdr:row>0</xdr:row>
      <xdr:rowOff>109537</xdr:rowOff>
    </xdr:from>
    <xdr:to>
      <xdr:col>5</xdr:col>
      <xdr:colOff>288580</xdr:colOff>
      <xdr:row>0</xdr:row>
      <xdr:rowOff>469537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904700F-A302-4543-B4D5-DD8F74DA2B6C}"/>
            </a:ext>
          </a:extLst>
        </xdr:cNvPr>
        <xdr:cNvSpPr/>
      </xdr:nvSpPr>
      <xdr:spPr>
        <a:xfrm>
          <a:off x="5745955" y="109537"/>
          <a:ext cx="972000" cy="360000"/>
        </a:xfrm>
        <a:prstGeom prst="rect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>
              <a:solidFill>
                <a:schemeClr val="tx2"/>
              </a:solidFill>
            </a:rPr>
            <a:t>ENTRADAS</a:t>
          </a:r>
        </a:p>
      </xdr:txBody>
    </xdr:sp>
    <xdr:clientData/>
  </xdr:twoCellAnchor>
  <xdr:twoCellAnchor editAs="absolute">
    <xdr:from>
      <xdr:col>5</xdr:col>
      <xdr:colOff>395286</xdr:colOff>
      <xdr:row>0</xdr:row>
      <xdr:rowOff>109537</xdr:rowOff>
    </xdr:from>
    <xdr:to>
      <xdr:col>5</xdr:col>
      <xdr:colOff>1367286</xdr:colOff>
      <xdr:row>0</xdr:row>
      <xdr:rowOff>469537</xdr:rowOff>
    </xdr:to>
    <xdr:sp macro="" textlink="">
      <xdr:nvSpPr>
        <xdr:cNvPr id="3" name="Retângul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B5BD3D-03EB-434F-9DE8-623E8E380C3E}"/>
            </a:ext>
          </a:extLst>
        </xdr:cNvPr>
        <xdr:cNvSpPr/>
      </xdr:nvSpPr>
      <xdr:spPr>
        <a:xfrm>
          <a:off x="6824661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SAÍDAS</a:t>
          </a:r>
        </a:p>
      </xdr:txBody>
    </xdr:sp>
    <xdr:clientData/>
  </xdr:twoCellAnchor>
  <xdr:twoCellAnchor editAs="absolute">
    <xdr:from>
      <xdr:col>3</xdr:col>
      <xdr:colOff>1666874</xdr:colOff>
      <xdr:row>0</xdr:row>
      <xdr:rowOff>109537</xdr:rowOff>
    </xdr:from>
    <xdr:to>
      <xdr:col>4</xdr:col>
      <xdr:colOff>733874</xdr:colOff>
      <xdr:row>0</xdr:row>
      <xdr:rowOff>469537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0840D2A-E745-4E74-95AC-9AE1EDE77AAD}"/>
            </a:ext>
          </a:extLst>
        </xdr:cNvPr>
        <xdr:cNvSpPr/>
      </xdr:nvSpPr>
      <xdr:spPr>
        <a:xfrm>
          <a:off x="4667249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/>
            <a:t>CADASTRO</a:t>
          </a:r>
        </a:p>
      </xdr:txBody>
    </xdr:sp>
    <xdr:clientData/>
  </xdr:twoCellAnchor>
  <xdr:twoCellAnchor editAs="absolute">
    <xdr:from>
      <xdr:col>5</xdr:col>
      <xdr:colOff>1473992</xdr:colOff>
      <xdr:row>0</xdr:row>
      <xdr:rowOff>109537</xdr:rowOff>
    </xdr:from>
    <xdr:to>
      <xdr:col>6</xdr:col>
      <xdr:colOff>921992</xdr:colOff>
      <xdr:row>0</xdr:row>
      <xdr:rowOff>469537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F4A4AA2-F57B-42C7-B0A9-C92AFF2FC970}"/>
            </a:ext>
          </a:extLst>
        </xdr:cNvPr>
        <xdr:cNvSpPr/>
      </xdr:nvSpPr>
      <xdr:spPr>
        <a:xfrm>
          <a:off x="7903367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CONTROLE DE ESTOQUE</a:t>
          </a:r>
        </a:p>
      </xdr:txBody>
    </xdr:sp>
    <xdr:clientData/>
  </xdr:twoCellAnchor>
  <xdr:twoCellAnchor editAs="absolute">
    <xdr:from>
      <xdr:col>6</xdr:col>
      <xdr:colOff>1028700</xdr:colOff>
      <xdr:row>0</xdr:row>
      <xdr:rowOff>109537</xdr:rowOff>
    </xdr:from>
    <xdr:to>
      <xdr:col>7</xdr:col>
      <xdr:colOff>371925</xdr:colOff>
      <xdr:row>0</xdr:row>
      <xdr:rowOff>469537</xdr:rowOff>
    </xdr:to>
    <xdr:sp macro="" textlink="">
      <xdr:nvSpPr>
        <xdr:cNvPr id="19" name="Retângulo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7AC3421-3F34-4FAC-9C2E-FCF7942118B2}"/>
            </a:ext>
          </a:extLst>
        </xdr:cNvPr>
        <xdr:cNvSpPr/>
      </xdr:nvSpPr>
      <xdr:spPr>
        <a:xfrm>
          <a:off x="898207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DASHBOARD</a:t>
          </a:r>
        </a:p>
      </xdr:txBody>
    </xdr:sp>
    <xdr:clientData/>
  </xdr:twoCellAnchor>
  <xdr:twoCellAnchor editAs="oneCell">
    <xdr:from>
      <xdr:col>7</xdr:col>
      <xdr:colOff>1524000</xdr:colOff>
      <xdr:row>0</xdr:row>
      <xdr:rowOff>161925</xdr:rowOff>
    </xdr:from>
    <xdr:to>
      <xdr:col>8</xdr:col>
      <xdr:colOff>171449</xdr:colOff>
      <xdr:row>0</xdr:row>
      <xdr:rowOff>421957</xdr:rowOff>
    </xdr:to>
    <xdr:pic>
      <xdr:nvPicPr>
        <xdr:cNvPr id="8" name="Imagem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F803683-8F10-4ACF-986C-70E5D0A50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161925"/>
          <a:ext cx="333374" cy="260032"/>
        </a:xfrm>
        <a:prstGeom prst="rect">
          <a:avLst/>
        </a:prstGeom>
      </xdr:spPr>
    </xdr:pic>
    <xdr:clientData/>
  </xdr:twoCellAnchor>
  <xdr:twoCellAnchor>
    <xdr:from>
      <xdr:col>6</xdr:col>
      <xdr:colOff>666750</xdr:colOff>
      <xdr:row>2</xdr:row>
      <xdr:rowOff>171449</xdr:rowOff>
    </xdr:from>
    <xdr:to>
      <xdr:col>6</xdr:col>
      <xdr:colOff>1609725</xdr:colOff>
      <xdr:row>4</xdr:row>
      <xdr:rowOff>47625</xdr:rowOff>
    </xdr:to>
    <xdr:grpSp>
      <xdr:nvGrpSpPr>
        <xdr:cNvPr id="11" name="Agrupar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5B45D0D-59D1-4FFC-B458-76BC1FCF337D}"/>
            </a:ext>
          </a:extLst>
        </xdr:cNvPr>
        <xdr:cNvGrpSpPr/>
      </xdr:nvGrpSpPr>
      <xdr:grpSpPr>
        <a:xfrm>
          <a:off x="8850630" y="720089"/>
          <a:ext cx="942975" cy="241936"/>
          <a:chOff x="8620125" y="723899"/>
          <a:chExt cx="942975" cy="257176"/>
        </a:xfrm>
      </xdr:grpSpPr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F2CCFC4E-7D29-40B6-A006-52D319E22A6F}"/>
              </a:ext>
            </a:extLst>
          </xdr:cNvPr>
          <xdr:cNvSpPr txBox="1"/>
        </xdr:nvSpPr>
        <xdr:spPr>
          <a:xfrm>
            <a:off x="8620125" y="723899"/>
            <a:ext cx="752475" cy="2381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0">
                <a:solidFill>
                  <a:srgbClr val="FF0000"/>
                </a:solidFill>
              </a:rPr>
              <a:t>Dúvidas?</a:t>
            </a: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773102B9-D76B-4FCA-A285-921D3D2532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15450" y="733425"/>
            <a:ext cx="247650" cy="247650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1154905</xdr:colOff>
      <xdr:row>0</xdr:row>
      <xdr:rowOff>109537</xdr:rowOff>
    </xdr:from>
    <xdr:to>
      <xdr:col>5</xdr:col>
      <xdr:colOff>926755</xdr:colOff>
      <xdr:row>0</xdr:row>
      <xdr:rowOff>469537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DE6111-1254-415D-BA63-31C2CA4F0316}"/>
            </a:ext>
          </a:extLst>
        </xdr:cNvPr>
        <xdr:cNvSpPr/>
      </xdr:nvSpPr>
      <xdr:spPr>
        <a:xfrm>
          <a:off x="574595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ENTRADAS</a:t>
          </a:r>
        </a:p>
      </xdr:txBody>
    </xdr:sp>
    <xdr:clientData/>
  </xdr:twoCellAnchor>
  <xdr:twoCellAnchor editAs="absolute">
    <xdr:from>
      <xdr:col>5</xdr:col>
      <xdr:colOff>1033461</xdr:colOff>
      <xdr:row>0</xdr:row>
      <xdr:rowOff>109537</xdr:rowOff>
    </xdr:from>
    <xdr:to>
      <xdr:col>6</xdr:col>
      <xdr:colOff>729111</xdr:colOff>
      <xdr:row>0</xdr:row>
      <xdr:rowOff>469537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5A1284B-FD5C-4E40-857B-3A59C8411ECC}"/>
            </a:ext>
          </a:extLst>
        </xdr:cNvPr>
        <xdr:cNvSpPr/>
      </xdr:nvSpPr>
      <xdr:spPr>
        <a:xfrm>
          <a:off x="6824661" y="109537"/>
          <a:ext cx="972000" cy="360000"/>
        </a:xfrm>
        <a:prstGeom prst="rect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 b="1">
              <a:solidFill>
                <a:schemeClr val="tx2"/>
              </a:solidFill>
              <a:latin typeface="+mn-lt"/>
              <a:ea typeface="+mn-ea"/>
              <a:cs typeface="+mn-cs"/>
            </a:rPr>
            <a:t>SAÍDAS</a:t>
          </a:r>
        </a:p>
      </xdr:txBody>
    </xdr:sp>
    <xdr:clientData/>
  </xdr:twoCellAnchor>
  <xdr:twoCellAnchor editAs="absolute">
    <xdr:from>
      <xdr:col>4</xdr:col>
      <xdr:colOff>76199</xdr:colOff>
      <xdr:row>0</xdr:row>
      <xdr:rowOff>109537</xdr:rowOff>
    </xdr:from>
    <xdr:to>
      <xdr:col>4</xdr:col>
      <xdr:colOff>1048199</xdr:colOff>
      <xdr:row>0</xdr:row>
      <xdr:rowOff>469537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816FFCC-D64C-46BB-8891-CD2EB6207AEC}"/>
            </a:ext>
          </a:extLst>
        </xdr:cNvPr>
        <xdr:cNvSpPr/>
      </xdr:nvSpPr>
      <xdr:spPr>
        <a:xfrm>
          <a:off x="4667249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/>
            <a:t>CADASTRO</a:t>
          </a:r>
        </a:p>
      </xdr:txBody>
    </xdr:sp>
    <xdr:clientData/>
  </xdr:twoCellAnchor>
  <xdr:twoCellAnchor editAs="absolute">
    <xdr:from>
      <xdr:col>6</xdr:col>
      <xdr:colOff>835817</xdr:colOff>
      <xdr:row>0</xdr:row>
      <xdr:rowOff>109537</xdr:rowOff>
    </xdr:from>
    <xdr:to>
      <xdr:col>7</xdr:col>
      <xdr:colOff>683867</xdr:colOff>
      <xdr:row>0</xdr:row>
      <xdr:rowOff>469537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E55A8E3-7D17-4F71-B484-19C88E2D0BB3}"/>
            </a:ext>
          </a:extLst>
        </xdr:cNvPr>
        <xdr:cNvSpPr/>
      </xdr:nvSpPr>
      <xdr:spPr>
        <a:xfrm>
          <a:off x="7903367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CONTROLE DE ESTOQUE</a:t>
          </a:r>
        </a:p>
      </xdr:txBody>
    </xdr:sp>
    <xdr:clientData/>
  </xdr:twoCellAnchor>
  <xdr:twoCellAnchor editAs="absolute">
    <xdr:from>
      <xdr:col>7</xdr:col>
      <xdr:colOff>790575</xdr:colOff>
      <xdr:row>0</xdr:row>
      <xdr:rowOff>109537</xdr:rowOff>
    </xdr:from>
    <xdr:to>
      <xdr:col>8</xdr:col>
      <xdr:colOff>638625</xdr:colOff>
      <xdr:row>0</xdr:row>
      <xdr:rowOff>469537</xdr:rowOff>
    </xdr:to>
    <xdr:sp macro="" textlink="">
      <xdr:nvSpPr>
        <xdr:cNvPr id="7" name="Retâ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B6C8B38-03BB-4D31-A691-773532BC59F0}"/>
            </a:ext>
          </a:extLst>
        </xdr:cNvPr>
        <xdr:cNvSpPr/>
      </xdr:nvSpPr>
      <xdr:spPr>
        <a:xfrm>
          <a:off x="898207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DASHBOARD</a:t>
          </a:r>
        </a:p>
      </xdr:txBody>
    </xdr:sp>
    <xdr:clientData/>
  </xdr:twoCellAnchor>
  <xdr:twoCellAnchor editAs="oneCell">
    <xdr:from>
      <xdr:col>9</xdr:col>
      <xdr:colOff>647700</xdr:colOff>
      <xdr:row>0</xdr:row>
      <xdr:rowOff>142875</xdr:rowOff>
    </xdr:from>
    <xdr:to>
      <xdr:col>9</xdr:col>
      <xdr:colOff>981074</xdr:colOff>
      <xdr:row>0</xdr:row>
      <xdr:rowOff>402907</xdr:rowOff>
    </xdr:to>
    <xdr:pic>
      <xdr:nvPicPr>
        <xdr:cNvPr id="8" name="Imagem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3981488-6029-4124-8F28-9E205248B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142875"/>
          <a:ext cx="333374" cy="260032"/>
        </a:xfrm>
        <a:prstGeom prst="rect">
          <a:avLst/>
        </a:prstGeom>
      </xdr:spPr>
    </xdr:pic>
    <xdr:clientData/>
  </xdr:twoCellAnchor>
  <xdr:twoCellAnchor>
    <xdr:from>
      <xdr:col>9</xdr:col>
      <xdr:colOff>847725</xdr:colOff>
      <xdr:row>3</xdr:row>
      <xdr:rowOff>19050</xdr:rowOff>
    </xdr:from>
    <xdr:to>
      <xdr:col>10</xdr:col>
      <xdr:colOff>714375</xdr:colOff>
      <xdr:row>4</xdr:row>
      <xdr:rowOff>85726</xdr:rowOff>
    </xdr:to>
    <xdr:grpSp>
      <xdr:nvGrpSpPr>
        <xdr:cNvPr id="9" name="Agrupar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5F9297F-F7AB-4E00-A775-D067825392C9}"/>
            </a:ext>
          </a:extLst>
        </xdr:cNvPr>
        <xdr:cNvGrpSpPr/>
      </xdr:nvGrpSpPr>
      <xdr:grpSpPr>
        <a:xfrm>
          <a:off x="11591925" y="750570"/>
          <a:ext cx="971550" cy="249556"/>
          <a:chOff x="8620125" y="723899"/>
          <a:chExt cx="942975" cy="257176"/>
        </a:xfrm>
      </xdr:grpSpPr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60CBEF78-4853-4657-891C-8EAF38700E54}"/>
              </a:ext>
            </a:extLst>
          </xdr:cNvPr>
          <xdr:cNvSpPr txBox="1"/>
        </xdr:nvSpPr>
        <xdr:spPr>
          <a:xfrm>
            <a:off x="8620125" y="723899"/>
            <a:ext cx="752475" cy="2381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0">
                <a:solidFill>
                  <a:srgbClr val="FF0000"/>
                </a:solidFill>
              </a:rPr>
              <a:t>Dúvidas?</a:t>
            </a: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059C5624-706E-4D80-8ABA-86D022AE5F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15450" y="733425"/>
            <a:ext cx="247650" cy="247650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716755</xdr:colOff>
      <xdr:row>0</xdr:row>
      <xdr:rowOff>109537</xdr:rowOff>
    </xdr:from>
    <xdr:to>
      <xdr:col>6</xdr:col>
      <xdr:colOff>469555</xdr:colOff>
      <xdr:row>0</xdr:row>
      <xdr:rowOff>469537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68F629-883C-43E0-AD51-A0B4BE9A38A0}"/>
            </a:ext>
          </a:extLst>
        </xdr:cNvPr>
        <xdr:cNvSpPr/>
      </xdr:nvSpPr>
      <xdr:spPr>
        <a:xfrm>
          <a:off x="574595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ENTRADAS</a:t>
          </a:r>
        </a:p>
      </xdr:txBody>
    </xdr:sp>
    <xdr:clientData/>
  </xdr:twoCellAnchor>
  <xdr:twoCellAnchor editAs="absolute">
    <xdr:from>
      <xdr:col>6</xdr:col>
      <xdr:colOff>576261</xdr:colOff>
      <xdr:row>0</xdr:row>
      <xdr:rowOff>109537</xdr:rowOff>
    </xdr:from>
    <xdr:to>
      <xdr:col>7</xdr:col>
      <xdr:colOff>119511</xdr:colOff>
      <xdr:row>0</xdr:row>
      <xdr:rowOff>469537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0AE6A88-CC6E-4C53-9A5D-589BBA3BE12A}"/>
            </a:ext>
          </a:extLst>
        </xdr:cNvPr>
        <xdr:cNvSpPr/>
      </xdr:nvSpPr>
      <xdr:spPr>
        <a:xfrm>
          <a:off x="6824661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SAÍDAS</a:t>
          </a:r>
        </a:p>
      </xdr:txBody>
    </xdr:sp>
    <xdr:clientData/>
  </xdr:twoCellAnchor>
  <xdr:twoCellAnchor editAs="absolute">
    <xdr:from>
      <xdr:col>4</xdr:col>
      <xdr:colOff>857249</xdr:colOff>
      <xdr:row>0</xdr:row>
      <xdr:rowOff>109537</xdr:rowOff>
    </xdr:from>
    <xdr:to>
      <xdr:col>5</xdr:col>
      <xdr:colOff>610049</xdr:colOff>
      <xdr:row>0</xdr:row>
      <xdr:rowOff>469537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1DCEAED-1887-40B1-A967-CD77BE742B6C}"/>
            </a:ext>
          </a:extLst>
        </xdr:cNvPr>
        <xdr:cNvSpPr/>
      </xdr:nvSpPr>
      <xdr:spPr>
        <a:xfrm>
          <a:off x="4667249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/>
            <a:t>CADASTRO DE</a:t>
          </a:r>
          <a:r>
            <a:rPr lang="pt-BR" sz="800" baseline="0"/>
            <a:t> PRODUTOS</a:t>
          </a:r>
          <a:endParaRPr lang="pt-BR" sz="800"/>
        </a:p>
      </xdr:txBody>
    </xdr:sp>
    <xdr:clientData/>
  </xdr:twoCellAnchor>
  <xdr:twoCellAnchor editAs="absolute">
    <xdr:from>
      <xdr:col>7</xdr:col>
      <xdr:colOff>226217</xdr:colOff>
      <xdr:row>0</xdr:row>
      <xdr:rowOff>109537</xdr:rowOff>
    </xdr:from>
    <xdr:to>
      <xdr:col>7</xdr:col>
      <xdr:colOff>1198217</xdr:colOff>
      <xdr:row>0</xdr:row>
      <xdr:rowOff>469537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40E6D8E3-52F0-4F3E-8017-0ECCE31B76B6}"/>
            </a:ext>
          </a:extLst>
        </xdr:cNvPr>
        <xdr:cNvSpPr/>
      </xdr:nvSpPr>
      <xdr:spPr>
        <a:xfrm>
          <a:off x="7903367" y="109537"/>
          <a:ext cx="972000" cy="360000"/>
        </a:xfrm>
        <a:prstGeom prst="rect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 b="1">
              <a:solidFill>
                <a:schemeClr val="tx2"/>
              </a:solidFill>
              <a:latin typeface="+mn-lt"/>
              <a:ea typeface="+mn-ea"/>
              <a:cs typeface="+mn-cs"/>
            </a:rPr>
            <a:t>CONTROLE DE ESTOQUE</a:t>
          </a:r>
        </a:p>
      </xdr:txBody>
    </xdr:sp>
    <xdr:clientData/>
  </xdr:twoCellAnchor>
  <xdr:twoCellAnchor editAs="absolute">
    <xdr:from>
      <xdr:col>7</xdr:col>
      <xdr:colOff>1304925</xdr:colOff>
      <xdr:row>0</xdr:row>
      <xdr:rowOff>109537</xdr:rowOff>
    </xdr:from>
    <xdr:to>
      <xdr:col>8</xdr:col>
      <xdr:colOff>810075</xdr:colOff>
      <xdr:row>0</xdr:row>
      <xdr:rowOff>469537</xdr:rowOff>
    </xdr:to>
    <xdr:sp macro="" textlink="">
      <xdr:nvSpPr>
        <xdr:cNvPr id="7" name="Retâ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FA3094-0C42-412D-BC05-6E225E14183E}"/>
            </a:ext>
          </a:extLst>
        </xdr:cNvPr>
        <xdr:cNvSpPr/>
      </xdr:nvSpPr>
      <xdr:spPr>
        <a:xfrm>
          <a:off x="898207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DASHBOARD</a:t>
          </a:r>
        </a:p>
      </xdr:txBody>
    </xdr:sp>
    <xdr:clientData/>
  </xdr:twoCellAnchor>
  <xdr:twoCellAnchor editAs="oneCell">
    <xdr:from>
      <xdr:col>10</xdr:col>
      <xdr:colOff>19050</xdr:colOff>
      <xdr:row>0</xdr:row>
      <xdr:rowOff>152400</xdr:rowOff>
    </xdr:from>
    <xdr:to>
      <xdr:col>10</xdr:col>
      <xdr:colOff>352424</xdr:colOff>
      <xdr:row>0</xdr:row>
      <xdr:rowOff>412432</xdr:rowOff>
    </xdr:to>
    <xdr:pic>
      <xdr:nvPicPr>
        <xdr:cNvPr id="8" name="Imagem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C0ECE11-A2A2-4680-8707-AB4CB2C5A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152400"/>
          <a:ext cx="333374" cy="260032"/>
        </a:xfrm>
        <a:prstGeom prst="rect">
          <a:avLst/>
        </a:prstGeom>
      </xdr:spPr>
    </xdr:pic>
    <xdr:clientData/>
  </xdr:twoCellAnchor>
  <xdr:twoCellAnchor>
    <xdr:from>
      <xdr:col>8</xdr:col>
      <xdr:colOff>942975</xdr:colOff>
      <xdr:row>2</xdr:row>
      <xdr:rowOff>180975</xdr:rowOff>
    </xdr:from>
    <xdr:to>
      <xdr:col>9</xdr:col>
      <xdr:colOff>923925</xdr:colOff>
      <xdr:row>4</xdr:row>
      <xdr:rowOff>57151</xdr:rowOff>
    </xdr:to>
    <xdr:grpSp>
      <xdr:nvGrpSpPr>
        <xdr:cNvPr id="9" name="Agrupar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E91315D-4F8C-4398-A66F-CC31B6D3CBED}"/>
            </a:ext>
          </a:extLst>
        </xdr:cNvPr>
        <xdr:cNvGrpSpPr/>
      </xdr:nvGrpSpPr>
      <xdr:grpSpPr>
        <a:xfrm>
          <a:off x="10361295" y="729615"/>
          <a:ext cx="971550" cy="241936"/>
          <a:chOff x="8620125" y="723899"/>
          <a:chExt cx="942975" cy="257176"/>
        </a:xfrm>
      </xdr:grpSpPr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DA06D939-E591-48EA-9AC7-CF49F99530E3}"/>
              </a:ext>
            </a:extLst>
          </xdr:cNvPr>
          <xdr:cNvSpPr txBox="1"/>
        </xdr:nvSpPr>
        <xdr:spPr>
          <a:xfrm>
            <a:off x="8620125" y="723899"/>
            <a:ext cx="752475" cy="2381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0">
                <a:solidFill>
                  <a:srgbClr val="FF0000"/>
                </a:solidFill>
              </a:rPr>
              <a:t>Dúvidas?</a:t>
            </a: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4A2BDEC8-D80B-486D-B453-3587640812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15450" y="733425"/>
            <a:ext cx="247650" cy="247650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564355</xdr:colOff>
      <xdr:row>0</xdr:row>
      <xdr:rowOff>109537</xdr:rowOff>
    </xdr:from>
    <xdr:to>
      <xdr:col>5</xdr:col>
      <xdr:colOff>1536355</xdr:colOff>
      <xdr:row>0</xdr:row>
      <xdr:rowOff>469537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54EE62-C465-483C-99A9-5D9C95C95B43}"/>
            </a:ext>
          </a:extLst>
        </xdr:cNvPr>
        <xdr:cNvSpPr/>
      </xdr:nvSpPr>
      <xdr:spPr>
        <a:xfrm>
          <a:off x="5745955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ENTRADAS</a:t>
          </a:r>
        </a:p>
      </xdr:txBody>
    </xdr:sp>
    <xdr:clientData/>
  </xdr:twoCellAnchor>
  <xdr:twoCellAnchor editAs="absolute">
    <xdr:from>
      <xdr:col>5</xdr:col>
      <xdr:colOff>1643061</xdr:colOff>
      <xdr:row>0</xdr:row>
      <xdr:rowOff>109537</xdr:rowOff>
    </xdr:from>
    <xdr:to>
      <xdr:col>7</xdr:col>
      <xdr:colOff>119511</xdr:colOff>
      <xdr:row>0</xdr:row>
      <xdr:rowOff>469537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5FDCD3A-7453-4D64-A1B2-5235968B3E1C}"/>
            </a:ext>
          </a:extLst>
        </xdr:cNvPr>
        <xdr:cNvSpPr/>
      </xdr:nvSpPr>
      <xdr:spPr>
        <a:xfrm>
          <a:off x="6824661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SAÍDAS</a:t>
          </a:r>
        </a:p>
      </xdr:txBody>
    </xdr:sp>
    <xdr:clientData/>
  </xdr:twoCellAnchor>
  <xdr:twoCellAnchor editAs="absolute">
    <xdr:from>
      <xdr:col>3</xdr:col>
      <xdr:colOff>1981199</xdr:colOff>
      <xdr:row>0</xdr:row>
      <xdr:rowOff>109537</xdr:rowOff>
    </xdr:from>
    <xdr:to>
      <xdr:col>5</xdr:col>
      <xdr:colOff>457649</xdr:colOff>
      <xdr:row>0</xdr:row>
      <xdr:rowOff>469537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B3A3DC5-3D1A-46BE-8001-2507F4FC6E59}"/>
            </a:ext>
          </a:extLst>
        </xdr:cNvPr>
        <xdr:cNvSpPr/>
      </xdr:nvSpPr>
      <xdr:spPr>
        <a:xfrm>
          <a:off x="4667249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/>
            <a:t>CADASTRO DE</a:t>
          </a:r>
          <a:r>
            <a:rPr lang="pt-BR" sz="800" baseline="0"/>
            <a:t> PRODUTOS</a:t>
          </a:r>
          <a:endParaRPr lang="pt-BR" sz="800"/>
        </a:p>
      </xdr:txBody>
    </xdr:sp>
    <xdr:clientData/>
  </xdr:twoCellAnchor>
  <xdr:twoCellAnchor editAs="absolute">
    <xdr:from>
      <xdr:col>7</xdr:col>
      <xdr:colOff>226217</xdr:colOff>
      <xdr:row>0</xdr:row>
      <xdr:rowOff>109537</xdr:rowOff>
    </xdr:from>
    <xdr:to>
      <xdr:col>7</xdr:col>
      <xdr:colOff>1198217</xdr:colOff>
      <xdr:row>0</xdr:row>
      <xdr:rowOff>469537</xdr:rowOff>
    </xdr:to>
    <xdr:sp macro="" textlink="">
      <xdr:nvSpPr>
        <xdr:cNvPr id="5" name="Retâ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8107878-008E-4397-9AEE-C50E07888D69}"/>
            </a:ext>
          </a:extLst>
        </xdr:cNvPr>
        <xdr:cNvSpPr/>
      </xdr:nvSpPr>
      <xdr:spPr>
        <a:xfrm>
          <a:off x="7903367" y="109537"/>
          <a:ext cx="972000" cy="360000"/>
        </a:xfrm>
        <a:prstGeom prst="rect">
          <a:avLst/>
        </a:prstGeom>
        <a:solidFill>
          <a:srgbClr val="283D3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>
              <a:solidFill>
                <a:schemeClr val="lt1"/>
              </a:solidFill>
              <a:latin typeface="+mn-lt"/>
              <a:ea typeface="+mn-ea"/>
              <a:cs typeface="+mn-cs"/>
            </a:rPr>
            <a:t>CONTROLE DE ESTOQUE</a:t>
          </a:r>
        </a:p>
      </xdr:txBody>
    </xdr:sp>
    <xdr:clientData/>
  </xdr:twoCellAnchor>
  <xdr:twoCellAnchor editAs="absolute">
    <xdr:from>
      <xdr:col>7</xdr:col>
      <xdr:colOff>1304925</xdr:colOff>
      <xdr:row>0</xdr:row>
      <xdr:rowOff>109537</xdr:rowOff>
    </xdr:from>
    <xdr:to>
      <xdr:col>8</xdr:col>
      <xdr:colOff>105225</xdr:colOff>
      <xdr:row>0</xdr:row>
      <xdr:rowOff>469537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AF07D61-0807-40EE-8075-82FE9FABBE32}"/>
            </a:ext>
          </a:extLst>
        </xdr:cNvPr>
        <xdr:cNvSpPr/>
      </xdr:nvSpPr>
      <xdr:spPr>
        <a:xfrm>
          <a:off x="8982075" y="109537"/>
          <a:ext cx="972000" cy="360000"/>
        </a:xfrm>
        <a:prstGeom prst="rect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800" b="1">
              <a:solidFill>
                <a:schemeClr val="tx2"/>
              </a:solidFill>
              <a:latin typeface="+mn-lt"/>
              <a:ea typeface="+mn-ea"/>
              <a:cs typeface="+mn-cs"/>
            </a:rPr>
            <a:t>DASHBOARD</a:t>
          </a:r>
        </a:p>
      </xdr:txBody>
    </xdr:sp>
    <xdr:clientData/>
  </xdr:twoCellAnchor>
  <xdr:twoCellAnchor editAs="absolute">
    <xdr:from>
      <xdr:col>3</xdr:col>
      <xdr:colOff>990600</xdr:colOff>
      <xdr:row>3</xdr:row>
      <xdr:rowOff>19050</xdr:rowOff>
    </xdr:from>
    <xdr:to>
      <xdr:col>3</xdr:col>
      <xdr:colOff>1895475</xdr:colOff>
      <xdr:row>4</xdr:row>
      <xdr:rowOff>133349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0FDD15A-12A3-41D7-8C7F-90177E3D3191}"/>
            </a:ext>
          </a:extLst>
        </xdr:cNvPr>
        <xdr:cNvSpPr/>
      </xdr:nvSpPr>
      <xdr:spPr>
        <a:xfrm>
          <a:off x="3676650" y="762000"/>
          <a:ext cx="904875" cy="304799"/>
        </a:xfrm>
        <a:prstGeom prst="rect">
          <a:avLst/>
        </a:prstGeom>
        <a:solidFill>
          <a:srgbClr val="9E2A2B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Visão</a:t>
          </a:r>
          <a:r>
            <a:rPr lang="pt-BR" sz="1000" baseline="0"/>
            <a:t> Geral</a:t>
          </a:r>
          <a:endParaRPr lang="pt-BR" sz="1000"/>
        </a:p>
      </xdr:txBody>
    </xdr:sp>
    <xdr:clientData/>
  </xdr:twoCellAnchor>
  <xdr:twoCellAnchor editAs="absolute">
    <xdr:from>
      <xdr:col>3</xdr:col>
      <xdr:colOff>2014538</xdr:colOff>
      <xdr:row>3</xdr:row>
      <xdr:rowOff>19050</xdr:rowOff>
    </xdr:from>
    <xdr:to>
      <xdr:col>5</xdr:col>
      <xdr:colOff>423863</xdr:colOff>
      <xdr:row>4</xdr:row>
      <xdr:rowOff>133349</xdr:rowOff>
    </xdr:to>
    <xdr:sp macro="" textlink="">
      <xdr:nvSpPr>
        <xdr:cNvPr id="11" name="Retângulo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468AFC6-7994-4169-8999-44961D144840}"/>
            </a:ext>
          </a:extLst>
        </xdr:cNvPr>
        <xdr:cNvSpPr/>
      </xdr:nvSpPr>
      <xdr:spPr>
        <a:xfrm>
          <a:off x="4700588" y="762000"/>
          <a:ext cx="904875" cy="30479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/>
            <a:t>Saldo Estoque</a:t>
          </a:r>
        </a:p>
      </xdr:txBody>
    </xdr:sp>
    <xdr:clientData/>
  </xdr:twoCellAnchor>
  <xdr:twoCellAnchor editAs="absolute">
    <xdr:from>
      <xdr:col>5</xdr:col>
      <xdr:colOff>542925</xdr:colOff>
      <xdr:row>3</xdr:row>
      <xdr:rowOff>19050</xdr:rowOff>
    </xdr:from>
    <xdr:to>
      <xdr:col>5</xdr:col>
      <xdr:colOff>1447800</xdr:colOff>
      <xdr:row>4</xdr:row>
      <xdr:rowOff>133349</xdr:rowOff>
    </xdr:to>
    <xdr:sp macro="" textlink="">
      <xdr:nvSpPr>
        <xdr:cNvPr id="12" name="Retângulo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D141738-B894-4000-82AB-44B7457833AF}"/>
            </a:ext>
          </a:extLst>
        </xdr:cNvPr>
        <xdr:cNvSpPr/>
      </xdr:nvSpPr>
      <xdr:spPr>
        <a:xfrm>
          <a:off x="5724525" y="762000"/>
          <a:ext cx="904875" cy="30479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Produtos</a:t>
          </a:r>
        </a:p>
      </xdr:txBody>
    </xdr:sp>
    <xdr:clientData/>
  </xdr:twoCellAnchor>
  <xdr:twoCellAnchor editAs="oneCell">
    <xdr:from>
      <xdr:col>8</xdr:col>
      <xdr:colOff>1238250</xdr:colOff>
      <xdr:row>0</xdr:row>
      <xdr:rowOff>142875</xdr:rowOff>
    </xdr:from>
    <xdr:to>
      <xdr:col>8</xdr:col>
      <xdr:colOff>1571624</xdr:colOff>
      <xdr:row>0</xdr:row>
      <xdr:rowOff>402907</xdr:rowOff>
    </xdr:to>
    <xdr:pic>
      <xdr:nvPicPr>
        <xdr:cNvPr id="13" name="Imagem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1E4FC1C-B73F-41C2-8B91-B59E38EA7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142875"/>
          <a:ext cx="333374" cy="260032"/>
        </a:xfrm>
        <a:prstGeom prst="rect">
          <a:avLst/>
        </a:prstGeom>
      </xdr:spPr>
    </xdr:pic>
    <xdr:clientData/>
  </xdr:twoCellAnchor>
  <xdr:twoCellAnchor>
    <xdr:from>
      <xdr:col>1</xdr:col>
      <xdr:colOff>57150</xdr:colOff>
      <xdr:row>7</xdr:row>
      <xdr:rowOff>180975</xdr:rowOff>
    </xdr:from>
    <xdr:to>
      <xdr:col>2</xdr:col>
      <xdr:colOff>57150</xdr:colOff>
      <xdr:row>8</xdr:row>
      <xdr:rowOff>695325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558D531C-7336-4AC6-8115-AB7127A3A211}"/>
            </a:ext>
          </a:extLst>
        </xdr:cNvPr>
        <xdr:cNvGrpSpPr/>
      </xdr:nvGrpSpPr>
      <xdr:grpSpPr>
        <a:xfrm>
          <a:off x="255270" y="1644015"/>
          <a:ext cx="2232660" cy="697230"/>
          <a:chOff x="1190625" y="4229100"/>
          <a:chExt cx="2171700" cy="704850"/>
        </a:xfrm>
      </xdr:grpSpPr>
      <xdr:sp macro="" textlink="">
        <xdr:nvSpPr>
          <xdr:cNvPr id="8" name="Retângulo 7">
            <a:extLst>
              <a:ext uri="{FF2B5EF4-FFF2-40B4-BE49-F238E27FC236}">
                <a16:creationId xmlns:a16="http://schemas.microsoft.com/office/drawing/2014/main" id="{0F5E9DEC-4ABD-4E18-BF24-B2BADB8C9D08}"/>
              </a:ext>
            </a:extLst>
          </xdr:cNvPr>
          <xdr:cNvSpPr/>
        </xdr:nvSpPr>
        <xdr:spPr>
          <a:xfrm>
            <a:off x="1190625" y="4229100"/>
            <a:ext cx="2171700" cy="704849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283D3B"/>
              </a:solidFill>
            </a:endParaRPr>
          </a:p>
        </xdr:txBody>
      </xdr:sp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D3CAE1CD-93C1-4BB6-A140-4ACE09BD396A}"/>
              </a:ext>
            </a:extLst>
          </xdr:cNvPr>
          <xdr:cNvSpPr txBox="1"/>
        </xdr:nvSpPr>
        <xdr:spPr>
          <a:xfrm>
            <a:off x="1624013" y="4257675"/>
            <a:ext cx="1304925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solidFill>
                  <a:srgbClr val="283D3B"/>
                </a:solidFill>
              </a:rPr>
              <a:t>Total de Produtos</a:t>
            </a:r>
          </a:p>
        </xdr:txBody>
      </xdr:sp>
      <xdr:sp macro="" textlink="Auxiliar!C59">
        <xdr:nvSpPr>
          <xdr:cNvPr id="14" name="CaixaDeTexto 13">
            <a:extLst>
              <a:ext uri="{FF2B5EF4-FFF2-40B4-BE49-F238E27FC236}">
                <a16:creationId xmlns:a16="http://schemas.microsoft.com/office/drawing/2014/main" id="{E378762C-1282-4CD4-9351-A354209207DA}"/>
              </a:ext>
            </a:extLst>
          </xdr:cNvPr>
          <xdr:cNvSpPr txBox="1"/>
        </xdr:nvSpPr>
        <xdr:spPr>
          <a:xfrm>
            <a:off x="1547813" y="4438650"/>
            <a:ext cx="1457325" cy="495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2E5E92D-810A-41AB-813D-A7A9B8BE73A0}" type="TxLink">
              <a:rPr lang="en-US" sz="2400" b="1" i="0" u="none" strike="noStrike">
                <a:solidFill>
                  <a:srgbClr val="283D3B"/>
                </a:solidFill>
                <a:latin typeface="Calibri"/>
                <a:cs typeface="Calibri"/>
              </a:rPr>
              <a:pPr algn="ctr"/>
              <a:t>10</a:t>
            </a:fld>
            <a:endParaRPr lang="pt-BR" sz="2400" b="1">
              <a:solidFill>
                <a:srgbClr val="283D3B"/>
              </a:solidFill>
            </a:endParaRPr>
          </a:p>
        </xdr:txBody>
      </xdr:sp>
    </xdr:grpSp>
    <xdr:clientData/>
  </xdr:twoCellAnchor>
  <xdr:twoCellAnchor>
    <xdr:from>
      <xdr:col>2</xdr:col>
      <xdr:colOff>314325</xdr:colOff>
      <xdr:row>7</xdr:row>
      <xdr:rowOff>180975</xdr:rowOff>
    </xdr:from>
    <xdr:to>
      <xdr:col>3</xdr:col>
      <xdr:colOff>2162175</xdr:colOff>
      <xdr:row>8</xdr:row>
      <xdr:rowOff>695325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86488272-9341-4B18-B2B2-A0E04BF4BC14}"/>
            </a:ext>
          </a:extLst>
        </xdr:cNvPr>
        <xdr:cNvGrpSpPr/>
      </xdr:nvGrpSpPr>
      <xdr:grpSpPr>
        <a:xfrm>
          <a:off x="2745105" y="1644015"/>
          <a:ext cx="2183130" cy="697230"/>
          <a:chOff x="1190625" y="4229100"/>
          <a:chExt cx="2171700" cy="704850"/>
        </a:xfrm>
      </xdr:grpSpPr>
      <xdr:sp macro="" textlink="">
        <xdr:nvSpPr>
          <xdr:cNvPr id="17" name="Retângulo 16">
            <a:extLst>
              <a:ext uri="{FF2B5EF4-FFF2-40B4-BE49-F238E27FC236}">
                <a16:creationId xmlns:a16="http://schemas.microsoft.com/office/drawing/2014/main" id="{A1AF6F45-011C-4288-9A60-1448DE92A2DC}"/>
              </a:ext>
            </a:extLst>
          </xdr:cNvPr>
          <xdr:cNvSpPr/>
        </xdr:nvSpPr>
        <xdr:spPr>
          <a:xfrm>
            <a:off x="1190625" y="4229100"/>
            <a:ext cx="2171700" cy="704849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283D3B"/>
              </a:solidFill>
            </a:endParaRPr>
          </a:p>
        </xdr:txBody>
      </xdr:sp>
      <xdr:sp macro="" textlink="">
        <xdr:nvSpPr>
          <xdr:cNvPr id="18" name="CaixaDeTexto 17">
            <a:extLst>
              <a:ext uri="{FF2B5EF4-FFF2-40B4-BE49-F238E27FC236}">
                <a16:creationId xmlns:a16="http://schemas.microsoft.com/office/drawing/2014/main" id="{A1E0BA11-A289-4FDA-835C-56026A2FFF93}"/>
              </a:ext>
            </a:extLst>
          </xdr:cNvPr>
          <xdr:cNvSpPr txBox="1"/>
        </xdr:nvSpPr>
        <xdr:spPr>
          <a:xfrm>
            <a:off x="1604963" y="4248150"/>
            <a:ext cx="1304925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solidFill>
                  <a:srgbClr val="283D3B"/>
                </a:solidFill>
              </a:rPr>
              <a:t>Total de Lojas</a:t>
            </a:r>
          </a:p>
        </xdr:txBody>
      </xdr:sp>
      <xdr:sp macro="" textlink="Auxiliar!C60">
        <xdr:nvSpPr>
          <xdr:cNvPr id="19" name="CaixaDeTexto 18">
            <a:extLst>
              <a:ext uri="{FF2B5EF4-FFF2-40B4-BE49-F238E27FC236}">
                <a16:creationId xmlns:a16="http://schemas.microsoft.com/office/drawing/2014/main" id="{AFCCBB6A-0E3F-4CD4-882F-BAA0B19AA2D5}"/>
              </a:ext>
            </a:extLst>
          </xdr:cNvPr>
          <xdr:cNvSpPr txBox="1"/>
        </xdr:nvSpPr>
        <xdr:spPr>
          <a:xfrm>
            <a:off x="1547813" y="4438650"/>
            <a:ext cx="1457325" cy="495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AFA84721-D58B-416C-926B-5DEFB01A1610}" type="TxLink">
              <a:rPr lang="en-US" sz="2400" b="1" i="0" u="none" strike="noStrike">
                <a:solidFill>
                  <a:srgbClr val="283D3B"/>
                </a:solidFill>
                <a:latin typeface="Calibri"/>
                <a:cs typeface="Calibri"/>
              </a:rPr>
              <a:pPr algn="ctr"/>
              <a:t>5</a:t>
            </a:fld>
            <a:endParaRPr lang="pt-BR" sz="2400" b="1">
              <a:solidFill>
                <a:srgbClr val="283D3B"/>
              </a:solidFill>
            </a:endParaRPr>
          </a:p>
        </xdr:txBody>
      </xdr:sp>
    </xdr:grpSp>
    <xdr:clientData/>
  </xdr:twoCellAnchor>
  <xdr:twoCellAnchor>
    <xdr:from>
      <xdr:col>5</xdr:col>
      <xdr:colOff>0</xdr:colOff>
      <xdr:row>8</xdr:row>
      <xdr:rowOff>0</xdr:rowOff>
    </xdr:from>
    <xdr:to>
      <xdr:col>6</xdr:col>
      <xdr:colOff>0</xdr:colOff>
      <xdr:row>8</xdr:row>
      <xdr:rowOff>704850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CB77EF1E-E0D3-461F-9813-42C44C408CE7}"/>
            </a:ext>
          </a:extLst>
        </xdr:cNvPr>
        <xdr:cNvGrpSpPr/>
      </xdr:nvGrpSpPr>
      <xdr:grpSpPr>
        <a:xfrm>
          <a:off x="5334000" y="1645920"/>
          <a:ext cx="2232660" cy="704850"/>
          <a:chOff x="1190625" y="4229100"/>
          <a:chExt cx="2171700" cy="704850"/>
        </a:xfrm>
      </xdr:grpSpPr>
      <xdr:sp macro="" textlink="">
        <xdr:nvSpPr>
          <xdr:cNvPr id="21" name="Retângulo 20">
            <a:extLst>
              <a:ext uri="{FF2B5EF4-FFF2-40B4-BE49-F238E27FC236}">
                <a16:creationId xmlns:a16="http://schemas.microsoft.com/office/drawing/2014/main" id="{28402E93-9748-428B-9A1D-6D4A81A320DB}"/>
              </a:ext>
            </a:extLst>
          </xdr:cNvPr>
          <xdr:cNvSpPr/>
        </xdr:nvSpPr>
        <xdr:spPr>
          <a:xfrm>
            <a:off x="1190625" y="4229100"/>
            <a:ext cx="2171700" cy="704849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283D3B"/>
              </a:solidFill>
            </a:endParaRPr>
          </a:p>
        </xdr:txBody>
      </xdr:sp>
      <xdr:sp macro="" textlink="">
        <xdr:nvSpPr>
          <xdr:cNvPr id="22" name="CaixaDeTexto 21">
            <a:extLst>
              <a:ext uri="{FF2B5EF4-FFF2-40B4-BE49-F238E27FC236}">
                <a16:creationId xmlns:a16="http://schemas.microsoft.com/office/drawing/2014/main" id="{2C3065F1-3E55-47E5-B246-68D8067DCF99}"/>
              </a:ext>
            </a:extLst>
          </xdr:cNvPr>
          <xdr:cNvSpPr txBox="1"/>
        </xdr:nvSpPr>
        <xdr:spPr>
          <a:xfrm>
            <a:off x="1190625" y="4248150"/>
            <a:ext cx="2162175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solidFill>
                  <a:srgbClr val="283D3B"/>
                </a:solidFill>
              </a:rPr>
              <a:t>Total de Fornecedores</a:t>
            </a:r>
          </a:p>
        </xdr:txBody>
      </xdr:sp>
      <xdr:sp macro="" textlink="Auxiliar!C61">
        <xdr:nvSpPr>
          <xdr:cNvPr id="23" name="CaixaDeTexto 22">
            <a:extLst>
              <a:ext uri="{FF2B5EF4-FFF2-40B4-BE49-F238E27FC236}">
                <a16:creationId xmlns:a16="http://schemas.microsoft.com/office/drawing/2014/main" id="{0D9C0E12-5C1F-4AD6-82A0-1F6F186B7930}"/>
              </a:ext>
            </a:extLst>
          </xdr:cNvPr>
          <xdr:cNvSpPr txBox="1"/>
        </xdr:nvSpPr>
        <xdr:spPr>
          <a:xfrm>
            <a:off x="1547813" y="4438650"/>
            <a:ext cx="1457325" cy="495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902B817-09FA-4B76-B600-4CA67EF0B06C}" type="TxLink">
              <a:rPr lang="en-US" sz="2400" b="1" i="0" u="none" strike="noStrike">
                <a:solidFill>
                  <a:srgbClr val="283D3B"/>
                </a:solidFill>
                <a:latin typeface="Calibri"/>
                <a:cs typeface="Calibri"/>
              </a:rPr>
              <a:pPr algn="ctr"/>
              <a:t>5</a:t>
            </a:fld>
            <a:endParaRPr lang="pt-BR" sz="2400" b="1">
              <a:solidFill>
                <a:srgbClr val="283D3B"/>
              </a:solidFill>
            </a:endParaRPr>
          </a:p>
        </xdr:txBody>
      </xdr:sp>
    </xdr:grpSp>
    <xdr:clientData/>
  </xdr:twoCellAnchor>
  <xdr:twoCellAnchor>
    <xdr:from>
      <xdr:col>7</xdr:col>
      <xdr:colOff>0</xdr:colOff>
      <xdr:row>7</xdr:row>
      <xdr:rowOff>180975</xdr:rowOff>
    </xdr:from>
    <xdr:to>
      <xdr:col>8</xdr:col>
      <xdr:colOff>0</xdr:colOff>
      <xdr:row>8</xdr:row>
      <xdr:rowOff>695325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E90976C7-0D05-4D57-B34E-2897FC36FE09}"/>
            </a:ext>
          </a:extLst>
        </xdr:cNvPr>
        <xdr:cNvGrpSpPr/>
      </xdr:nvGrpSpPr>
      <xdr:grpSpPr>
        <a:xfrm>
          <a:off x="7901940" y="1644015"/>
          <a:ext cx="2232660" cy="697230"/>
          <a:chOff x="1190625" y="4229100"/>
          <a:chExt cx="2171700" cy="704850"/>
        </a:xfrm>
      </xdr:grpSpPr>
      <xdr:sp macro="" textlink="">
        <xdr:nvSpPr>
          <xdr:cNvPr id="25" name="Retângulo 24">
            <a:extLst>
              <a:ext uri="{FF2B5EF4-FFF2-40B4-BE49-F238E27FC236}">
                <a16:creationId xmlns:a16="http://schemas.microsoft.com/office/drawing/2014/main" id="{51BA85BE-ED5D-408B-87E3-3625BFCA7882}"/>
              </a:ext>
            </a:extLst>
          </xdr:cNvPr>
          <xdr:cNvSpPr/>
        </xdr:nvSpPr>
        <xdr:spPr>
          <a:xfrm>
            <a:off x="1190625" y="4229100"/>
            <a:ext cx="2171700" cy="704849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283D3B"/>
              </a:solidFill>
            </a:endParaRPr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1853BFC1-727C-4173-95A0-FEA82A75C9C0}"/>
              </a:ext>
            </a:extLst>
          </xdr:cNvPr>
          <xdr:cNvSpPr txBox="1"/>
        </xdr:nvSpPr>
        <xdr:spPr>
          <a:xfrm>
            <a:off x="1190625" y="4248150"/>
            <a:ext cx="2162175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solidFill>
                  <a:srgbClr val="283D3B"/>
                </a:solidFill>
              </a:rPr>
              <a:t>Qtd. Produtos em Estoque</a:t>
            </a:r>
          </a:p>
        </xdr:txBody>
      </xdr:sp>
      <xdr:sp macro="" textlink="Auxiliar!C62">
        <xdr:nvSpPr>
          <xdr:cNvPr id="27" name="CaixaDeTexto 26">
            <a:extLst>
              <a:ext uri="{FF2B5EF4-FFF2-40B4-BE49-F238E27FC236}">
                <a16:creationId xmlns:a16="http://schemas.microsoft.com/office/drawing/2014/main" id="{7029A4D5-B0E3-4733-BC77-32FC7E745A36}"/>
              </a:ext>
            </a:extLst>
          </xdr:cNvPr>
          <xdr:cNvSpPr txBox="1"/>
        </xdr:nvSpPr>
        <xdr:spPr>
          <a:xfrm>
            <a:off x="1547813" y="4438650"/>
            <a:ext cx="1457325" cy="495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E170EDA-6824-4493-91BD-92325EA931AB}" type="TxLink">
              <a:rPr lang="en-US" sz="2400" b="1" i="0" u="none" strike="noStrike">
                <a:solidFill>
                  <a:srgbClr val="283D3B"/>
                </a:solidFill>
                <a:latin typeface="Calibri"/>
                <a:cs typeface="Calibri"/>
              </a:rPr>
              <a:pPr algn="ctr"/>
              <a:t>412</a:t>
            </a:fld>
            <a:endParaRPr lang="pt-BR" sz="2400" b="1">
              <a:solidFill>
                <a:srgbClr val="283D3B"/>
              </a:solidFill>
            </a:endParaRPr>
          </a:p>
        </xdr:txBody>
      </xdr:sp>
    </xdr:grpSp>
    <xdr:clientData/>
  </xdr:twoCellAnchor>
  <xdr:twoCellAnchor>
    <xdr:from>
      <xdr:col>1</xdr:col>
      <xdr:colOff>38100</xdr:colOff>
      <xdr:row>12</xdr:row>
      <xdr:rowOff>0</xdr:rowOff>
    </xdr:from>
    <xdr:to>
      <xdr:col>2</xdr:col>
      <xdr:colOff>38100</xdr:colOff>
      <xdr:row>12</xdr:row>
      <xdr:rowOff>704850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48B070B9-A6A6-4E46-8984-72D358F23D50}"/>
            </a:ext>
          </a:extLst>
        </xdr:cNvPr>
        <xdr:cNvGrpSpPr/>
      </xdr:nvGrpSpPr>
      <xdr:grpSpPr>
        <a:xfrm>
          <a:off x="236220" y="2903220"/>
          <a:ext cx="2232660" cy="704850"/>
          <a:chOff x="1190625" y="4229100"/>
          <a:chExt cx="2171700" cy="704850"/>
        </a:xfrm>
      </xdr:grpSpPr>
      <xdr:sp macro="" textlink="">
        <xdr:nvSpPr>
          <xdr:cNvPr id="29" name="Retângulo 28">
            <a:extLst>
              <a:ext uri="{FF2B5EF4-FFF2-40B4-BE49-F238E27FC236}">
                <a16:creationId xmlns:a16="http://schemas.microsoft.com/office/drawing/2014/main" id="{DDF15B19-0D8B-466D-94C5-5ECA08227C4A}"/>
              </a:ext>
            </a:extLst>
          </xdr:cNvPr>
          <xdr:cNvSpPr/>
        </xdr:nvSpPr>
        <xdr:spPr>
          <a:xfrm>
            <a:off x="1190625" y="4229100"/>
            <a:ext cx="2171700" cy="704849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283D3B"/>
              </a:solidFill>
            </a:endParaRPr>
          </a:p>
        </xdr:txBody>
      </xdr:sp>
      <xdr:sp macro="" textlink="">
        <xdr:nvSpPr>
          <xdr:cNvPr id="30" name="CaixaDeTexto 29">
            <a:extLst>
              <a:ext uri="{FF2B5EF4-FFF2-40B4-BE49-F238E27FC236}">
                <a16:creationId xmlns:a16="http://schemas.microsoft.com/office/drawing/2014/main" id="{ED76340F-6646-460C-90BC-5D33C99FC20F}"/>
              </a:ext>
            </a:extLst>
          </xdr:cNvPr>
          <xdr:cNvSpPr txBox="1"/>
        </xdr:nvSpPr>
        <xdr:spPr>
          <a:xfrm>
            <a:off x="1190625" y="4248150"/>
            <a:ext cx="2162175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solidFill>
                  <a:srgbClr val="283D3B"/>
                </a:solidFill>
              </a:rPr>
              <a:t>Receita</a:t>
            </a:r>
            <a:r>
              <a:rPr lang="pt-BR" sz="1100" baseline="0">
                <a:solidFill>
                  <a:srgbClr val="283D3B"/>
                </a:solidFill>
              </a:rPr>
              <a:t> Total</a:t>
            </a:r>
            <a:endParaRPr lang="pt-BR" sz="1100">
              <a:solidFill>
                <a:srgbClr val="283D3B"/>
              </a:solidFill>
            </a:endParaRPr>
          </a:p>
        </xdr:txBody>
      </xdr:sp>
      <xdr:sp macro="" textlink="Auxiliar!C63">
        <xdr:nvSpPr>
          <xdr:cNvPr id="31" name="CaixaDeTexto 30">
            <a:extLst>
              <a:ext uri="{FF2B5EF4-FFF2-40B4-BE49-F238E27FC236}">
                <a16:creationId xmlns:a16="http://schemas.microsoft.com/office/drawing/2014/main" id="{CE4F2C48-A3CD-4813-83D4-75EA00522C1D}"/>
              </a:ext>
            </a:extLst>
          </xdr:cNvPr>
          <xdr:cNvSpPr txBox="1"/>
        </xdr:nvSpPr>
        <xdr:spPr>
          <a:xfrm>
            <a:off x="1228725" y="4438650"/>
            <a:ext cx="2114550" cy="495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8FF1DBF-F880-4183-9C30-CE2DD9908BB4}" type="TxLink">
              <a:rPr lang="en-US" sz="2400" b="1" i="0" u="none" strike="noStrike">
                <a:solidFill>
                  <a:srgbClr val="283D3B"/>
                </a:solidFill>
                <a:latin typeface="Calibri"/>
                <a:cs typeface="Calibri"/>
              </a:rPr>
              <a:pPr algn="ctr"/>
              <a:t>R$ 5.510,20</a:t>
            </a:fld>
            <a:endParaRPr lang="pt-BR" sz="2400" b="1">
              <a:solidFill>
                <a:srgbClr val="283D3B"/>
              </a:solidFill>
            </a:endParaRPr>
          </a:p>
        </xdr:txBody>
      </xdr:sp>
    </xdr:grpSp>
    <xdr:clientData/>
  </xdr:twoCellAnchor>
  <xdr:twoCellAnchor>
    <xdr:from>
      <xdr:col>2</xdr:col>
      <xdr:colOff>314325</xdr:colOff>
      <xdr:row>12</xdr:row>
      <xdr:rowOff>9525</xdr:rowOff>
    </xdr:from>
    <xdr:to>
      <xdr:col>3</xdr:col>
      <xdr:colOff>2162175</xdr:colOff>
      <xdr:row>13</xdr:row>
      <xdr:rowOff>0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EE0665FC-EB7C-4B9D-9F63-EBB4E0FBC7FF}"/>
            </a:ext>
          </a:extLst>
        </xdr:cNvPr>
        <xdr:cNvGrpSpPr/>
      </xdr:nvGrpSpPr>
      <xdr:grpSpPr>
        <a:xfrm>
          <a:off x="2745105" y="2912745"/>
          <a:ext cx="2183130" cy="699135"/>
          <a:chOff x="1190625" y="4229100"/>
          <a:chExt cx="2171700" cy="704850"/>
        </a:xfrm>
      </xdr:grpSpPr>
      <xdr:sp macro="" textlink="">
        <xdr:nvSpPr>
          <xdr:cNvPr id="33" name="Retângulo 32">
            <a:extLst>
              <a:ext uri="{FF2B5EF4-FFF2-40B4-BE49-F238E27FC236}">
                <a16:creationId xmlns:a16="http://schemas.microsoft.com/office/drawing/2014/main" id="{31A5894A-6108-415F-AE74-6DB69D4FCF0B}"/>
              </a:ext>
            </a:extLst>
          </xdr:cNvPr>
          <xdr:cNvSpPr/>
        </xdr:nvSpPr>
        <xdr:spPr>
          <a:xfrm>
            <a:off x="1190625" y="4229100"/>
            <a:ext cx="2171700" cy="704849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283D3B"/>
              </a:solidFill>
            </a:endParaRPr>
          </a:p>
        </xdr:txBody>
      </xdr:sp>
      <xdr:sp macro="" textlink="">
        <xdr:nvSpPr>
          <xdr:cNvPr id="34" name="CaixaDeTexto 33">
            <a:extLst>
              <a:ext uri="{FF2B5EF4-FFF2-40B4-BE49-F238E27FC236}">
                <a16:creationId xmlns:a16="http://schemas.microsoft.com/office/drawing/2014/main" id="{2F70031B-A5F4-4A32-ACB4-E9C5C1D958E1}"/>
              </a:ext>
            </a:extLst>
          </xdr:cNvPr>
          <xdr:cNvSpPr txBox="1"/>
        </xdr:nvSpPr>
        <xdr:spPr>
          <a:xfrm>
            <a:off x="1190625" y="4248150"/>
            <a:ext cx="2162175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 baseline="0">
                <a:solidFill>
                  <a:srgbClr val="283D3B"/>
                </a:solidFill>
              </a:rPr>
              <a:t>Custo Total</a:t>
            </a:r>
            <a:endParaRPr lang="pt-BR" sz="1100">
              <a:solidFill>
                <a:srgbClr val="283D3B"/>
              </a:solidFill>
            </a:endParaRPr>
          </a:p>
        </xdr:txBody>
      </xdr:sp>
      <xdr:sp macro="" textlink="Auxiliar!C64">
        <xdr:nvSpPr>
          <xdr:cNvPr id="35" name="CaixaDeTexto 34">
            <a:extLst>
              <a:ext uri="{FF2B5EF4-FFF2-40B4-BE49-F238E27FC236}">
                <a16:creationId xmlns:a16="http://schemas.microsoft.com/office/drawing/2014/main" id="{9EB7E09D-9982-4615-97E0-7441D38EFF4B}"/>
              </a:ext>
            </a:extLst>
          </xdr:cNvPr>
          <xdr:cNvSpPr txBox="1"/>
        </xdr:nvSpPr>
        <xdr:spPr>
          <a:xfrm>
            <a:off x="1228725" y="4438650"/>
            <a:ext cx="2114550" cy="495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BC7E803-6489-4072-A016-3E1471C2B6DC}" type="TxLink">
              <a:rPr lang="en-US" sz="2400" b="1" i="0" u="none" strike="noStrike">
                <a:solidFill>
                  <a:srgbClr val="283D3B"/>
                </a:solidFill>
                <a:latin typeface="Calibri"/>
                <a:cs typeface="Calibri"/>
              </a:rPr>
              <a:pPr algn="ctr"/>
              <a:t>R$ 3.271,90</a:t>
            </a:fld>
            <a:endParaRPr lang="pt-BR" sz="2400" b="1">
              <a:solidFill>
                <a:srgbClr val="283D3B"/>
              </a:solidFill>
            </a:endParaRPr>
          </a:p>
        </xdr:txBody>
      </xdr:sp>
    </xdr:grpSp>
    <xdr:clientData/>
  </xdr:twoCellAnchor>
  <xdr:twoCellAnchor>
    <xdr:from>
      <xdr:col>4</xdr:col>
      <xdr:colOff>295275</xdr:colOff>
      <xdr:row>12</xdr:row>
      <xdr:rowOff>9525</xdr:rowOff>
    </xdr:from>
    <xdr:to>
      <xdr:col>5</xdr:col>
      <xdr:colOff>2143125</xdr:colOff>
      <xdr:row>13</xdr:row>
      <xdr:rowOff>0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86C0E3E7-99E7-4C9A-A28A-FDFDA856E451}"/>
            </a:ext>
          </a:extLst>
        </xdr:cNvPr>
        <xdr:cNvGrpSpPr/>
      </xdr:nvGrpSpPr>
      <xdr:grpSpPr>
        <a:xfrm>
          <a:off x="5293995" y="2912745"/>
          <a:ext cx="2183130" cy="699135"/>
          <a:chOff x="1190625" y="4229100"/>
          <a:chExt cx="2171700" cy="704850"/>
        </a:xfrm>
      </xdr:grpSpPr>
      <xdr:sp macro="" textlink="">
        <xdr:nvSpPr>
          <xdr:cNvPr id="37" name="Retângulo 36">
            <a:extLst>
              <a:ext uri="{FF2B5EF4-FFF2-40B4-BE49-F238E27FC236}">
                <a16:creationId xmlns:a16="http://schemas.microsoft.com/office/drawing/2014/main" id="{C8A3BF8A-9D05-4D53-9031-2173FFFCCDE1}"/>
              </a:ext>
            </a:extLst>
          </xdr:cNvPr>
          <xdr:cNvSpPr/>
        </xdr:nvSpPr>
        <xdr:spPr>
          <a:xfrm>
            <a:off x="1190625" y="4229100"/>
            <a:ext cx="2171700" cy="704849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283D3B"/>
              </a:solidFill>
            </a:endParaRPr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458F1479-5A16-4569-87F1-16ADD3A019DB}"/>
              </a:ext>
            </a:extLst>
          </xdr:cNvPr>
          <xdr:cNvSpPr txBox="1"/>
        </xdr:nvSpPr>
        <xdr:spPr>
          <a:xfrm>
            <a:off x="1190625" y="4248150"/>
            <a:ext cx="2162175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solidFill>
                  <a:srgbClr val="283D3B"/>
                </a:solidFill>
              </a:rPr>
              <a:t>Lucro Total</a:t>
            </a:r>
          </a:p>
        </xdr:txBody>
      </xdr:sp>
      <xdr:sp macro="" textlink="Auxiliar!C65">
        <xdr:nvSpPr>
          <xdr:cNvPr id="39" name="CaixaDeTexto 38">
            <a:extLst>
              <a:ext uri="{FF2B5EF4-FFF2-40B4-BE49-F238E27FC236}">
                <a16:creationId xmlns:a16="http://schemas.microsoft.com/office/drawing/2014/main" id="{4C882B6A-7B82-4C56-9753-0895053EFB1A}"/>
              </a:ext>
            </a:extLst>
          </xdr:cNvPr>
          <xdr:cNvSpPr txBox="1"/>
        </xdr:nvSpPr>
        <xdr:spPr>
          <a:xfrm>
            <a:off x="1228725" y="4438650"/>
            <a:ext cx="2114550" cy="495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58EF6F8-5BA3-40A3-9377-7EAD8E6E0036}" type="TxLink">
              <a:rPr lang="en-US" sz="2400" b="1" i="0" u="none" strike="noStrike">
                <a:solidFill>
                  <a:srgbClr val="283D3B"/>
                </a:solidFill>
                <a:latin typeface="Calibri"/>
                <a:cs typeface="Calibri"/>
              </a:rPr>
              <a:pPr algn="ctr"/>
              <a:t>R$ 2.238,30</a:t>
            </a:fld>
            <a:endParaRPr lang="pt-BR" sz="2400" b="1">
              <a:solidFill>
                <a:srgbClr val="283D3B"/>
              </a:solidFill>
            </a:endParaRPr>
          </a:p>
        </xdr:txBody>
      </xdr:sp>
    </xdr:grpSp>
    <xdr:clientData/>
  </xdr:twoCellAnchor>
  <xdr:twoCellAnchor>
    <xdr:from>
      <xdr:col>7</xdr:col>
      <xdr:colOff>0</xdr:colOff>
      <xdr:row>12</xdr:row>
      <xdr:rowOff>9525</xdr:rowOff>
    </xdr:from>
    <xdr:to>
      <xdr:col>8</xdr:col>
      <xdr:colOff>0</xdr:colOff>
      <xdr:row>13</xdr:row>
      <xdr:rowOff>0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E2088120-FF2D-4EA7-A53A-A37B144997F5}"/>
            </a:ext>
          </a:extLst>
        </xdr:cNvPr>
        <xdr:cNvGrpSpPr/>
      </xdr:nvGrpSpPr>
      <xdr:grpSpPr>
        <a:xfrm>
          <a:off x="7901940" y="2912745"/>
          <a:ext cx="2232660" cy="699135"/>
          <a:chOff x="1190625" y="4229100"/>
          <a:chExt cx="2171700" cy="704850"/>
        </a:xfrm>
      </xdr:grpSpPr>
      <xdr:sp macro="" textlink="">
        <xdr:nvSpPr>
          <xdr:cNvPr id="41" name="Retângulo 40">
            <a:extLst>
              <a:ext uri="{FF2B5EF4-FFF2-40B4-BE49-F238E27FC236}">
                <a16:creationId xmlns:a16="http://schemas.microsoft.com/office/drawing/2014/main" id="{B7D08A10-B485-4E76-B74D-BB83D802714F}"/>
              </a:ext>
            </a:extLst>
          </xdr:cNvPr>
          <xdr:cNvSpPr/>
        </xdr:nvSpPr>
        <xdr:spPr>
          <a:xfrm>
            <a:off x="1190625" y="4229100"/>
            <a:ext cx="2171700" cy="704849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283D3B"/>
              </a:solidFill>
            </a:endParaRPr>
          </a:p>
        </xdr:txBody>
      </xdr:sp>
      <xdr:sp macro="" textlink="">
        <xdr:nvSpPr>
          <xdr:cNvPr id="42" name="CaixaDeTexto 41">
            <a:extLst>
              <a:ext uri="{FF2B5EF4-FFF2-40B4-BE49-F238E27FC236}">
                <a16:creationId xmlns:a16="http://schemas.microsoft.com/office/drawing/2014/main" id="{AAC8C080-8E2F-422D-95A4-1AE8063E3B0B}"/>
              </a:ext>
            </a:extLst>
          </xdr:cNvPr>
          <xdr:cNvSpPr txBox="1"/>
        </xdr:nvSpPr>
        <xdr:spPr>
          <a:xfrm>
            <a:off x="1190625" y="4248150"/>
            <a:ext cx="2162175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>
                <a:solidFill>
                  <a:srgbClr val="283D3B"/>
                </a:solidFill>
              </a:rPr>
              <a:t>Margem % Luco</a:t>
            </a:r>
          </a:p>
        </xdr:txBody>
      </xdr:sp>
      <xdr:sp macro="" textlink="Auxiliar!C66">
        <xdr:nvSpPr>
          <xdr:cNvPr id="43" name="CaixaDeTexto 42">
            <a:extLst>
              <a:ext uri="{FF2B5EF4-FFF2-40B4-BE49-F238E27FC236}">
                <a16:creationId xmlns:a16="http://schemas.microsoft.com/office/drawing/2014/main" id="{78A722B5-627A-45C1-83C7-9B1E24D8F45B}"/>
              </a:ext>
            </a:extLst>
          </xdr:cNvPr>
          <xdr:cNvSpPr txBox="1"/>
        </xdr:nvSpPr>
        <xdr:spPr>
          <a:xfrm>
            <a:off x="1228725" y="4438650"/>
            <a:ext cx="2114550" cy="495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7074AD9-A0BF-4D43-9423-5E6BDD8B088B}" type="TxLink">
              <a:rPr lang="en-US" sz="2400" b="1" i="0" u="none" strike="noStrike">
                <a:solidFill>
                  <a:srgbClr val="283D3B"/>
                </a:solidFill>
                <a:latin typeface="Calibri"/>
                <a:cs typeface="Calibri"/>
              </a:rPr>
              <a:pPr algn="ctr"/>
              <a:t>40,62%</a:t>
            </a:fld>
            <a:endParaRPr lang="pt-BR" sz="2400" b="1">
              <a:solidFill>
                <a:srgbClr val="283D3B"/>
              </a:solidFill>
            </a:endParaRP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BC5BC1-91C2-4DEF-859E-78FBCA399EB2}" name="PRODUTO" displayName="PRODUTO" ref="B6:G16" totalsRowShown="0" headerRowDxfId="57" dataDxfId="56">
  <autoFilter ref="B6:G16" xr:uid="{BACC7ADF-BD96-4F7F-A27F-D3E6CA09C350}"/>
  <tableColumns count="6">
    <tableColumn id="1" xr3:uid="{4E2F469C-FEFD-4E38-9272-0ACBA3175F55}" name="Item" dataDxfId="55"/>
    <tableColumn id="2" xr3:uid="{AFCEF652-41FC-4F5E-87EE-E2A76E8CC3D0}" name="# Código Produto" dataDxfId="54"/>
    <tableColumn id="3" xr3:uid="{986C0382-5C72-454C-941F-E0D58E1ADD18}" name="Unidade de Medida" dataDxfId="53"/>
    <tableColumn id="4" xr3:uid="{27B96B13-1391-4E09-B367-CDD7CE6D0488}" name="Estoque Mínimo" dataDxfId="52"/>
    <tableColumn id="5" xr3:uid="{0278EEBA-3F9C-4BFA-9430-94B10685A921}" name="Custo Unitário" dataDxfId="51"/>
    <tableColumn id="6" xr3:uid="{209DB8C9-E4F7-4343-965D-4DA4A1A84FAE}" name="Preço Unitário" dataDxfId="50"/>
  </tableColumns>
  <tableStyleInfo name="TableStyleMedium4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78BD90-05A7-470A-9536-60D58AF51EA5}" name="FORNECEDORES" displayName="FORNECEDORES" ref="B6:F11" totalsRowShown="0" headerRowDxfId="49" dataDxfId="48">
  <autoFilter ref="B6:F11" xr:uid="{BACC7ADF-BD96-4F7F-A27F-D3E6CA09C350}"/>
  <tableColumns count="5">
    <tableColumn id="1" xr3:uid="{706C2DCC-A6D0-4DC1-A706-7CB480C5D52B}" name="Empresa" dataDxfId="47"/>
    <tableColumn id="2" xr3:uid="{24BF9BAC-2BCD-4772-B755-1F347DFDDF6F}" name="Telefone" dataDxfId="46"/>
    <tableColumn id="3" xr3:uid="{E2617734-61E3-44A4-9C38-5B21F65FA598}" name="E-mail" dataDxfId="45"/>
    <tableColumn id="4" xr3:uid="{1E7A1109-921F-4DDB-881A-F2A320714A1B}" name="Endereço" dataDxfId="44"/>
    <tableColumn id="5" xr3:uid="{634135E6-E866-401F-8A9D-EF264AFDB5DE}" name="Total Comprado" dataDxfId="43">
      <calculatedColumnFormula>IF(FORNECEDORES[[#This Row],[Empresa]]&lt;&gt;"",SUMIF(ENTRADAS[Fornecedor],FORNECEDORES[[#This Row],[Empresa]],ENTRADAS[Valor de Compra Total]),"")</calculatedColumnFormula>
    </tableColumn>
  </tableColumns>
  <tableStyleInfo name="TableStyleMedium4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F772EC-AC16-4B0F-B18B-E18B537B39E0}" name="LOJAS" displayName="LOJAS" ref="B6:F11" totalsRowShown="0" headerRowDxfId="42" dataDxfId="41">
  <autoFilter ref="B6:F11" xr:uid="{BACC7ADF-BD96-4F7F-A27F-D3E6CA09C350}"/>
  <tableColumns count="5">
    <tableColumn id="1" xr3:uid="{269009C6-6B25-4A6D-9091-F5967E0811E0}" name="Loja" dataDxfId="40"/>
    <tableColumn id="2" xr3:uid="{7A8348EB-8898-47E7-9940-9C1B511193C6}" name="Telefone" dataDxfId="39"/>
    <tableColumn id="3" xr3:uid="{9421F248-731A-4E60-9132-42397990DC72}" name="E-mail" dataDxfId="38">
      <calculatedColumnFormula>LOJAS[[#This Row],[Loja]]&amp;"@gmail.com"</calculatedColumnFormula>
    </tableColumn>
    <tableColumn id="4" xr3:uid="{3B778293-E185-4290-A80A-E49512DB5D05}" name="Endereço" dataDxfId="37"/>
    <tableColumn id="5" xr3:uid="{2DE03778-7308-44D9-9078-E481F76BD52F}" name="Total Vendido" dataDxfId="36">
      <calculatedColumnFormula>IF(LOJAS[[#This Row],[Loja]]&lt;&gt;"",SUMIF(SAÍDAS[Loja],LOJAS[[#This Row],[Loja]],SAÍDAS[Valor de Venda Total]),"")</calculatedColumnFormula>
    </tableColumn>
  </tableColumns>
  <tableStyleInfo name="TableStyleMedium4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6A43C1-6DE5-4338-B024-A4D35DFD55E5}" name="ENTRADAS" displayName="ENTRADAS" ref="B6:G57" totalsRowShown="0" headerRowDxfId="35" dataDxfId="34">
  <autoFilter ref="B6:G57" xr:uid="{BACC7ADF-BD96-4F7F-A27F-D3E6CA09C350}"/>
  <tableColumns count="6">
    <tableColumn id="1" xr3:uid="{34F78F4F-4A94-41BE-A6D5-8E81C4620A41}" name="Data da Compra" dataDxfId="33"/>
    <tableColumn id="2" xr3:uid="{40E69D76-107D-4937-A9BA-6CB022C50972}" name="Produto" dataDxfId="32"/>
    <tableColumn id="3" xr3:uid="{C5BB8B43-34AC-4F60-B72B-2891AFC72418}" name="Fornecedor" dataDxfId="31"/>
    <tableColumn id="4" xr3:uid="{968501C6-F1FD-491E-9CA8-901225F6B42C}" name="Quantidade" dataDxfId="30"/>
    <tableColumn id="5" xr3:uid="{E2C65151-F2B4-402A-AC1C-A9E23A697514}" name="Custo Unitário" dataDxfId="29" dataCellStyle="Moeda">
      <calculatedColumnFormula>VLOOKUP(ENTRADAS[[#This Row],[Produto]],PRODUTO[],5,0)</calculatedColumnFormula>
    </tableColumn>
    <tableColumn id="6" xr3:uid="{448E77CA-AAA1-4272-8FA0-8DDB0486F172}" name="Valor de Compra Total" dataDxfId="28" dataCellStyle="Moeda">
      <calculatedColumnFormula>F7*E7</calculatedColumnFormula>
    </tableColumn>
  </tableColumns>
  <tableStyleInfo name="TableStyleMedium4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27626F9-288A-4E64-971C-AFC999E1C771}" name="SAÍDAS" displayName="SAÍDAS" ref="B6:K76" totalsRowShown="0" headerRowDxfId="27" dataDxfId="26">
  <autoFilter ref="B6:K76" xr:uid="{BACC7ADF-BD96-4F7F-A27F-D3E6CA09C350}"/>
  <tableColumns count="10">
    <tableColumn id="1" xr3:uid="{088CF49C-8CE9-4A50-8A80-65BCD3D51A46}" name="Data da Venda" dataDxfId="25"/>
    <tableColumn id="2" xr3:uid="{3EBD933B-1275-4B20-81EA-3C43F365EAEB}" name="Produto" dataDxfId="24"/>
    <tableColumn id="3" xr3:uid="{8730D491-118E-4FBB-8185-CA45BDBC6583}" name="Loja" dataDxfId="23"/>
    <tableColumn id="4" xr3:uid="{80AAD882-0978-4841-8C86-46617A2FBB3D}" name="Quantidade" dataDxfId="22"/>
    <tableColumn id="5" xr3:uid="{AB4C7EBD-E0FE-485F-AD3B-1928F818D94E}" name="Quantidade Devolvida" dataDxfId="21" dataCellStyle="Moeda"/>
    <tableColumn id="12" xr3:uid="{E141C4B2-B537-4D52-9A03-798C47D0941B}" name="Data da Devolução" dataDxfId="20" dataCellStyle="Moeda"/>
    <tableColumn id="9" xr3:uid="{BD84093E-F3DF-49A6-B27D-DDA2F5E07761}" name="Quantidade Vendida" dataDxfId="19" dataCellStyle="Moeda">
      <calculatedColumnFormula>SAÍDAS[[#This Row],[Quantidade]]-SAÍDAS[[#This Row],[Quantidade Devolvida]]</calculatedColumnFormula>
    </tableColumn>
    <tableColumn id="6" xr3:uid="{2667286F-012F-4798-A289-9AAF169DD042}" name="Estoque Acumulado" dataDxfId="18">
      <calculatedColumnFormula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calculatedColumnFormula>
    </tableColumn>
    <tableColumn id="14" xr3:uid="{D43872CA-C96E-43E6-99BB-B2AD0A503DAC}" name="Preço Unitário" dataDxfId="17">
      <calculatedColumnFormula>VLOOKUP(SAÍDAS[[#This Row],[Produto]],PRODUTO[],6,0)</calculatedColumnFormula>
    </tableColumn>
    <tableColumn id="8" xr3:uid="{23B484B1-EC18-4C41-8878-05565F623D3C}" name="Valor de Venda Total" dataDxfId="16">
      <calculatedColumnFormula>SAÍDAS[[#This Row],[Quantidade Vendida]]*SAÍDAS[[#This Row],[Preço Unitário]]</calculatedColumnFormula>
    </tableColumn>
  </tableColumns>
  <tableStyleInfo name="TableStyleMedium4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59756BD-DD4F-4374-8CBE-E3B551D971CD}" name="CONTROLE" displayName="CONTROLE" ref="B6:J16" totalsRowShown="0" headerRowDxfId="10" dataDxfId="9">
  <autoFilter ref="B6:J16" xr:uid="{BACC7ADF-BD96-4F7F-A27F-D3E6CA09C350}"/>
  <tableColumns count="9">
    <tableColumn id="1" xr3:uid="{C3E82443-9E08-4251-92A8-4F6453B9067C}" name="Produto" dataDxfId="8"/>
    <tableColumn id="3" xr3:uid="{47A6E1CE-FEC4-4309-87DD-1406C97CE308}" name="Entradas" dataDxfId="7">
      <calculatedColumnFormula>IF(CONTROLE[[#This Row],[Produto]]&lt;&gt;"",SUMIF(ENTRADAS[Produto],CONTROLE[[#This Row],[Produto]],ENTRADAS[Quantidade]),"")</calculatedColumnFormula>
    </tableColumn>
    <tableColumn id="4" xr3:uid="{708901F8-7660-447D-AF45-B402AC14E2DF}" name="Saídas" dataDxfId="6">
      <calculatedColumnFormula>IF(CONTROLE[[#This Row],[Produto]]&lt;&gt;"",SUMIF(SAÍDAS[Produto],CONTROLE[[#This Row],[Produto]],SAÍDAS[Quantidade Vendida]),"")</calculatedColumnFormula>
    </tableColumn>
    <tableColumn id="5" xr3:uid="{E98C49E1-F349-43A5-8503-94278889E353}" name="Saldo" dataDxfId="5" dataCellStyle="Moeda">
      <calculatedColumnFormula>IFERROR(CONTROLE[[#This Row],[Entradas]]-CONTROLE[[#This Row],[Saídas]],"")</calculatedColumnFormula>
    </tableColumn>
    <tableColumn id="6" xr3:uid="{2EEB542C-81CC-4843-8887-0490117ED197}" name="Estoque Mínimo" dataDxfId="4" dataCellStyle="Moeda">
      <calculatedColumnFormula>IFERROR(VLOOKUP(CONTROLE[[#This Row],[Produto]],PRODUTO[#All],4,0),"")</calculatedColumnFormula>
    </tableColumn>
    <tableColumn id="7" xr3:uid="{22294372-C027-484A-A65E-CBDAAF2D0704}" name="Status" dataDxfId="3">
      <calculatedColumnFormula>IF(CONTROLE[[#This Row],[Produto]]&lt;&gt;"",IF(CONTROLE[[#This Row],[Saldo]]=0,"Sem Estoque",IF(CONTROLE[[#This Row],[Saldo]]&lt;CONTROLE[[#This Row],[Estoque Mínimo]],"Estoque Perigoso","Estoque Confortável")),"")</calculatedColumnFormula>
    </tableColumn>
    <tableColumn id="8" xr3:uid="{97394CE9-3EA8-4206-9057-6735B9D590E1}" name="Receita Total" dataDxfId="2">
      <calculatedColumnFormula>SUMIF(SAÍDAS[Produto],CONTROLE[[#This Row],[Produto]],SAÍDAS[Valor de Venda Total])</calculatedColumnFormula>
    </tableColumn>
    <tableColumn id="9" xr3:uid="{6C66FB39-975C-4B1A-A276-D322D6B3E653}" name="Custo Total" dataDxfId="1">
      <calculatedColumnFormula>SUMIF(ENTRADAS[Produto],CONTROLE[[#This Row],[Produto]],ENTRADAS[Valor de Compra Total])</calculatedColumnFormula>
    </tableColumn>
    <tableColumn id="10" xr3:uid="{97CF357F-2BF6-431C-B80B-A3041AAD3433}" name="Lucro/Prejuízo Total" dataDxfId="0">
      <calculatedColumnFormula>CONTROLE[[#This Row],[Receita Total]]-CONTROLE[[#This Row],[Custo Total]]</calculatedColumnFormula>
    </tableColumn>
  </tableColumns>
  <tableStyleInfo name="TableStyleMedium4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mailto:fornecedor3@gmail.com" TargetMode="External"/><Relationship Id="rId7" Type="http://schemas.openxmlformats.org/officeDocument/2006/relationships/drawing" Target="../drawings/drawing4.xml"/><Relationship Id="rId2" Type="http://schemas.openxmlformats.org/officeDocument/2006/relationships/hyperlink" Target="mailto:fornecedor2@gmail.com" TargetMode="External"/><Relationship Id="rId1" Type="http://schemas.openxmlformats.org/officeDocument/2006/relationships/hyperlink" Target="mailto:fornecedor1@gmail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fornecedor5@gmail.com" TargetMode="External"/><Relationship Id="rId4" Type="http://schemas.openxmlformats.org/officeDocument/2006/relationships/hyperlink" Target="mailto:fornecedor4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mailto:loja3@gmail.com" TargetMode="External"/><Relationship Id="rId7" Type="http://schemas.openxmlformats.org/officeDocument/2006/relationships/drawing" Target="../drawings/drawing5.xml"/><Relationship Id="rId2" Type="http://schemas.openxmlformats.org/officeDocument/2006/relationships/hyperlink" Target="mailto:loja2@gmail.com" TargetMode="External"/><Relationship Id="rId1" Type="http://schemas.openxmlformats.org/officeDocument/2006/relationships/hyperlink" Target="mailto:loja1@gmail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loja5@gmail.com" TargetMode="External"/><Relationship Id="rId4" Type="http://schemas.openxmlformats.org/officeDocument/2006/relationships/hyperlink" Target="mailto:loja4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D9EE5-DE69-482E-8CEC-FA3CB154AF44}">
  <sheetPr codeName="Planilha2"/>
  <dimension ref="A1:Q23"/>
  <sheetViews>
    <sheetView showGridLines="0" workbookViewId="0">
      <selection sqref="A1:Q23"/>
    </sheetView>
  </sheetViews>
  <sheetFormatPr defaultColWidth="0" defaultRowHeight="14.4" zeroHeight="1" x14ac:dyDescent="0.3"/>
  <cols>
    <col min="1" max="17" width="9.109375" style="31" customWidth="1"/>
    <col min="18" max="16384" width="9.109375" style="31" hidden="1"/>
  </cols>
  <sheetData>
    <row r="1" spans="1:17" x14ac:dyDescent="0.3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</row>
    <row r="2" spans="1:17" x14ac:dyDescent="0.3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</row>
    <row r="3" spans="1:17" x14ac:dyDescent="0.3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</row>
    <row r="4" spans="1:17" x14ac:dyDescent="0.3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</row>
    <row r="5" spans="1:17" x14ac:dyDescent="0.3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</row>
    <row r="6" spans="1:17" x14ac:dyDescent="0.3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</row>
    <row r="7" spans="1:17" x14ac:dyDescent="0.3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</row>
    <row r="8" spans="1:17" x14ac:dyDescent="0.3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</row>
    <row r="9" spans="1:17" x14ac:dyDescent="0.3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</row>
    <row r="10" spans="1:17" x14ac:dyDescent="0.3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</row>
    <row r="11" spans="1:17" x14ac:dyDescent="0.3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</row>
    <row r="12" spans="1:17" x14ac:dyDescent="0.3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</row>
    <row r="13" spans="1:17" x14ac:dyDescent="0.3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</row>
    <row r="14" spans="1:17" x14ac:dyDescent="0.3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</row>
    <row r="15" spans="1:17" x14ac:dyDescent="0.3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</row>
    <row r="16" spans="1:17" x14ac:dyDescent="0.3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</row>
    <row r="17" spans="1:17" x14ac:dyDescent="0.3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</row>
    <row r="18" spans="1:17" x14ac:dyDescent="0.3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</row>
    <row r="19" spans="1:17" x14ac:dyDescent="0.3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</row>
    <row r="20" spans="1:17" x14ac:dyDescent="0.3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</row>
    <row r="21" spans="1:17" x14ac:dyDescent="0.3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</row>
    <row r="22" spans="1:17" x14ac:dyDescent="0.3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</row>
    <row r="23" spans="1:17" x14ac:dyDescent="0.3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6731-962F-4DE6-B408-47FC44006783}">
  <dimension ref="B1:C9"/>
  <sheetViews>
    <sheetView showGridLines="0" workbookViewId="0">
      <selection activeCell="G9" sqref="G9"/>
    </sheetView>
  </sheetViews>
  <sheetFormatPr defaultRowHeight="14.4" x14ac:dyDescent="0.3"/>
  <cols>
    <col min="1" max="1" width="2.88671875" customWidth="1"/>
    <col min="2" max="2" width="17.6640625" customWidth="1"/>
    <col min="3" max="3" width="25.44140625" customWidth="1"/>
    <col min="4" max="6" width="18.33203125" customWidth="1"/>
    <col min="7" max="7" width="21.44140625" customWidth="1"/>
    <col min="8" max="8" width="22" customWidth="1"/>
    <col min="9" max="11" width="14.44140625" customWidth="1"/>
  </cols>
  <sheetData>
    <row r="1" spans="2:3" s="52" customFormat="1" ht="39.75" customHeight="1" x14ac:dyDescent="0.3">
      <c r="C1" s="53" t="s">
        <v>100</v>
      </c>
    </row>
    <row r="2" spans="2:3" s="54" customFormat="1" ht="3.75" customHeight="1" x14ac:dyDescent="0.3"/>
    <row r="7" spans="2:3" x14ac:dyDescent="0.3">
      <c r="B7" s="38" t="s">
        <v>35</v>
      </c>
      <c r="C7" s="37" t="s">
        <v>4</v>
      </c>
    </row>
    <row r="8" spans="2:3" ht="8.25" customHeight="1" x14ac:dyDescent="0.3"/>
    <row r="9" spans="2:3" x14ac:dyDescent="0.3">
      <c r="B9" s="38" t="s">
        <v>96</v>
      </c>
      <c r="C9" s="37">
        <v>2020</v>
      </c>
    </row>
  </sheetData>
  <dataValidations count="2">
    <dataValidation type="list" allowBlank="1" showInputMessage="1" showErrorMessage="1" sqref="C7" xr:uid="{17E8C80A-D34F-4F95-8BD4-7FA10678982A}">
      <formula1>LISTA_PRODUTOS</formula1>
    </dataValidation>
    <dataValidation type="custom" allowBlank="1" showInputMessage="1" showErrorMessage="1" errorTitle="ANO INVÁLIDO" error="O ano selecionado não possui dados para análise nas tabelas de ENTRADAS e SAÍDAS de Estoque." sqref="C9" xr:uid="{544D516B-ADCC-4CAA-AB72-2AF18511CC4B}">
      <formula1>AND($C$9&gt;=YEAR(MIN(INDIRECT("ENTRADAS[Data da Compra]"),INDIRECT("SAÍDAS[Data da Venda]"))),$C$9&lt;=YEAR(MAX(INDIRECT("ENTRADAS[Data da Compra]"),INDIRECT("SAÍDAS[Data da Venda]"))))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4F1BC-AD67-48E0-84E3-F0B04EF85544}">
  <dimension ref="B1:C9"/>
  <sheetViews>
    <sheetView showGridLines="0" workbookViewId="0">
      <selection activeCell="G6" sqref="G6"/>
    </sheetView>
  </sheetViews>
  <sheetFormatPr defaultRowHeight="14.4" x14ac:dyDescent="0.3"/>
  <cols>
    <col min="1" max="1" width="2.88671875" customWidth="1"/>
    <col min="2" max="2" width="17.6640625" customWidth="1"/>
    <col min="3" max="3" width="25.44140625" customWidth="1"/>
    <col min="4" max="4" width="18.33203125" customWidth="1"/>
    <col min="5" max="6" width="14.109375" customWidth="1"/>
    <col min="7" max="7" width="21.44140625" customWidth="1"/>
    <col min="8" max="8" width="22" customWidth="1"/>
    <col min="9" max="11" width="14.44140625" customWidth="1"/>
  </cols>
  <sheetData>
    <row r="1" spans="2:3" s="52" customFormat="1" ht="39.75" customHeight="1" x14ac:dyDescent="0.3">
      <c r="C1" s="53" t="s">
        <v>100</v>
      </c>
    </row>
    <row r="2" spans="2:3" s="54" customFormat="1" ht="3.75" customHeight="1" x14ac:dyDescent="0.3"/>
    <row r="7" spans="2:3" x14ac:dyDescent="0.3">
      <c r="B7" s="38" t="s">
        <v>35</v>
      </c>
      <c r="C7" s="37" t="s">
        <v>7</v>
      </c>
    </row>
    <row r="8" spans="2:3" ht="8.25" customHeight="1" x14ac:dyDescent="0.3"/>
    <row r="9" spans="2:3" x14ac:dyDescent="0.3">
      <c r="B9" s="38" t="s">
        <v>96</v>
      </c>
      <c r="C9" s="37">
        <v>2020</v>
      </c>
    </row>
  </sheetData>
  <dataValidations count="2">
    <dataValidation type="list" allowBlank="1" showInputMessage="1" showErrorMessage="1" sqref="C7" xr:uid="{BD8522FF-7262-43D3-BBE0-E01E7A72B97D}">
      <formula1>LISTA_PRODUTOS</formula1>
    </dataValidation>
    <dataValidation type="custom" allowBlank="1" showInputMessage="1" showErrorMessage="1" errorTitle="ANO INVÁLIDO" error="O ano selecionado não possui dados para análise nas tabelas de ENTRADAS e SAÍDAS de Estoque." sqref="C9" xr:uid="{C2E065AE-4CB8-4F88-B1D3-4578095353F5}">
      <formula1>AND($C$9&gt;=YEAR(MIN(INDIRECT("ENTRADAS[Data da Compra]"),INDIRECT("SAÍDAS[Data da Venda]"))),$C$9&lt;=YEAR(MAX(INDIRECT("ENTRADAS[Data da Compra]"),INDIRECT("SAÍDAS[Data da Venda]"))))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BF17A-C2C4-41DE-844B-8DED3AFEE409}">
  <dimension ref="A2:J66"/>
  <sheetViews>
    <sheetView tabSelected="1" workbookViewId="0">
      <pane ySplit="4" topLeftCell="A5" activePane="bottomLeft" state="frozen"/>
      <selection pane="bottomLeft" activeCell="E21" sqref="E21"/>
    </sheetView>
  </sheetViews>
  <sheetFormatPr defaultRowHeight="14.4" x14ac:dyDescent="0.3"/>
  <cols>
    <col min="2" max="2" width="24.5546875" bestFit="1" customWidth="1"/>
    <col min="3" max="4" width="12.109375" bestFit="1" customWidth="1"/>
  </cols>
  <sheetData>
    <row r="2" spans="1:10" x14ac:dyDescent="0.3">
      <c r="B2" t="s">
        <v>35</v>
      </c>
      <c r="C2" t="str">
        <f>'DASH RESULTADOS'!C7</f>
        <v>Fandangos</v>
      </c>
    </row>
    <row r="4" spans="1:10" x14ac:dyDescent="0.3">
      <c r="B4" t="s">
        <v>98</v>
      </c>
      <c r="E4" t="s">
        <v>96</v>
      </c>
      <c r="F4">
        <f>'DASH RESULTADOS'!C9</f>
        <v>2020</v>
      </c>
      <c r="I4" t="str">
        <f>"Resultado de Compras X Vendas para o ano de " &amp; F4 &amp; CHAR(10) &amp; "Quantidades"</f>
        <v>Resultado de Compras X Vendas para o ano de 2020
Quantidades</v>
      </c>
    </row>
    <row r="6" spans="1:10" x14ac:dyDescent="0.3">
      <c r="B6" t="s">
        <v>95</v>
      </c>
      <c r="C6" t="s">
        <v>101</v>
      </c>
      <c r="D6" t="s">
        <v>102</v>
      </c>
    </row>
    <row r="7" spans="1:10" x14ac:dyDescent="0.3">
      <c r="A7">
        <v>1</v>
      </c>
      <c r="B7" s="32">
        <f>DATE($F$4,A7,1)</f>
        <v>43831</v>
      </c>
      <c r="C7">
        <f>SUMIFS(ENTRADAS[Quantidade],ENTRADAS[Data da Compra],"&gt;=" &amp; B7,ENTRADAS[Data da Compra],"&lt;" &amp; EDATE($B$7,A7),ENTRADAS[Produto],$C$2)</f>
        <v>151</v>
      </c>
      <c r="D7">
        <f>SUMIFS(SAÍDAS[Quantidade Vendida],SAÍDAS[Data da Venda],"&gt;=" &amp; B7,SAÍDAS[Data da Venda],"&lt;" &amp; EDATE($B$7,A7),SAÍDAS[Produto],$C$2)</f>
        <v>92</v>
      </c>
      <c r="G7" s="32"/>
      <c r="J7" s="32"/>
    </row>
    <row r="8" spans="1:10" x14ac:dyDescent="0.3">
      <c r="A8">
        <v>2</v>
      </c>
      <c r="B8" s="32">
        <f t="shared" ref="B8:B18" si="0">DATE($F$4,A8,1)</f>
        <v>43862</v>
      </c>
      <c r="C8">
        <f>SUMIFS(ENTRADAS[Quantidade],ENTRADAS[Data da Compra],"&gt;=" &amp; B8,ENTRADAS[Data da Compra],"&lt;" &amp; EDATE($B$7,A8),ENTRADAS[Produto],$C$2)</f>
        <v>20</v>
      </c>
      <c r="D8">
        <f>SUMIFS(SAÍDAS[Quantidade Vendida],SAÍDAS[Data da Venda],"&gt;=" &amp; B8,SAÍDAS[Data da Venda],"&lt;" &amp; EDATE($B$7,A8),SAÍDAS[Produto],$C$2)</f>
        <v>10</v>
      </c>
    </row>
    <row r="9" spans="1:10" x14ac:dyDescent="0.3">
      <c r="A9">
        <v>3</v>
      </c>
      <c r="B9" s="32">
        <f t="shared" si="0"/>
        <v>43891</v>
      </c>
      <c r="C9">
        <f>SUMIFS(ENTRADAS[Quantidade],ENTRADAS[Data da Compra],"&gt;=" &amp; B9,ENTRADAS[Data da Compra],"&lt;" &amp; EDATE($B$7,A9),ENTRADAS[Produto],$C$2)</f>
        <v>11</v>
      </c>
      <c r="D9">
        <f>SUMIFS(SAÍDAS[Quantidade Vendida],SAÍDAS[Data da Venda],"&gt;=" &amp; B9,SAÍDAS[Data da Venda],"&lt;" &amp; EDATE($B$7,A9),SAÍDAS[Produto],$C$2)</f>
        <v>10</v>
      </c>
    </row>
    <row r="10" spans="1:10" x14ac:dyDescent="0.3">
      <c r="A10">
        <v>4</v>
      </c>
      <c r="B10" s="32">
        <f t="shared" si="0"/>
        <v>43922</v>
      </c>
      <c r="C10">
        <f>SUMIFS(ENTRADAS[Quantidade],ENTRADAS[Data da Compra],"&gt;=" &amp; B10,ENTRADAS[Data da Compra],"&lt;" &amp; EDATE($B$7,A10),ENTRADAS[Produto],$C$2)</f>
        <v>0</v>
      </c>
      <c r="D10">
        <f>SUMIFS(SAÍDAS[Quantidade Vendida],SAÍDAS[Data da Venda],"&gt;=" &amp; B10,SAÍDAS[Data da Venda],"&lt;" &amp; EDATE($B$7,A10),SAÍDAS[Produto],$C$2)</f>
        <v>0</v>
      </c>
    </row>
    <row r="11" spans="1:10" x14ac:dyDescent="0.3">
      <c r="A11">
        <v>5</v>
      </c>
      <c r="B11" s="32">
        <f t="shared" si="0"/>
        <v>43952</v>
      </c>
      <c r="C11">
        <f>SUMIFS(ENTRADAS[Quantidade],ENTRADAS[Data da Compra],"&gt;=" &amp; B11,ENTRADAS[Data da Compra],"&lt;" &amp; EDATE($B$7,A11),ENTRADAS[Produto],$C$2)</f>
        <v>0</v>
      </c>
      <c r="D11">
        <f>SUMIFS(SAÍDAS[Quantidade Vendida],SAÍDAS[Data da Venda],"&gt;=" &amp; B11,SAÍDAS[Data da Venda],"&lt;" &amp; EDATE($B$7,A11),SAÍDAS[Produto],$C$2)</f>
        <v>0</v>
      </c>
    </row>
    <row r="12" spans="1:10" x14ac:dyDescent="0.3">
      <c r="A12">
        <v>6</v>
      </c>
      <c r="B12" s="32">
        <f t="shared" si="0"/>
        <v>43983</v>
      </c>
      <c r="C12">
        <f>SUMIFS(ENTRADAS[Quantidade],ENTRADAS[Data da Compra],"&gt;=" &amp; B12,ENTRADAS[Data da Compra],"&lt;" &amp; EDATE($B$7,A12),ENTRADAS[Produto],$C$2)</f>
        <v>0</v>
      </c>
      <c r="D12">
        <f>SUMIFS(SAÍDAS[Quantidade Vendida],SAÍDAS[Data da Venda],"&gt;=" &amp; B12,SAÍDAS[Data da Venda],"&lt;" &amp; EDATE($B$7,A12),SAÍDAS[Produto],$C$2)</f>
        <v>0</v>
      </c>
    </row>
    <row r="13" spans="1:10" x14ac:dyDescent="0.3">
      <c r="A13">
        <v>7</v>
      </c>
      <c r="B13" s="32">
        <f t="shared" si="0"/>
        <v>44013</v>
      </c>
      <c r="C13">
        <f>SUMIFS(ENTRADAS[Quantidade],ENTRADAS[Data da Compra],"&gt;=" &amp; B13,ENTRADAS[Data da Compra],"&lt;" &amp; EDATE($B$7,A13),ENTRADAS[Produto],$C$2)</f>
        <v>0</v>
      </c>
      <c r="D13">
        <f>SUMIFS(SAÍDAS[Quantidade Vendida],SAÍDAS[Data da Venda],"&gt;=" &amp; B13,SAÍDAS[Data da Venda],"&lt;" &amp; EDATE($B$7,A13),SAÍDAS[Produto],$C$2)</f>
        <v>0</v>
      </c>
    </row>
    <row r="14" spans="1:10" x14ac:dyDescent="0.3">
      <c r="A14">
        <v>8</v>
      </c>
      <c r="B14" s="32">
        <f t="shared" si="0"/>
        <v>44044</v>
      </c>
      <c r="C14">
        <f>SUMIFS(ENTRADAS[Quantidade],ENTRADAS[Data da Compra],"&gt;=" &amp; B14,ENTRADAS[Data da Compra],"&lt;" &amp; EDATE($B$7,A14),ENTRADAS[Produto],$C$2)</f>
        <v>0</v>
      </c>
      <c r="D14">
        <f>SUMIFS(SAÍDAS[Quantidade Vendida],SAÍDAS[Data da Venda],"&gt;=" &amp; B14,SAÍDAS[Data da Venda],"&lt;" &amp; EDATE($B$7,A14),SAÍDAS[Produto],$C$2)</f>
        <v>0</v>
      </c>
    </row>
    <row r="15" spans="1:10" x14ac:dyDescent="0.3">
      <c r="A15">
        <v>9</v>
      </c>
      <c r="B15" s="32">
        <f t="shared" si="0"/>
        <v>44075</v>
      </c>
      <c r="C15">
        <f>SUMIFS(ENTRADAS[Quantidade],ENTRADAS[Data da Compra],"&gt;=" &amp; B15,ENTRADAS[Data da Compra],"&lt;" &amp; EDATE($B$7,A15),ENTRADAS[Produto],$C$2)</f>
        <v>0</v>
      </c>
      <c r="D15">
        <f>SUMIFS(SAÍDAS[Quantidade Vendida],SAÍDAS[Data da Venda],"&gt;=" &amp; B15,SAÍDAS[Data da Venda],"&lt;" &amp; EDATE($B$7,A15),SAÍDAS[Produto],$C$2)</f>
        <v>0</v>
      </c>
    </row>
    <row r="16" spans="1:10" x14ac:dyDescent="0.3">
      <c r="A16">
        <v>10</v>
      </c>
      <c r="B16" s="32">
        <f t="shared" si="0"/>
        <v>44105</v>
      </c>
      <c r="C16">
        <f>SUMIFS(ENTRADAS[Quantidade],ENTRADAS[Data da Compra],"&gt;=" &amp; B16,ENTRADAS[Data da Compra],"&lt;" &amp; EDATE($B$7,A16),ENTRADAS[Produto],$C$2)</f>
        <v>0</v>
      </c>
      <c r="D16">
        <f>SUMIFS(SAÍDAS[Quantidade Vendida],SAÍDAS[Data da Venda],"&gt;=" &amp; B16,SAÍDAS[Data da Venda],"&lt;" &amp; EDATE($B$7,A16),SAÍDAS[Produto],$C$2)</f>
        <v>0</v>
      </c>
    </row>
    <row r="17" spans="1:9" x14ac:dyDescent="0.3">
      <c r="A17">
        <v>11</v>
      </c>
      <c r="B17" s="32">
        <f t="shared" si="0"/>
        <v>44136</v>
      </c>
      <c r="C17">
        <f>SUMIFS(ENTRADAS[Quantidade],ENTRADAS[Data da Compra],"&gt;=" &amp; B17,ENTRADAS[Data da Compra],"&lt;" &amp; EDATE($B$7,A17),ENTRADAS[Produto],$C$2)</f>
        <v>0</v>
      </c>
      <c r="D17">
        <f>SUMIFS(SAÍDAS[Quantidade Vendida],SAÍDAS[Data da Venda],"&gt;=" &amp; B17,SAÍDAS[Data da Venda],"&lt;" &amp; EDATE($B$7,A17),SAÍDAS[Produto],$C$2)</f>
        <v>0</v>
      </c>
    </row>
    <row r="18" spans="1:9" x14ac:dyDescent="0.3">
      <c r="A18">
        <v>12</v>
      </c>
      <c r="B18" s="32">
        <f t="shared" si="0"/>
        <v>44166</v>
      </c>
      <c r="C18">
        <f>SUMIFS(ENTRADAS[Quantidade],ENTRADAS[Data da Compra],"&gt;=" &amp; B18,ENTRADAS[Data da Compra],"&lt;" &amp; EDATE($B$7,A18),ENTRADAS[Produto],$C$2)</f>
        <v>0</v>
      </c>
      <c r="D18">
        <f>SUMIFS(SAÍDAS[Quantidade Vendida],SAÍDAS[Data da Venda],"&gt;=" &amp; B18,SAÍDAS[Data da Venda],"&lt;" &amp; EDATE($B$7,A18),SAÍDAS[Produto],$C$2)</f>
        <v>0</v>
      </c>
    </row>
    <row r="19" spans="1:9" x14ac:dyDescent="0.3">
      <c r="B19" s="32"/>
    </row>
    <row r="20" spans="1:9" x14ac:dyDescent="0.3">
      <c r="B20" s="32"/>
      <c r="I20" t="str">
        <f>"Resultado de Compras X Vendas para o ano de " &amp; F4 &amp; CHAR(10) &amp; "Valor em R$"</f>
        <v>Resultado de Compras X Vendas para o ano de 2020
Valor em R$</v>
      </c>
    </row>
    <row r="21" spans="1:9" x14ac:dyDescent="0.3">
      <c r="B21" s="32" t="s">
        <v>99</v>
      </c>
    </row>
    <row r="23" spans="1:9" x14ac:dyDescent="0.3">
      <c r="B23" t="s">
        <v>95</v>
      </c>
      <c r="C23" t="s">
        <v>101</v>
      </c>
      <c r="D23" t="s">
        <v>102</v>
      </c>
    </row>
    <row r="24" spans="1:9" x14ac:dyDescent="0.3">
      <c r="A24">
        <v>1</v>
      </c>
      <c r="B24" s="32">
        <f>DATE($F$4,A24,1)</f>
        <v>43831</v>
      </c>
      <c r="C24" s="36">
        <f>SUMIFS(ENTRADAS[Valor de Compra Total],ENTRADAS[Data da Compra],"&gt;=" &amp; B24,ENTRADAS[Data da Compra],"&lt;" &amp; EDATE($B$7,A24),ENTRADAS[Produto],$C$2)</f>
        <v>75.5</v>
      </c>
      <c r="D24" s="36">
        <f>SUMIFS(SAÍDAS[Valor de Venda Total],SAÍDAS[Data da Venda],"&gt;=" &amp; B24,SAÍDAS[Data da Venda],"&lt;" &amp; EDATE($B$7,A24),SAÍDAS[Produto],$C$2)</f>
        <v>193.2</v>
      </c>
    </row>
    <row r="25" spans="1:9" x14ac:dyDescent="0.3">
      <c r="A25">
        <v>2</v>
      </c>
      <c r="B25" s="32">
        <f t="shared" ref="B25:B35" si="1">DATE($F$4,A25,1)</f>
        <v>43862</v>
      </c>
      <c r="C25" s="36">
        <f>SUMIFS(ENTRADAS[Valor de Compra Total],ENTRADAS[Data da Compra],"&gt;=" &amp; B25,ENTRADAS[Data da Compra],"&lt;" &amp; EDATE($B$7,A25),ENTRADAS[Produto],$C$2)</f>
        <v>10</v>
      </c>
      <c r="D25" s="36">
        <f>SUMIFS(SAÍDAS[Valor de Venda Total],SAÍDAS[Data da Venda],"&gt;=" &amp; B25,SAÍDAS[Data da Venda],"&lt;" &amp; EDATE($B$7,A25),SAÍDAS[Produto],$C$2)</f>
        <v>21</v>
      </c>
    </row>
    <row r="26" spans="1:9" x14ac:dyDescent="0.3">
      <c r="A26">
        <v>3</v>
      </c>
      <c r="B26" s="32">
        <f t="shared" si="1"/>
        <v>43891</v>
      </c>
      <c r="C26" s="36">
        <f>SUMIFS(ENTRADAS[Valor de Compra Total],ENTRADAS[Data da Compra],"&gt;=" &amp; B26,ENTRADAS[Data da Compra],"&lt;" &amp; EDATE($B$7,A26),ENTRADAS[Produto],$C$2)</f>
        <v>5.5</v>
      </c>
      <c r="D26" s="36">
        <f>SUMIFS(SAÍDAS[Valor de Venda Total],SAÍDAS[Data da Venda],"&gt;=" &amp; B26,SAÍDAS[Data da Venda],"&lt;" &amp; EDATE($B$7,A26),SAÍDAS[Produto],$C$2)</f>
        <v>21</v>
      </c>
    </row>
    <row r="27" spans="1:9" x14ac:dyDescent="0.3">
      <c r="A27">
        <v>4</v>
      </c>
      <c r="B27" s="32">
        <f t="shared" si="1"/>
        <v>43922</v>
      </c>
      <c r="C27" s="36">
        <f>SUMIFS(ENTRADAS[Valor de Compra Total],ENTRADAS[Data da Compra],"&gt;=" &amp; B27,ENTRADAS[Data da Compra],"&lt;" &amp; EDATE($B$7,A27),ENTRADAS[Produto],$C$2)</f>
        <v>0</v>
      </c>
      <c r="D27" s="36">
        <f>SUMIFS(SAÍDAS[Valor de Venda Total],SAÍDAS[Data da Venda],"&gt;=" &amp; B27,SAÍDAS[Data da Venda],"&lt;" &amp; EDATE($B$7,A27),SAÍDAS[Produto],$C$2)</f>
        <v>0</v>
      </c>
    </row>
    <row r="28" spans="1:9" x14ac:dyDescent="0.3">
      <c r="A28">
        <v>5</v>
      </c>
      <c r="B28" s="32">
        <f t="shared" si="1"/>
        <v>43952</v>
      </c>
      <c r="C28" s="36">
        <f>SUMIFS(ENTRADAS[Valor de Compra Total],ENTRADAS[Data da Compra],"&gt;=" &amp; B28,ENTRADAS[Data da Compra],"&lt;" &amp; EDATE($B$7,A28),ENTRADAS[Produto],$C$2)</f>
        <v>0</v>
      </c>
      <c r="D28" s="36">
        <f>SUMIFS(SAÍDAS[Valor de Venda Total],SAÍDAS[Data da Venda],"&gt;=" &amp; B28,SAÍDAS[Data da Venda],"&lt;" &amp; EDATE($B$7,A28),SAÍDAS[Produto],$C$2)</f>
        <v>0</v>
      </c>
    </row>
    <row r="29" spans="1:9" x14ac:dyDescent="0.3">
      <c r="A29">
        <v>6</v>
      </c>
      <c r="B29" s="32">
        <f t="shared" si="1"/>
        <v>43983</v>
      </c>
      <c r="C29" s="36">
        <f>SUMIFS(ENTRADAS[Valor de Compra Total],ENTRADAS[Data da Compra],"&gt;=" &amp; B29,ENTRADAS[Data da Compra],"&lt;" &amp; EDATE($B$7,A29),ENTRADAS[Produto],$C$2)</f>
        <v>0</v>
      </c>
      <c r="D29" s="36">
        <f>SUMIFS(SAÍDAS[Valor de Venda Total],SAÍDAS[Data da Venda],"&gt;=" &amp; B29,SAÍDAS[Data da Venda],"&lt;" &amp; EDATE($B$7,A29),SAÍDAS[Produto],$C$2)</f>
        <v>0</v>
      </c>
    </row>
    <row r="30" spans="1:9" x14ac:dyDescent="0.3">
      <c r="A30">
        <v>7</v>
      </c>
      <c r="B30" s="32">
        <f t="shared" si="1"/>
        <v>44013</v>
      </c>
      <c r="C30" s="36">
        <f>SUMIFS(ENTRADAS[Valor de Compra Total],ENTRADAS[Data da Compra],"&gt;=" &amp; B30,ENTRADAS[Data da Compra],"&lt;" &amp; EDATE($B$7,A30),ENTRADAS[Produto],$C$2)</f>
        <v>0</v>
      </c>
      <c r="D30" s="36">
        <f>SUMIFS(SAÍDAS[Valor de Venda Total],SAÍDAS[Data da Venda],"&gt;=" &amp; B30,SAÍDAS[Data da Venda],"&lt;" &amp; EDATE($B$7,A30),SAÍDAS[Produto],$C$2)</f>
        <v>0</v>
      </c>
    </row>
    <row r="31" spans="1:9" x14ac:dyDescent="0.3">
      <c r="A31">
        <v>8</v>
      </c>
      <c r="B31" s="32">
        <f t="shared" si="1"/>
        <v>44044</v>
      </c>
      <c r="C31" s="36">
        <f>SUMIFS(ENTRADAS[Valor de Compra Total],ENTRADAS[Data da Compra],"&gt;=" &amp; B31,ENTRADAS[Data da Compra],"&lt;" &amp; EDATE($B$7,A31),ENTRADAS[Produto],$C$2)</f>
        <v>0</v>
      </c>
      <c r="D31" s="36">
        <f>SUMIFS(SAÍDAS[Valor de Venda Total],SAÍDAS[Data da Venda],"&gt;=" &amp; B31,SAÍDAS[Data da Venda],"&lt;" &amp; EDATE($B$7,A31),SAÍDAS[Produto],$C$2)</f>
        <v>0</v>
      </c>
    </row>
    <row r="32" spans="1:9" x14ac:dyDescent="0.3">
      <c r="A32">
        <v>9</v>
      </c>
      <c r="B32" s="32">
        <f t="shared" si="1"/>
        <v>44075</v>
      </c>
      <c r="C32" s="36">
        <f>SUMIFS(ENTRADAS[Valor de Compra Total],ENTRADAS[Data da Compra],"&gt;=" &amp; B32,ENTRADAS[Data da Compra],"&lt;" &amp; EDATE($B$7,A32),ENTRADAS[Produto],$C$2)</f>
        <v>0</v>
      </c>
      <c r="D32" s="36">
        <f>SUMIFS(SAÍDAS[Valor de Venda Total],SAÍDAS[Data da Venda],"&gt;=" &amp; B32,SAÍDAS[Data da Venda],"&lt;" &amp; EDATE($B$7,A32),SAÍDAS[Produto],$C$2)</f>
        <v>0</v>
      </c>
    </row>
    <row r="33" spans="1:9" x14ac:dyDescent="0.3">
      <c r="A33">
        <v>10</v>
      </c>
      <c r="B33" s="32">
        <f t="shared" si="1"/>
        <v>44105</v>
      </c>
      <c r="C33" s="36">
        <f>SUMIFS(ENTRADAS[Valor de Compra Total],ENTRADAS[Data da Compra],"&gt;=" &amp; B33,ENTRADAS[Data da Compra],"&lt;" &amp; EDATE($B$7,A33),ENTRADAS[Produto],$C$2)</f>
        <v>0</v>
      </c>
      <c r="D33" s="36">
        <f>SUMIFS(SAÍDAS[Valor de Venda Total],SAÍDAS[Data da Venda],"&gt;=" &amp; B33,SAÍDAS[Data da Venda],"&lt;" &amp; EDATE($B$7,A33),SAÍDAS[Produto],$C$2)</f>
        <v>0</v>
      </c>
    </row>
    <row r="34" spans="1:9" x14ac:dyDescent="0.3">
      <c r="A34">
        <v>11</v>
      </c>
      <c r="B34" s="32">
        <f t="shared" si="1"/>
        <v>44136</v>
      </c>
      <c r="C34" s="36">
        <f>SUMIFS(ENTRADAS[Valor de Compra Total],ENTRADAS[Data da Compra],"&gt;=" &amp; B34,ENTRADAS[Data da Compra],"&lt;" &amp; EDATE($B$7,A34),ENTRADAS[Produto],$C$2)</f>
        <v>0</v>
      </c>
      <c r="D34" s="36">
        <f>SUMIFS(SAÍDAS[Valor de Venda Total],SAÍDAS[Data da Venda],"&gt;=" &amp; B34,SAÍDAS[Data da Venda],"&lt;" &amp; EDATE($B$7,A34),SAÍDAS[Produto],$C$2)</f>
        <v>0</v>
      </c>
    </row>
    <row r="35" spans="1:9" x14ac:dyDescent="0.3">
      <c r="A35">
        <v>12</v>
      </c>
      <c r="B35" s="32">
        <f t="shared" si="1"/>
        <v>44166</v>
      </c>
      <c r="C35" s="36">
        <f>SUMIFS(ENTRADAS[Valor de Compra Total],ENTRADAS[Data da Compra],"&gt;=" &amp; B35,ENTRADAS[Data da Compra],"&lt;" &amp; EDATE($B$7,A35),ENTRADAS[Produto],$C$2)</f>
        <v>0</v>
      </c>
      <c r="D35" s="36">
        <f>SUMIFS(SAÍDAS[Valor de Venda Total],SAÍDAS[Data da Venda],"&gt;=" &amp; B35,SAÍDAS[Data da Venda],"&lt;" &amp; EDATE($B$7,A35),SAÍDAS[Produto],$C$2)</f>
        <v>0</v>
      </c>
    </row>
    <row r="38" spans="1:9" x14ac:dyDescent="0.3">
      <c r="B38" t="s">
        <v>35</v>
      </c>
      <c r="C38" t="str">
        <f>'DASH ESTOQUE'!C7</f>
        <v>Coca-Cola</v>
      </c>
    </row>
    <row r="40" spans="1:9" x14ac:dyDescent="0.3">
      <c r="B40" t="s">
        <v>103</v>
      </c>
      <c r="E40" t="s">
        <v>96</v>
      </c>
      <c r="F40">
        <f>'DASH ESTOQUE'!C9</f>
        <v>2020</v>
      </c>
      <c r="I40" t="str">
        <f>"Saldo em Estoque para os meses do ano de " &amp; F40</f>
        <v>Saldo em Estoque para os meses do ano de 2020</v>
      </c>
    </row>
    <row r="42" spans="1:9" x14ac:dyDescent="0.3">
      <c r="B42" t="s">
        <v>95</v>
      </c>
      <c r="C42" t="s">
        <v>54</v>
      </c>
      <c r="D42" t="s">
        <v>55</v>
      </c>
      <c r="E42" t="s">
        <v>29</v>
      </c>
    </row>
    <row r="43" spans="1:9" x14ac:dyDescent="0.3">
      <c r="A43">
        <v>1</v>
      </c>
      <c r="B43" s="32">
        <f t="shared" ref="B43:B54" si="2">DATE($F$40,A43,1)</f>
        <v>43831</v>
      </c>
      <c r="C43" s="39">
        <f>IF(AND(MONTH(B43)&lt;=MONTH(MAX(ENTRADAS[Data da Compra],SAÍDAS[Data da Venda])),YEAR(B43)=YEAR(MAX(ENTRADAS[Data da Compra],SAÍDAS[Data da Venda]))),SUMIFS(ENTRADAS[Quantidade],ENTRADAS[Data da Compra],"&lt;" &amp; EDATE($B$43,A43),ENTRADAS[Produto],$C$38),0)</f>
        <v>101</v>
      </c>
      <c r="D43" s="39">
        <f>IF(AND(MONTH(B43)&lt;=MONTH(MAX(ENTRADAS[Data da Compra],SAÍDAS[Data da Venda])),YEAR(B43)=YEAR(MAX(ENTRADAS[Data da Compra],SAÍDAS[Data da Venda]))),SUMIFS(SAÍDAS[Quantidade Vendida],SAÍDAS[Data da Venda],"&lt;" &amp; EDATE($B$43,A43),SAÍDAS[Produto],$C$38),0)</f>
        <v>84</v>
      </c>
      <c r="E43" s="40">
        <f t="shared" ref="E43:E54" si="3">IF(AND(C43=0,D43=0),-1E-30,C43-D43)</f>
        <v>17</v>
      </c>
    </row>
    <row r="44" spans="1:9" x14ac:dyDescent="0.3">
      <c r="A44">
        <v>2</v>
      </c>
      <c r="B44" s="32">
        <f t="shared" si="2"/>
        <v>43862</v>
      </c>
      <c r="C44" s="39">
        <f>IF(AND(MONTH(B44)&lt;=MONTH(MAX(ENTRADAS[Data da Compra],SAÍDAS[Data da Venda])),YEAR(B44)=YEAR(MAX(ENTRADAS[Data da Compra],SAÍDAS[Data da Venda]))),SUMIFS(ENTRADAS[Quantidade],ENTRADAS[Data da Compra],"&lt;" &amp; EDATE($B$43,A44),ENTRADAS[Produto],$C$38),0)</f>
        <v>141</v>
      </c>
      <c r="D44" s="39">
        <f>IF(AND(MONTH(B44)&lt;=MONTH(MAX(ENTRADAS[Data da Compra],SAÍDAS[Data da Venda])),YEAR(B44)=YEAR(MAX(ENTRADAS[Data da Compra],SAÍDAS[Data da Venda]))),SUMIFS(SAÍDAS[Quantidade Vendida],SAÍDAS[Data da Venda],"&lt;" &amp; EDATE($B$43,A44),SAÍDAS[Produto],$C$38),0)</f>
        <v>88</v>
      </c>
      <c r="E44" s="40">
        <f t="shared" si="3"/>
        <v>53</v>
      </c>
    </row>
    <row r="45" spans="1:9" x14ac:dyDescent="0.3">
      <c r="A45">
        <v>3</v>
      </c>
      <c r="B45" s="32">
        <f t="shared" si="2"/>
        <v>43891</v>
      </c>
      <c r="C45" s="39">
        <f>IF(AND(MONTH(B45)&lt;=MONTH(MAX(ENTRADAS[Data da Compra],SAÍDAS[Data da Venda])),YEAR(B45)=YEAR(MAX(ENTRADAS[Data da Compra],SAÍDAS[Data da Venda]))),SUMIFS(ENTRADAS[Quantidade],ENTRADAS[Data da Compra],"&lt;" &amp; EDATE($B$43,A45),ENTRADAS[Produto],$C$38),0)</f>
        <v>161</v>
      </c>
      <c r="D45" s="39">
        <f>IF(AND(MONTH(B45)&lt;=MONTH(MAX(ENTRADAS[Data da Compra],SAÍDAS[Data da Venda])),YEAR(B45)=YEAR(MAX(ENTRADAS[Data da Compra],SAÍDAS[Data da Venda]))),SUMIFS(SAÍDAS[Quantidade Vendida],SAÍDAS[Data da Venda],"&lt;" &amp; EDATE($B$43,A45),SAÍDAS[Produto],$C$38),0)</f>
        <v>138</v>
      </c>
      <c r="E45" s="40">
        <f t="shared" si="3"/>
        <v>23</v>
      </c>
    </row>
    <row r="46" spans="1:9" x14ac:dyDescent="0.3">
      <c r="A46">
        <v>4</v>
      </c>
      <c r="B46" s="32">
        <f t="shared" si="2"/>
        <v>43922</v>
      </c>
      <c r="C46" s="39">
        <f>IF(AND(MONTH(B46)&lt;=MONTH(MAX(ENTRADAS[Data da Compra],SAÍDAS[Data da Venda])),YEAR(B46)=YEAR(MAX(ENTRADAS[Data da Compra],SAÍDAS[Data da Venda]))),SUMIFS(ENTRADAS[Quantidade],ENTRADAS[Data da Compra],"&lt;" &amp; EDATE($B$43,A46),ENTRADAS[Produto],$C$38),0)</f>
        <v>0</v>
      </c>
      <c r="D46" s="39">
        <f>IF(AND(MONTH(B46)&lt;=MONTH(MAX(ENTRADAS[Data da Compra],SAÍDAS[Data da Venda])),YEAR(B46)=YEAR(MAX(ENTRADAS[Data da Compra],SAÍDAS[Data da Venda]))),SUMIFS(SAÍDAS[Quantidade Vendida],SAÍDAS[Data da Venda],"&lt;" &amp; EDATE($B$43,A46),SAÍDAS[Produto],$C$38),0)</f>
        <v>0</v>
      </c>
      <c r="E46" s="40">
        <f t="shared" si="3"/>
        <v>-1.0000000000000001E-30</v>
      </c>
    </row>
    <row r="47" spans="1:9" x14ac:dyDescent="0.3">
      <c r="A47">
        <v>5</v>
      </c>
      <c r="B47" s="32">
        <f t="shared" si="2"/>
        <v>43952</v>
      </c>
      <c r="C47" s="39">
        <f>IF(AND(MONTH(B47)&lt;=MONTH(MAX(ENTRADAS[Data da Compra],SAÍDAS[Data da Venda])),YEAR(B47)=YEAR(MAX(ENTRADAS[Data da Compra],SAÍDAS[Data da Venda]))),SUMIFS(ENTRADAS[Quantidade],ENTRADAS[Data da Compra],"&lt;" &amp; EDATE($B$43,A47),ENTRADAS[Produto],$C$38),0)</f>
        <v>0</v>
      </c>
      <c r="D47" s="39">
        <f>IF(AND(MONTH(B47)&lt;=MONTH(MAX(ENTRADAS[Data da Compra],SAÍDAS[Data da Venda])),YEAR(B47)=YEAR(MAX(ENTRADAS[Data da Compra],SAÍDAS[Data da Venda]))),SUMIFS(SAÍDAS[Quantidade Vendida],SAÍDAS[Data da Venda],"&lt;" &amp; EDATE($B$43,A47),SAÍDAS[Produto],$C$38),0)</f>
        <v>0</v>
      </c>
      <c r="E47" s="40">
        <f t="shared" si="3"/>
        <v>-1.0000000000000001E-30</v>
      </c>
    </row>
    <row r="48" spans="1:9" x14ac:dyDescent="0.3">
      <c r="A48">
        <v>6</v>
      </c>
      <c r="B48" s="32">
        <f t="shared" si="2"/>
        <v>43983</v>
      </c>
      <c r="C48" s="39">
        <f>IF(AND(MONTH(B48)&lt;=MONTH(MAX(ENTRADAS[Data da Compra],SAÍDAS[Data da Venda])),YEAR(B48)=YEAR(MAX(ENTRADAS[Data da Compra],SAÍDAS[Data da Venda]))),SUMIFS(ENTRADAS[Quantidade],ENTRADAS[Data da Compra],"&lt;" &amp; EDATE($B$43,A48),ENTRADAS[Produto],$C$38),0)</f>
        <v>0</v>
      </c>
      <c r="D48" s="39">
        <f>IF(AND(MONTH(B48)&lt;=MONTH(MAX(ENTRADAS[Data da Compra],SAÍDAS[Data da Venda])),YEAR(B48)=YEAR(MAX(ENTRADAS[Data da Compra],SAÍDAS[Data da Venda]))),SUMIFS(SAÍDAS[Quantidade Vendida],SAÍDAS[Data da Venda],"&lt;" &amp; EDATE($B$43,A48),SAÍDAS[Produto],$C$38),0)</f>
        <v>0</v>
      </c>
      <c r="E48" s="40">
        <f t="shared" si="3"/>
        <v>-1.0000000000000001E-30</v>
      </c>
    </row>
    <row r="49" spans="1:5" x14ac:dyDescent="0.3">
      <c r="A49">
        <v>7</v>
      </c>
      <c r="B49" s="32">
        <f t="shared" si="2"/>
        <v>44013</v>
      </c>
      <c r="C49" s="39">
        <f>IF(AND(MONTH(B49)&lt;=MONTH(MAX(ENTRADAS[Data da Compra],SAÍDAS[Data da Venda])),YEAR(B49)=YEAR(MAX(ENTRADAS[Data da Compra],SAÍDAS[Data da Venda]))),SUMIFS(ENTRADAS[Quantidade],ENTRADAS[Data da Compra],"&lt;" &amp; EDATE($B$43,A49),ENTRADAS[Produto],$C$38),0)</f>
        <v>0</v>
      </c>
      <c r="D49" s="39">
        <f>IF(AND(MONTH(B49)&lt;=MONTH(MAX(ENTRADAS[Data da Compra],SAÍDAS[Data da Venda])),YEAR(B49)=YEAR(MAX(ENTRADAS[Data da Compra],SAÍDAS[Data da Venda]))),SUMIFS(SAÍDAS[Quantidade Vendida],SAÍDAS[Data da Venda],"&lt;" &amp; EDATE($B$43,A49),SAÍDAS[Produto],$C$38),0)</f>
        <v>0</v>
      </c>
      <c r="E49" s="40">
        <f t="shared" si="3"/>
        <v>-1.0000000000000001E-30</v>
      </c>
    </row>
    <row r="50" spans="1:5" x14ac:dyDescent="0.3">
      <c r="A50">
        <v>8</v>
      </c>
      <c r="B50" s="32">
        <f t="shared" si="2"/>
        <v>44044</v>
      </c>
      <c r="C50" s="39">
        <f>IF(AND(MONTH(B50)&lt;=MONTH(MAX(ENTRADAS[Data da Compra],SAÍDAS[Data da Venda])),YEAR(B50)=YEAR(MAX(ENTRADAS[Data da Compra],SAÍDAS[Data da Venda]))),SUMIFS(ENTRADAS[Quantidade],ENTRADAS[Data da Compra],"&lt;" &amp; EDATE($B$43,A50),ENTRADAS[Produto],$C$38),0)</f>
        <v>0</v>
      </c>
      <c r="D50" s="39">
        <f>IF(AND(MONTH(B50)&lt;=MONTH(MAX(ENTRADAS[Data da Compra],SAÍDAS[Data da Venda])),YEAR(B50)=YEAR(MAX(ENTRADAS[Data da Compra],SAÍDAS[Data da Venda]))),SUMIFS(SAÍDAS[Quantidade Vendida],SAÍDAS[Data da Venda],"&lt;" &amp; EDATE($B$43,A50),SAÍDAS[Produto],$C$38),0)</f>
        <v>0</v>
      </c>
      <c r="E50" s="40">
        <f t="shared" si="3"/>
        <v>-1.0000000000000001E-30</v>
      </c>
    </row>
    <row r="51" spans="1:5" x14ac:dyDescent="0.3">
      <c r="A51">
        <v>9</v>
      </c>
      <c r="B51" s="32">
        <f t="shared" si="2"/>
        <v>44075</v>
      </c>
      <c r="C51" s="39">
        <f>IF(AND(MONTH(B51)&lt;=MONTH(MAX(ENTRADAS[Data da Compra],SAÍDAS[Data da Venda])),YEAR(B51)=YEAR(MAX(ENTRADAS[Data da Compra],SAÍDAS[Data da Venda]))),SUMIFS(ENTRADAS[Quantidade],ENTRADAS[Data da Compra],"&lt;" &amp; EDATE($B$43,A51),ENTRADAS[Produto],$C$38),0)</f>
        <v>0</v>
      </c>
      <c r="D51" s="39">
        <f>IF(AND(MONTH(B51)&lt;=MONTH(MAX(ENTRADAS[Data da Compra],SAÍDAS[Data da Venda])),YEAR(B51)=YEAR(MAX(ENTRADAS[Data da Compra],SAÍDAS[Data da Venda]))),SUMIFS(SAÍDAS[Quantidade Vendida],SAÍDAS[Data da Venda],"&lt;" &amp; EDATE($B$43,A51),SAÍDAS[Produto],$C$38),0)</f>
        <v>0</v>
      </c>
      <c r="E51" s="40">
        <f t="shared" si="3"/>
        <v>-1.0000000000000001E-30</v>
      </c>
    </row>
    <row r="52" spans="1:5" x14ac:dyDescent="0.3">
      <c r="A52">
        <v>10</v>
      </c>
      <c r="B52" s="32">
        <f t="shared" si="2"/>
        <v>44105</v>
      </c>
      <c r="C52" s="39">
        <f>IF(AND(MONTH(B52)&lt;=MONTH(MAX(ENTRADAS[Data da Compra],SAÍDAS[Data da Venda])),YEAR(B52)=YEAR(MAX(ENTRADAS[Data da Compra],SAÍDAS[Data da Venda]))),SUMIFS(ENTRADAS[Quantidade],ENTRADAS[Data da Compra],"&lt;" &amp; EDATE($B$43,A52),ENTRADAS[Produto],$C$38),0)</f>
        <v>0</v>
      </c>
      <c r="D52" s="39">
        <f>IF(AND(MONTH(B52)&lt;=MONTH(MAX(ENTRADAS[Data da Compra],SAÍDAS[Data da Venda])),YEAR(B52)=YEAR(MAX(ENTRADAS[Data da Compra],SAÍDAS[Data da Venda]))),SUMIFS(SAÍDAS[Quantidade Vendida],SAÍDAS[Data da Venda],"&lt;" &amp; EDATE($B$43,A52),SAÍDAS[Produto],$C$38),0)</f>
        <v>0</v>
      </c>
      <c r="E52" s="40">
        <f t="shared" si="3"/>
        <v>-1.0000000000000001E-30</v>
      </c>
    </row>
    <row r="53" spans="1:5" x14ac:dyDescent="0.3">
      <c r="A53">
        <v>11</v>
      </c>
      <c r="B53" s="32">
        <f t="shared" si="2"/>
        <v>44136</v>
      </c>
      <c r="C53" s="39">
        <f>IF(AND(MONTH(B53)&lt;=MONTH(MAX(ENTRADAS[Data da Compra],SAÍDAS[Data da Venda])),YEAR(B53)=YEAR(MAX(ENTRADAS[Data da Compra],SAÍDAS[Data da Venda]))),SUMIFS(ENTRADAS[Quantidade],ENTRADAS[Data da Compra],"&lt;" &amp; EDATE($B$43,A53),ENTRADAS[Produto],$C$38),0)</f>
        <v>0</v>
      </c>
      <c r="D53" s="39">
        <f>IF(AND(MONTH(B53)&lt;=MONTH(MAX(ENTRADAS[Data da Compra],SAÍDAS[Data da Venda])),YEAR(B53)=YEAR(MAX(ENTRADAS[Data da Compra],SAÍDAS[Data da Venda]))),SUMIFS(SAÍDAS[Quantidade Vendida],SAÍDAS[Data da Venda],"&lt;" &amp; EDATE($B$43,A53),SAÍDAS[Produto],$C$38),0)</f>
        <v>0</v>
      </c>
      <c r="E53" s="40">
        <f t="shared" si="3"/>
        <v>-1.0000000000000001E-30</v>
      </c>
    </row>
    <row r="54" spans="1:5" x14ac:dyDescent="0.3">
      <c r="A54">
        <v>12</v>
      </c>
      <c r="B54" s="32">
        <f t="shared" si="2"/>
        <v>44166</v>
      </c>
      <c r="C54" s="39">
        <f>IF(AND(MONTH(B54)&lt;=MONTH(MAX(ENTRADAS[Data da Compra],SAÍDAS[Data da Venda])),YEAR(B54)=YEAR(MAX(ENTRADAS[Data da Compra],SAÍDAS[Data da Venda]))),SUMIFS(ENTRADAS[Quantidade],ENTRADAS[Data da Compra],"&lt;" &amp; EDATE($B$43,A54),ENTRADAS[Produto],$C$38),0)</f>
        <v>0</v>
      </c>
      <c r="D54" s="39">
        <f>IF(AND(MONTH(B54)&lt;=MONTH(MAX(ENTRADAS[Data da Compra],SAÍDAS[Data da Venda])),YEAR(B54)=YEAR(MAX(ENTRADAS[Data da Compra],SAÍDAS[Data da Venda]))),SUMIFS(SAÍDAS[Quantidade Vendida],SAÍDAS[Data da Venda],"&lt;" &amp; EDATE($B$43,A54),SAÍDAS[Produto],$C$38),0)</f>
        <v>0</v>
      </c>
      <c r="E54" s="40">
        <f t="shared" si="3"/>
        <v>-1.0000000000000001E-30</v>
      </c>
    </row>
    <row r="57" spans="1:5" x14ac:dyDescent="0.3">
      <c r="B57" t="s">
        <v>128</v>
      </c>
    </row>
    <row r="59" spans="1:5" x14ac:dyDescent="0.3">
      <c r="B59" t="s">
        <v>104</v>
      </c>
      <c r="C59">
        <f>COUNTA(PRODUTO[Item])</f>
        <v>10</v>
      </c>
    </row>
    <row r="60" spans="1:5" x14ac:dyDescent="0.3">
      <c r="B60" t="s">
        <v>105</v>
      </c>
      <c r="C60">
        <f>COUNTA(LOJAS[Loja])</f>
        <v>5</v>
      </c>
    </row>
    <row r="61" spans="1:5" x14ac:dyDescent="0.3">
      <c r="B61" t="s">
        <v>106</v>
      </c>
      <c r="C61">
        <f>COUNTA(FORNECEDORES[Empresa])</f>
        <v>5</v>
      </c>
    </row>
    <row r="62" spans="1:5" x14ac:dyDescent="0.3">
      <c r="B62" t="s">
        <v>129</v>
      </c>
      <c r="C62">
        <f>SUM(CONTROLE[Saldo])</f>
        <v>412</v>
      </c>
    </row>
    <row r="63" spans="1:5" x14ac:dyDescent="0.3">
      <c r="B63" t="s">
        <v>49</v>
      </c>
      <c r="C63" s="48">
        <f>SUM(SAÍDAS[Valor de Venda Total])</f>
        <v>5510.1999999999989</v>
      </c>
    </row>
    <row r="64" spans="1:5" x14ac:dyDescent="0.3">
      <c r="B64" t="s">
        <v>50</v>
      </c>
      <c r="C64" s="48">
        <f>SUM(ENTRADAS[Valor de Compra Total])</f>
        <v>3271.9</v>
      </c>
    </row>
    <row r="65" spans="2:3" x14ac:dyDescent="0.3">
      <c r="B65" t="s">
        <v>107</v>
      </c>
      <c r="C65" s="48">
        <f>C63-C64</f>
        <v>2238.2999999999988</v>
      </c>
    </row>
    <row r="66" spans="2:3" x14ac:dyDescent="0.3">
      <c r="B66" t="s">
        <v>108</v>
      </c>
      <c r="C66" s="49">
        <f>C65/C63</f>
        <v>0.40621030089651905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56CBB-5E53-43C2-9E2F-DDAB9570AB21}">
  <sheetPr codeName="Planilha3"/>
  <dimension ref="B1:R20"/>
  <sheetViews>
    <sheetView showGridLines="0" zoomScale="85" zoomScaleNormal="85" workbookViewId="0">
      <selection activeCell="R2" sqref="R2"/>
    </sheetView>
  </sheetViews>
  <sheetFormatPr defaultRowHeight="14.4" x14ac:dyDescent="0.3"/>
  <cols>
    <col min="2" max="2" width="19" customWidth="1"/>
    <col min="3" max="18" width="9.6640625" customWidth="1"/>
  </cols>
  <sheetData>
    <row r="1" spans="2:18" s="26" customFormat="1" ht="39.75" customHeight="1" x14ac:dyDescent="0.3">
      <c r="C1" s="27" t="s">
        <v>109</v>
      </c>
    </row>
    <row r="3" spans="2:18" x14ac:dyDescent="0.3">
      <c r="B3" t="s">
        <v>110</v>
      </c>
    </row>
    <row r="6" spans="2:18" ht="90.75" customHeight="1" x14ac:dyDescent="0.3">
      <c r="B6" s="42" t="s">
        <v>120</v>
      </c>
      <c r="C6" s="50" t="s">
        <v>121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</row>
    <row r="8" spans="2:18" ht="153" customHeight="1" x14ac:dyDescent="0.3">
      <c r="B8" s="43" t="s">
        <v>116</v>
      </c>
      <c r="C8" s="50" t="s">
        <v>123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10" spans="2:18" ht="152.25" customHeight="1" x14ac:dyDescent="0.3">
      <c r="B10" s="43" t="s">
        <v>117</v>
      </c>
      <c r="C10" s="50" t="s">
        <v>124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</row>
    <row r="12" spans="2:18" ht="150.75" customHeight="1" x14ac:dyDescent="0.3">
      <c r="B12" s="43" t="s">
        <v>118</v>
      </c>
      <c r="C12" s="50" t="s">
        <v>125</v>
      </c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</row>
    <row r="14" spans="2:18" ht="150" customHeight="1" x14ac:dyDescent="0.3">
      <c r="B14" s="43" t="s">
        <v>111</v>
      </c>
      <c r="C14" s="50" t="s">
        <v>126</v>
      </c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</row>
    <row r="16" spans="2:18" ht="298.5" customHeight="1" x14ac:dyDescent="0.3">
      <c r="B16" s="43" t="s">
        <v>112</v>
      </c>
      <c r="C16" s="50" t="s">
        <v>122</v>
      </c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</row>
    <row r="18" spans="2:18" ht="381.75" customHeight="1" x14ac:dyDescent="0.3">
      <c r="B18" s="43" t="s">
        <v>113</v>
      </c>
      <c r="C18" s="50" t="s">
        <v>127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</row>
    <row r="20" spans="2:18" ht="90.75" customHeight="1" x14ac:dyDescent="0.3">
      <c r="B20" s="43" t="s">
        <v>114</v>
      </c>
      <c r="C20" s="50" t="s">
        <v>115</v>
      </c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</row>
  </sheetData>
  <mergeCells count="8">
    <mergeCell ref="C16:R16"/>
    <mergeCell ref="C18:R18"/>
    <mergeCell ref="C20:R20"/>
    <mergeCell ref="C6:R6"/>
    <mergeCell ref="C8:R8"/>
    <mergeCell ref="C10:R10"/>
    <mergeCell ref="C12:R12"/>
    <mergeCell ref="C14:R14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4A845-F56B-4650-A4CC-2D6BA27791D7}">
  <sheetPr codeName="Planilha4"/>
  <dimension ref="B1:G16"/>
  <sheetViews>
    <sheetView showGridLines="0" workbookViewId="0">
      <pane ySplit="6" topLeftCell="A7" activePane="bottomLeft" state="frozen"/>
      <selection pane="bottomLeft" activeCell="A2" sqref="A2:XFD2"/>
    </sheetView>
  </sheetViews>
  <sheetFormatPr defaultRowHeight="14.4" x14ac:dyDescent="0.3"/>
  <cols>
    <col min="1" max="1" width="2.88671875" customWidth="1"/>
    <col min="2" max="2" width="17.6640625" customWidth="1"/>
    <col min="3" max="3" width="24.44140625" customWidth="1"/>
    <col min="4" max="4" width="28.5546875" customWidth="1"/>
    <col min="5" max="6" width="22.88671875" customWidth="1"/>
    <col min="7" max="7" width="24.44140625" customWidth="1"/>
    <col min="8" max="8" width="25.33203125" customWidth="1"/>
  </cols>
  <sheetData>
    <row r="1" spans="2:7" s="52" customFormat="1" ht="39.75" customHeight="1" x14ac:dyDescent="0.3">
      <c r="C1" s="53" t="s">
        <v>59</v>
      </c>
    </row>
    <row r="2" spans="2:7" s="54" customFormat="1" ht="3.75" customHeight="1" x14ac:dyDescent="0.3"/>
    <row r="5" spans="2:7" ht="18" x14ac:dyDescent="0.35">
      <c r="B5" s="9"/>
      <c r="C5" s="8"/>
      <c r="D5" s="8"/>
      <c r="E5" s="8"/>
      <c r="F5" s="8"/>
      <c r="G5" s="8"/>
    </row>
    <row r="6" spans="2:7" ht="35.25" customHeight="1" x14ac:dyDescent="0.3">
      <c r="B6" s="1" t="s">
        <v>0</v>
      </c>
      <c r="C6" s="1" t="s">
        <v>3</v>
      </c>
      <c r="D6" s="1" t="s">
        <v>1</v>
      </c>
      <c r="E6" s="1" t="s">
        <v>28</v>
      </c>
      <c r="F6" s="28" t="s">
        <v>36</v>
      </c>
      <c r="G6" s="28" t="s">
        <v>42</v>
      </c>
    </row>
    <row r="7" spans="2:7" x14ac:dyDescent="0.3">
      <c r="B7" s="2" t="s">
        <v>4</v>
      </c>
      <c r="C7" s="3" t="s">
        <v>17</v>
      </c>
      <c r="D7" s="3" t="s">
        <v>14</v>
      </c>
      <c r="E7" s="3">
        <v>10</v>
      </c>
      <c r="F7" s="30">
        <v>2</v>
      </c>
      <c r="G7" s="30">
        <v>4.5</v>
      </c>
    </row>
    <row r="8" spans="2:7" x14ac:dyDescent="0.3">
      <c r="B8" s="2" t="s">
        <v>5</v>
      </c>
      <c r="C8" s="4" t="s">
        <v>18</v>
      </c>
      <c r="D8" s="3" t="s">
        <v>14</v>
      </c>
      <c r="E8" s="4">
        <v>50</v>
      </c>
      <c r="F8" s="30">
        <v>1.5</v>
      </c>
      <c r="G8" s="30">
        <v>2.8</v>
      </c>
    </row>
    <row r="9" spans="2:7" x14ac:dyDescent="0.3">
      <c r="B9" s="2" t="s">
        <v>6</v>
      </c>
      <c r="C9" s="4" t="s">
        <v>19</v>
      </c>
      <c r="D9" s="3" t="s">
        <v>14</v>
      </c>
      <c r="E9" s="4">
        <v>1</v>
      </c>
      <c r="F9" s="30">
        <v>1</v>
      </c>
      <c r="G9" s="30">
        <v>3.5</v>
      </c>
    </row>
    <row r="10" spans="2:7" x14ac:dyDescent="0.3">
      <c r="B10" s="2" t="s">
        <v>7</v>
      </c>
      <c r="C10" s="4" t="s">
        <v>20</v>
      </c>
      <c r="D10" s="3" t="s">
        <v>14</v>
      </c>
      <c r="E10" s="4">
        <v>2</v>
      </c>
      <c r="F10" s="30">
        <v>0.5</v>
      </c>
      <c r="G10" s="30">
        <v>2.1</v>
      </c>
    </row>
    <row r="11" spans="2:7" x14ac:dyDescent="0.3">
      <c r="B11" s="2" t="s">
        <v>8</v>
      </c>
      <c r="C11" s="4" t="s">
        <v>21</v>
      </c>
      <c r="D11" s="3" t="s">
        <v>14</v>
      </c>
      <c r="E11" s="4">
        <v>3</v>
      </c>
      <c r="F11" s="30">
        <v>1.3</v>
      </c>
      <c r="G11" s="30">
        <v>4.5999999999999996</v>
      </c>
    </row>
    <row r="12" spans="2:7" x14ac:dyDescent="0.3">
      <c r="B12" s="2" t="s">
        <v>9</v>
      </c>
      <c r="C12" s="4" t="s">
        <v>22</v>
      </c>
      <c r="D12" s="3" t="s">
        <v>15</v>
      </c>
      <c r="E12" s="4">
        <v>1</v>
      </c>
      <c r="F12" s="30">
        <v>10</v>
      </c>
      <c r="G12" s="30">
        <v>25</v>
      </c>
    </row>
    <row r="13" spans="2:7" x14ac:dyDescent="0.3">
      <c r="B13" s="2" t="s">
        <v>10</v>
      </c>
      <c r="C13" s="4" t="s">
        <v>23</v>
      </c>
      <c r="D13" s="3" t="s">
        <v>16</v>
      </c>
      <c r="E13" s="4">
        <v>1</v>
      </c>
      <c r="F13" s="30">
        <v>2</v>
      </c>
      <c r="G13" s="30">
        <v>3.5</v>
      </c>
    </row>
    <row r="14" spans="2:7" x14ac:dyDescent="0.3">
      <c r="B14" s="2" t="s">
        <v>11</v>
      </c>
      <c r="C14" s="4" t="s">
        <v>24</v>
      </c>
      <c r="D14" s="3" t="s">
        <v>15</v>
      </c>
      <c r="E14" s="4">
        <v>10</v>
      </c>
      <c r="F14" s="30">
        <v>5</v>
      </c>
      <c r="G14" s="30">
        <v>11</v>
      </c>
    </row>
    <row r="15" spans="2:7" x14ac:dyDescent="0.3">
      <c r="B15" s="2" t="s">
        <v>12</v>
      </c>
      <c r="C15" s="4" t="s">
        <v>25</v>
      </c>
      <c r="D15" s="3" t="s">
        <v>16</v>
      </c>
      <c r="E15" s="4">
        <v>10</v>
      </c>
      <c r="F15" s="30">
        <v>2</v>
      </c>
      <c r="G15" s="30">
        <v>5</v>
      </c>
    </row>
    <row r="16" spans="2:7" x14ac:dyDescent="0.3">
      <c r="B16" s="2" t="s">
        <v>13</v>
      </c>
      <c r="C16" s="4" t="s">
        <v>26</v>
      </c>
      <c r="D16" s="3" t="s">
        <v>14</v>
      </c>
      <c r="E16" s="4">
        <v>15</v>
      </c>
      <c r="F16" s="30">
        <v>1</v>
      </c>
      <c r="G16" s="30">
        <v>3.4</v>
      </c>
    </row>
  </sheetData>
  <dataValidations count="3">
    <dataValidation allowBlank="1" showInputMessage="1" showErrorMessage="1" promptTitle="Escolher Produto" prompt="Selecione na lista o produto a ser vendido, não é necessário digitar." sqref="C6" xr:uid="{84CBDF52-A888-4E10-9049-AE411EAD416F}"/>
    <dataValidation type="custom" allowBlank="1" showInputMessage="1" showErrorMessage="1" errorTitle="ITEM JÁ EXISTE" error="O item que você tentou adicionar já foi adicionado anteriormente." sqref="B7:B16" xr:uid="{4C846A92-8140-4944-ACFE-409556E9704F}">
      <formula1>COUNTIF(INDIRECT("PRODUTO[Item]"),$B7)&lt;2</formula1>
    </dataValidation>
    <dataValidation type="custom" allowBlank="1" showInputMessage="1" showErrorMessage="1" errorTitle="CÓDIGO JÁ EXISTE" error="O código que você tentou adicionar já foi adicionado anteriormente." sqref="C7:C16" xr:uid="{E3A90C2F-590D-4E4D-AD1D-0D1252AB6FEF}">
      <formula1>COUNTIF(INDIRECT("PRODUTO['# Código Produto]"),$C7)&lt;2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20E1D-0B7E-40EE-81AA-6DA6AD11E650}">
  <sheetPr codeName="Planilha5"/>
  <dimension ref="B1:G11"/>
  <sheetViews>
    <sheetView showGridLines="0" workbookViewId="0">
      <pane ySplit="6" topLeftCell="A7" activePane="bottomLeft" state="frozen"/>
      <selection pane="bottomLeft" activeCell="D13" sqref="D13"/>
    </sheetView>
  </sheetViews>
  <sheetFormatPr defaultRowHeight="14.4" x14ac:dyDescent="0.3"/>
  <cols>
    <col min="1" max="1" width="2.88671875" customWidth="1"/>
    <col min="2" max="2" width="17.6640625" customWidth="1"/>
    <col min="3" max="3" width="24.44140625" customWidth="1"/>
    <col min="4" max="4" width="28.5546875" customWidth="1"/>
    <col min="5" max="5" width="46.5546875" customWidth="1"/>
    <col min="6" max="6" width="22.88671875" customWidth="1"/>
    <col min="7" max="7" width="24.44140625" customWidth="1"/>
    <col min="8" max="8" width="25.33203125" customWidth="1"/>
  </cols>
  <sheetData>
    <row r="1" spans="2:7" s="52" customFormat="1" ht="39.75" customHeight="1" x14ac:dyDescent="0.3">
      <c r="C1" s="53" t="s">
        <v>130</v>
      </c>
    </row>
    <row r="2" spans="2:7" s="54" customFormat="1" ht="3.75" customHeight="1" x14ac:dyDescent="0.3"/>
    <row r="5" spans="2:7" ht="18" x14ac:dyDescent="0.35">
      <c r="B5" s="9"/>
      <c r="C5" s="8"/>
      <c r="D5" s="8"/>
      <c r="E5" s="8"/>
      <c r="F5" s="8"/>
      <c r="G5" s="8"/>
    </row>
    <row r="6" spans="2:7" ht="35.25" customHeight="1" x14ac:dyDescent="0.3">
      <c r="B6" s="1" t="s">
        <v>33</v>
      </c>
      <c r="C6" s="1" t="s">
        <v>30</v>
      </c>
      <c r="D6" s="1" t="s">
        <v>31</v>
      </c>
      <c r="E6" s="1" t="s">
        <v>32</v>
      </c>
      <c r="F6" s="28" t="s">
        <v>34</v>
      </c>
    </row>
    <row r="7" spans="2:7" x14ac:dyDescent="0.3">
      <c r="B7" s="2" t="s">
        <v>37</v>
      </c>
      <c r="C7" s="3" t="s">
        <v>76</v>
      </c>
      <c r="D7" s="29" t="s">
        <v>90</v>
      </c>
      <c r="E7" s="3" t="s">
        <v>81</v>
      </c>
      <c r="F7" s="10">
        <f>IF(FORNECEDORES[[#This Row],[Empresa]]&lt;&gt;"",SUMIF(ENTRADAS[Fornecedor],FORNECEDORES[[#This Row],[Empresa]],ENTRADAS[Valor de Compra Total]),"")</f>
        <v>3271.9</v>
      </c>
    </row>
    <row r="8" spans="2:7" x14ac:dyDescent="0.3">
      <c r="B8" s="2" t="s">
        <v>82</v>
      </c>
      <c r="C8" s="4" t="s">
        <v>77</v>
      </c>
      <c r="D8" s="29" t="s">
        <v>91</v>
      </c>
      <c r="E8" s="4" t="s">
        <v>83</v>
      </c>
      <c r="F8" s="10">
        <f>IF(FORNECEDORES[[#This Row],[Empresa]]&lt;&gt;"",SUMIF(ENTRADAS[Fornecedor],FORNECEDORES[[#This Row],[Empresa]],ENTRADAS[Valor de Compra Total]),"")</f>
        <v>0</v>
      </c>
    </row>
    <row r="9" spans="2:7" x14ac:dyDescent="0.3">
      <c r="B9" s="2" t="s">
        <v>84</v>
      </c>
      <c r="C9" s="4" t="s">
        <v>78</v>
      </c>
      <c r="D9" s="29" t="s">
        <v>92</v>
      </c>
      <c r="E9" s="4" t="s">
        <v>85</v>
      </c>
      <c r="F9" s="10">
        <f>IF(FORNECEDORES[[#This Row],[Empresa]]&lt;&gt;"",SUMIF(ENTRADAS[Fornecedor],FORNECEDORES[[#This Row],[Empresa]],ENTRADAS[Valor de Compra Total]),"")</f>
        <v>0</v>
      </c>
    </row>
    <row r="10" spans="2:7" x14ac:dyDescent="0.3">
      <c r="B10" s="2" t="s">
        <v>86</v>
      </c>
      <c r="C10" s="4" t="s">
        <v>79</v>
      </c>
      <c r="D10" s="29" t="s">
        <v>93</v>
      </c>
      <c r="E10" s="4" t="s">
        <v>87</v>
      </c>
      <c r="F10" s="10">
        <f>IF(FORNECEDORES[[#This Row],[Empresa]]&lt;&gt;"",SUMIF(ENTRADAS[Fornecedor],FORNECEDORES[[#This Row],[Empresa]],ENTRADAS[Valor de Compra Total]),"")</f>
        <v>0</v>
      </c>
    </row>
    <row r="11" spans="2:7" x14ac:dyDescent="0.3">
      <c r="B11" s="2" t="s">
        <v>88</v>
      </c>
      <c r="C11" s="4" t="s">
        <v>80</v>
      </c>
      <c r="D11" s="29" t="s">
        <v>94</v>
      </c>
      <c r="E11" s="4" t="s">
        <v>89</v>
      </c>
      <c r="F11" s="10">
        <f>IF(FORNECEDORES[[#This Row],[Empresa]]&lt;&gt;"",SUMIF(ENTRADAS[Fornecedor],FORNECEDORES[[#This Row],[Empresa]],ENTRADAS[Valor de Compra Total]),"")</f>
        <v>0</v>
      </c>
    </row>
  </sheetData>
  <dataValidations count="2">
    <dataValidation allowBlank="1" showInputMessage="1" showErrorMessage="1" promptTitle="Escolher Produto" prompt="Selecione na lista o produto a ser vendido, não é necessário digitar." sqref="C6" xr:uid="{157C452C-F185-4EB5-8292-87D89CBFF84E}"/>
    <dataValidation type="custom" allowBlank="1" showInputMessage="1" showErrorMessage="1" sqref="B7:B11" xr:uid="{B4B3F250-E60D-4932-83C1-A33FF2FA94CF}">
      <formula1>COUNTIF(INDIRECT("FORNECEDORES[Empresa]"),$B7)&lt;2</formula1>
    </dataValidation>
  </dataValidations>
  <hyperlinks>
    <hyperlink ref="D7" r:id="rId1" xr:uid="{24D9356A-CCCA-42BF-A354-8754AF13D920}"/>
    <hyperlink ref="D8" r:id="rId2" xr:uid="{CE84CD85-059D-416E-A163-8A89868412D2}"/>
    <hyperlink ref="D9" r:id="rId3" xr:uid="{04FD8C71-58BF-47DC-BB87-6148FA5AC9B0}"/>
    <hyperlink ref="D10" r:id="rId4" xr:uid="{8473D9F5-6D6F-49FF-9D3C-68FCC2D5B9C9}"/>
    <hyperlink ref="D11" r:id="rId5" xr:uid="{76012D97-9BA1-4290-B800-8811F20A5F05}"/>
  </hyperlinks>
  <pageMargins left="0.511811024" right="0.511811024" top="0.78740157499999996" bottom="0.78740157499999996" header="0.31496062000000002" footer="0.31496062000000002"/>
  <pageSetup paperSize="9" orientation="portrait" r:id="rId6"/>
  <drawing r:id="rId7"/>
  <tableParts count="1"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8840B-B4B7-4717-8FA9-DDAB71F2B3E4}">
  <sheetPr codeName="Planilha6"/>
  <dimension ref="B1:G11"/>
  <sheetViews>
    <sheetView showGridLines="0" workbookViewId="0">
      <pane ySplit="6" topLeftCell="A7" activePane="bottomLeft" state="frozen"/>
      <selection pane="bottomLeft" activeCell="G6" sqref="G6"/>
    </sheetView>
  </sheetViews>
  <sheetFormatPr defaultRowHeight="14.4" x14ac:dyDescent="0.3"/>
  <cols>
    <col min="1" max="1" width="2.88671875" customWidth="1"/>
    <col min="2" max="2" width="17.6640625" customWidth="1"/>
    <col min="3" max="3" width="24.44140625" customWidth="1"/>
    <col min="4" max="4" width="28.5546875" customWidth="1"/>
    <col min="5" max="5" width="46.5546875" customWidth="1"/>
    <col min="6" max="6" width="22.88671875" customWidth="1"/>
    <col min="7" max="7" width="24.44140625" customWidth="1"/>
    <col min="8" max="8" width="25.33203125" customWidth="1"/>
  </cols>
  <sheetData>
    <row r="1" spans="2:7" s="52" customFormat="1" ht="39.75" customHeight="1" x14ac:dyDescent="0.3">
      <c r="C1" s="53" t="s">
        <v>60</v>
      </c>
    </row>
    <row r="2" spans="2:7" s="54" customFormat="1" ht="3.75" customHeight="1" x14ac:dyDescent="0.3"/>
    <row r="5" spans="2:7" ht="18" x14ac:dyDescent="0.35">
      <c r="B5" s="9"/>
      <c r="C5" s="8"/>
      <c r="D5" s="8"/>
      <c r="E5" s="8"/>
      <c r="F5" s="8"/>
      <c r="G5" s="8"/>
    </row>
    <row r="6" spans="2:7" ht="35.25" customHeight="1" x14ac:dyDescent="0.3">
      <c r="B6" s="1" t="s">
        <v>38</v>
      </c>
      <c r="C6" s="1" t="s">
        <v>30</v>
      </c>
      <c r="D6" s="1" t="s">
        <v>31</v>
      </c>
      <c r="E6" s="1" t="s">
        <v>32</v>
      </c>
      <c r="F6" s="28" t="s">
        <v>61</v>
      </c>
    </row>
    <row r="7" spans="2:7" x14ac:dyDescent="0.3">
      <c r="B7" s="2" t="s">
        <v>39</v>
      </c>
      <c r="C7" s="3" t="s">
        <v>76</v>
      </c>
      <c r="D7" s="29" t="s">
        <v>66</v>
      </c>
      <c r="E7" s="3" t="s">
        <v>71</v>
      </c>
      <c r="F7" s="10">
        <f>IF(LOJAS[[#This Row],[Loja]]&lt;&gt;"",SUMIF(SAÍDAS[Loja],LOJAS[[#This Row],[Loja]],SAÍDAS[Valor de Venda Total]),"")</f>
        <v>5510.1999999999989</v>
      </c>
    </row>
    <row r="8" spans="2:7" x14ac:dyDescent="0.3">
      <c r="B8" s="2" t="s">
        <v>62</v>
      </c>
      <c r="C8" s="3" t="s">
        <v>77</v>
      </c>
      <c r="D8" s="29" t="s">
        <v>67</v>
      </c>
      <c r="E8" s="4" t="s">
        <v>72</v>
      </c>
      <c r="F8" s="10">
        <f>IF(LOJAS[[#This Row],[Loja]]&lt;&gt;"",SUMIF(SAÍDAS[Loja],LOJAS[[#This Row],[Loja]],SAÍDAS[Valor de Venda Total]),"")</f>
        <v>0</v>
      </c>
    </row>
    <row r="9" spans="2:7" x14ac:dyDescent="0.3">
      <c r="B9" s="2" t="s">
        <v>63</v>
      </c>
      <c r="C9" s="3" t="s">
        <v>78</v>
      </c>
      <c r="D9" s="29" t="s">
        <v>68</v>
      </c>
      <c r="E9" s="4" t="s">
        <v>73</v>
      </c>
      <c r="F9" s="10">
        <f>IF(LOJAS[[#This Row],[Loja]]&lt;&gt;"",SUMIF(SAÍDAS[Loja],LOJAS[[#This Row],[Loja]],SAÍDAS[Valor de Venda Total]),"")</f>
        <v>0</v>
      </c>
    </row>
    <row r="10" spans="2:7" x14ac:dyDescent="0.3">
      <c r="B10" s="2" t="s">
        <v>64</v>
      </c>
      <c r="C10" s="3" t="s">
        <v>79</v>
      </c>
      <c r="D10" s="29" t="s">
        <v>69</v>
      </c>
      <c r="E10" s="4" t="s">
        <v>74</v>
      </c>
      <c r="F10" s="10">
        <f>IF(LOJAS[[#This Row],[Loja]]&lt;&gt;"",SUMIF(SAÍDAS[Loja],LOJAS[[#This Row],[Loja]],SAÍDAS[Valor de Venda Total]),"")</f>
        <v>0</v>
      </c>
    </row>
    <row r="11" spans="2:7" x14ac:dyDescent="0.3">
      <c r="B11" s="2" t="s">
        <v>65</v>
      </c>
      <c r="C11" s="3" t="s">
        <v>80</v>
      </c>
      <c r="D11" s="29" t="s">
        <v>70</v>
      </c>
      <c r="E11" s="4" t="s">
        <v>75</v>
      </c>
      <c r="F11" s="10">
        <f>IF(LOJAS[[#This Row],[Loja]]&lt;&gt;"",SUMIF(SAÍDAS[Loja],LOJAS[[#This Row],[Loja]],SAÍDAS[Valor de Venda Total]),"")</f>
        <v>0</v>
      </c>
    </row>
  </sheetData>
  <dataValidations count="2">
    <dataValidation allowBlank="1" showInputMessage="1" showErrorMessage="1" promptTitle="Escolher Produto" prompt="Selecione na lista o produto a ser vendido, não é necessário digitar." sqref="C6" xr:uid="{59E9CD35-8EE8-4A60-8A19-5F500E629CBA}"/>
    <dataValidation type="custom" allowBlank="1" showInputMessage="1" showErrorMessage="1" errorTitle="LOJA JÁ CADASTRADA" error="Esta loja já foi cadastrada anteriormente." sqref="B7:B11" xr:uid="{3CF9180F-628A-404D-BD41-67C80F38CAA0}">
      <formula1>COUNTIF(INDIRECT("LOJAS[Loja]"),$B7)&lt;2</formula1>
    </dataValidation>
  </dataValidations>
  <hyperlinks>
    <hyperlink ref="D7" r:id="rId1" xr:uid="{99027337-8CBD-477B-ACC2-A1BEC22468B4}"/>
    <hyperlink ref="D8" r:id="rId2" xr:uid="{FA0B893B-E952-4701-94C8-FF254A3F9BDB}"/>
    <hyperlink ref="D9" r:id="rId3" xr:uid="{8D6E092F-21ED-4248-A168-E6B1B0285C54}"/>
    <hyperlink ref="D10" r:id="rId4" xr:uid="{4094DB12-296F-41A5-A198-B539799B7141}"/>
    <hyperlink ref="D11" r:id="rId5" xr:uid="{1DB83935-8DFF-43CC-B897-1085AFB2ABD2}"/>
  </hyperlinks>
  <pageMargins left="0.511811024" right="0.511811024" top="0.78740157499999996" bottom="0.78740157499999996" header="0.31496062000000002" footer="0.31496062000000002"/>
  <pageSetup paperSize="9" orientation="portrait" r:id="rId6"/>
  <ignoredErrors>
    <ignoredError sqref="D7:D11" calculatedColumn="1"/>
  </ignoredErrors>
  <drawing r:id="rId7"/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0D185-65B6-4860-A63F-7847CB01F086}">
  <sheetPr codeName="Planilha7"/>
  <dimension ref="B1:G57"/>
  <sheetViews>
    <sheetView showGridLines="0" workbookViewId="0">
      <pane ySplit="6" topLeftCell="A36" activePane="bottomLeft" state="frozen"/>
      <selection pane="bottomLeft" activeCell="B3" sqref="B3"/>
    </sheetView>
  </sheetViews>
  <sheetFormatPr defaultRowHeight="14.4" x14ac:dyDescent="0.3"/>
  <cols>
    <col min="1" max="1" width="2.88671875" customWidth="1"/>
    <col min="2" max="2" width="17.6640625" customWidth="1"/>
    <col min="3" max="3" width="24.44140625" customWidth="1"/>
    <col min="4" max="4" width="28.5546875" customWidth="1"/>
    <col min="5" max="6" width="22.88671875" customWidth="1"/>
    <col min="7" max="7" width="24.44140625" customWidth="1"/>
    <col min="8" max="8" width="25.33203125" customWidth="1"/>
  </cols>
  <sheetData>
    <row r="1" spans="2:7" s="52" customFormat="1" ht="39.75" customHeight="1" x14ac:dyDescent="0.3">
      <c r="C1" s="53" t="s">
        <v>57</v>
      </c>
    </row>
    <row r="2" spans="2:7" s="54" customFormat="1" ht="3.75" customHeight="1" x14ac:dyDescent="0.3"/>
    <row r="5" spans="2:7" ht="18" x14ac:dyDescent="0.35">
      <c r="B5" s="9"/>
      <c r="C5" s="8"/>
      <c r="D5" s="8"/>
      <c r="E5" s="8"/>
      <c r="F5" s="8"/>
      <c r="G5" s="8"/>
    </row>
    <row r="6" spans="2:7" ht="35.25" customHeight="1" x14ac:dyDescent="0.3">
      <c r="B6" s="1" t="s">
        <v>53</v>
      </c>
      <c r="C6" s="1" t="s">
        <v>35</v>
      </c>
      <c r="D6" s="1" t="s">
        <v>27</v>
      </c>
      <c r="E6" s="1" t="s">
        <v>2</v>
      </c>
      <c r="F6" s="1" t="s">
        <v>36</v>
      </c>
      <c r="G6" s="1" t="s">
        <v>44</v>
      </c>
    </row>
    <row r="7" spans="2:7" x14ac:dyDescent="0.3">
      <c r="B7" s="2">
        <v>43831</v>
      </c>
      <c r="C7" s="3" t="s">
        <v>5</v>
      </c>
      <c r="D7" s="3" t="s">
        <v>37</v>
      </c>
      <c r="E7" s="3">
        <v>50</v>
      </c>
      <c r="F7" s="11">
        <f>VLOOKUP(ENTRADAS[[#This Row],[Produto]],PRODUTO[],5,0)</f>
        <v>1.5</v>
      </c>
      <c r="G7" s="11">
        <f t="shared" ref="G7:G12" si="0">F7*E7</f>
        <v>75</v>
      </c>
    </row>
    <row r="8" spans="2:7" x14ac:dyDescent="0.3">
      <c r="B8" s="2">
        <v>43831</v>
      </c>
      <c r="C8" s="4" t="s">
        <v>6</v>
      </c>
      <c r="D8" s="3" t="s">
        <v>37</v>
      </c>
      <c r="E8" s="4">
        <v>30</v>
      </c>
      <c r="F8" s="12">
        <f>VLOOKUP(ENTRADAS[[#This Row],[Produto]],PRODUTO[],5,0)</f>
        <v>1</v>
      </c>
      <c r="G8" s="12">
        <f t="shared" si="0"/>
        <v>30</v>
      </c>
    </row>
    <row r="9" spans="2:7" x14ac:dyDescent="0.3">
      <c r="B9" s="2">
        <v>43831</v>
      </c>
      <c r="C9" s="4" t="s">
        <v>7</v>
      </c>
      <c r="D9" s="3" t="s">
        <v>37</v>
      </c>
      <c r="E9" s="4">
        <v>20</v>
      </c>
      <c r="F9" s="12">
        <f>VLOOKUP(ENTRADAS[[#This Row],[Produto]],PRODUTO[],5,0)</f>
        <v>0.5</v>
      </c>
      <c r="G9" s="12">
        <f t="shared" si="0"/>
        <v>10</v>
      </c>
    </row>
    <row r="10" spans="2:7" x14ac:dyDescent="0.3">
      <c r="B10" s="2">
        <v>43831</v>
      </c>
      <c r="C10" s="4" t="s">
        <v>8</v>
      </c>
      <c r="D10" s="3" t="s">
        <v>37</v>
      </c>
      <c r="E10" s="4">
        <v>40</v>
      </c>
      <c r="F10" s="12">
        <f>VLOOKUP(ENTRADAS[[#This Row],[Produto]],PRODUTO[],5,0)</f>
        <v>1.3</v>
      </c>
      <c r="G10" s="12">
        <f t="shared" si="0"/>
        <v>52</v>
      </c>
    </row>
    <row r="11" spans="2:7" x14ac:dyDescent="0.3">
      <c r="B11" s="2">
        <v>43831</v>
      </c>
      <c r="C11" s="4" t="s">
        <v>9</v>
      </c>
      <c r="D11" s="3" t="s">
        <v>37</v>
      </c>
      <c r="E11" s="4">
        <v>35</v>
      </c>
      <c r="F11" s="12">
        <f>VLOOKUP(ENTRADAS[[#This Row],[Produto]],PRODUTO[],5,0)</f>
        <v>10</v>
      </c>
      <c r="G11" s="12">
        <f t="shared" si="0"/>
        <v>350</v>
      </c>
    </row>
    <row r="12" spans="2:7" x14ac:dyDescent="0.3">
      <c r="B12" s="2">
        <v>43831</v>
      </c>
      <c r="C12" s="4" t="s">
        <v>7</v>
      </c>
      <c r="D12" s="3" t="s">
        <v>37</v>
      </c>
      <c r="E12" s="4">
        <v>100</v>
      </c>
      <c r="F12" s="12">
        <f>VLOOKUP(ENTRADAS[[#This Row],[Produto]],PRODUTO[],5,0)</f>
        <v>0.5</v>
      </c>
      <c r="G12" s="12">
        <f t="shared" si="0"/>
        <v>50</v>
      </c>
    </row>
    <row r="13" spans="2:7" x14ac:dyDescent="0.3">
      <c r="B13" s="2">
        <v>43831</v>
      </c>
      <c r="C13" s="4" t="s">
        <v>4</v>
      </c>
      <c r="D13" s="3" t="s">
        <v>37</v>
      </c>
      <c r="E13" s="4">
        <v>50</v>
      </c>
      <c r="F13" s="12">
        <f>VLOOKUP(ENTRADAS[[#This Row],[Produto]],PRODUTO[],5,0)</f>
        <v>2</v>
      </c>
      <c r="G13" s="12">
        <f t="shared" ref="G13:G18" si="1">F13*E13</f>
        <v>100</v>
      </c>
    </row>
    <row r="14" spans="2:7" x14ac:dyDescent="0.3">
      <c r="B14" s="2">
        <v>43831</v>
      </c>
      <c r="C14" s="4" t="s">
        <v>10</v>
      </c>
      <c r="D14" s="3" t="s">
        <v>37</v>
      </c>
      <c r="E14" s="4">
        <v>20</v>
      </c>
      <c r="F14" s="12">
        <f>VLOOKUP(ENTRADAS[[#This Row],[Produto]],PRODUTO[],5,0)</f>
        <v>2</v>
      </c>
      <c r="G14" s="12">
        <f t="shared" si="1"/>
        <v>40</v>
      </c>
    </row>
    <row r="15" spans="2:7" x14ac:dyDescent="0.3">
      <c r="B15" s="2">
        <v>43831</v>
      </c>
      <c r="C15" s="4" t="s">
        <v>11</v>
      </c>
      <c r="D15" s="3" t="s">
        <v>37</v>
      </c>
      <c r="E15" s="4">
        <v>15</v>
      </c>
      <c r="F15" s="12">
        <f>VLOOKUP(ENTRADAS[[#This Row],[Produto]],PRODUTO[],5,0)</f>
        <v>5</v>
      </c>
      <c r="G15" s="12">
        <f t="shared" si="1"/>
        <v>75</v>
      </c>
    </row>
    <row r="16" spans="2:7" x14ac:dyDescent="0.3">
      <c r="B16" s="2">
        <v>43831</v>
      </c>
      <c r="C16" s="4" t="s">
        <v>12</v>
      </c>
      <c r="D16" s="3" t="s">
        <v>37</v>
      </c>
      <c r="E16" s="4">
        <v>20</v>
      </c>
      <c r="F16" s="12">
        <f>VLOOKUP(ENTRADAS[[#This Row],[Produto]],PRODUTO[],5,0)</f>
        <v>2</v>
      </c>
      <c r="G16" s="12">
        <f t="shared" si="1"/>
        <v>40</v>
      </c>
    </row>
    <row r="17" spans="2:7" x14ac:dyDescent="0.3">
      <c r="B17" s="2">
        <v>43831</v>
      </c>
      <c r="C17" s="4" t="s">
        <v>13</v>
      </c>
      <c r="D17" s="3" t="s">
        <v>37</v>
      </c>
      <c r="E17" s="4">
        <v>30</v>
      </c>
      <c r="F17" s="12">
        <f>VLOOKUP(ENTRADAS[[#This Row],[Produto]],PRODUTO[],5,0)</f>
        <v>1</v>
      </c>
      <c r="G17" s="12">
        <f t="shared" si="1"/>
        <v>30</v>
      </c>
    </row>
    <row r="18" spans="2:7" x14ac:dyDescent="0.3">
      <c r="B18" s="2">
        <v>43832</v>
      </c>
      <c r="C18" s="3" t="s">
        <v>4</v>
      </c>
      <c r="D18" s="3" t="s">
        <v>37</v>
      </c>
      <c r="E18" s="4">
        <v>11</v>
      </c>
      <c r="F18" s="12">
        <f>VLOOKUP(ENTRADAS[[#This Row],[Produto]],PRODUTO[],5,0)</f>
        <v>2</v>
      </c>
      <c r="G18" s="12">
        <f t="shared" si="1"/>
        <v>22</v>
      </c>
    </row>
    <row r="19" spans="2:7" x14ac:dyDescent="0.3">
      <c r="B19" s="2">
        <v>43832</v>
      </c>
      <c r="C19" s="4" t="s">
        <v>5</v>
      </c>
      <c r="D19" s="3" t="s">
        <v>37</v>
      </c>
      <c r="E19" s="4">
        <v>21</v>
      </c>
      <c r="F19" s="12">
        <f>VLOOKUP(ENTRADAS[[#This Row],[Produto]],PRODUTO[],5,0)</f>
        <v>1.5</v>
      </c>
      <c r="G19" s="12">
        <f t="shared" ref="G19:G27" si="2">F19*E19</f>
        <v>31.5</v>
      </c>
    </row>
    <row r="20" spans="2:7" x14ac:dyDescent="0.3">
      <c r="B20" s="2">
        <v>43832</v>
      </c>
      <c r="C20" s="4" t="s">
        <v>6</v>
      </c>
      <c r="D20" s="3" t="s">
        <v>37</v>
      </c>
      <c r="E20" s="4">
        <v>31</v>
      </c>
      <c r="F20" s="12">
        <f>VLOOKUP(ENTRADAS[[#This Row],[Produto]],PRODUTO[],5,0)</f>
        <v>1</v>
      </c>
      <c r="G20" s="12">
        <f t="shared" si="2"/>
        <v>31</v>
      </c>
    </row>
    <row r="21" spans="2:7" x14ac:dyDescent="0.3">
      <c r="B21" s="2">
        <v>43832</v>
      </c>
      <c r="C21" s="4" t="s">
        <v>7</v>
      </c>
      <c r="D21" s="3" t="s">
        <v>37</v>
      </c>
      <c r="E21" s="4">
        <v>20</v>
      </c>
      <c r="F21" s="12">
        <f>VLOOKUP(ENTRADAS[[#This Row],[Produto]],PRODUTO[],5,0)</f>
        <v>0.5</v>
      </c>
      <c r="G21" s="12">
        <f t="shared" si="2"/>
        <v>10</v>
      </c>
    </row>
    <row r="22" spans="2:7" x14ac:dyDescent="0.3">
      <c r="B22" s="2">
        <v>43832</v>
      </c>
      <c r="C22" s="4" t="s">
        <v>8</v>
      </c>
      <c r="D22" s="3" t="s">
        <v>37</v>
      </c>
      <c r="E22" s="4">
        <v>40</v>
      </c>
      <c r="F22" s="12">
        <f>VLOOKUP(ENTRADAS[[#This Row],[Produto]],PRODUTO[],5,0)</f>
        <v>1.3</v>
      </c>
      <c r="G22" s="12">
        <f t="shared" si="2"/>
        <v>52</v>
      </c>
    </row>
    <row r="23" spans="2:7" x14ac:dyDescent="0.3">
      <c r="B23" s="2">
        <v>43832</v>
      </c>
      <c r="C23" s="4" t="s">
        <v>9</v>
      </c>
      <c r="D23" s="3" t="s">
        <v>37</v>
      </c>
      <c r="E23" s="4">
        <v>11</v>
      </c>
      <c r="F23" s="12">
        <f>VLOOKUP(ENTRADAS[[#This Row],[Produto]],PRODUTO[],5,0)</f>
        <v>10</v>
      </c>
      <c r="G23" s="12">
        <f t="shared" si="2"/>
        <v>110</v>
      </c>
    </row>
    <row r="24" spans="2:7" x14ac:dyDescent="0.3">
      <c r="B24" s="2">
        <v>43832</v>
      </c>
      <c r="C24" s="4" t="s">
        <v>10</v>
      </c>
      <c r="D24" s="3" t="s">
        <v>37</v>
      </c>
      <c r="E24" s="4">
        <v>30</v>
      </c>
      <c r="F24" s="12">
        <f>VLOOKUP(ENTRADAS[[#This Row],[Produto]],PRODUTO[],5,0)</f>
        <v>2</v>
      </c>
      <c r="G24" s="12">
        <f t="shared" si="2"/>
        <v>60</v>
      </c>
    </row>
    <row r="25" spans="2:7" x14ac:dyDescent="0.3">
      <c r="B25" s="2">
        <v>43832</v>
      </c>
      <c r="C25" s="4" t="s">
        <v>11</v>
      </c>
      <c r="D25" s="3" t="s">
        <v>37</v>
      </c>
      <c r="E25" s="4">
        <v>10</v>
      </c>
      <c r="F25" s="12">
        <f>VLOOKUP(ENTRADAS[[#This Row],[Produto]],PRODUTO[],5,0)</f>
        <v>5</v>
      </c>
      <c r="G25" s="12">
        <f t="shared" si="2"/>
        <v>50</v>
      </c>
    </row>
    <row r="26" spans="2:7" x14ac:dyDescent="0.3">
      <c r="B26" s="2">
        <v>43832</v>
      </c>
      <c r="C26" s="4" t="s">
        <v>12</v>
      </c>
      <c r="D26" s="3" t="s">
        <v>37</v>
      </c>
      <c r="E26" s="4">
        <v>20</v>
      </c>
      <c r="F26" s="12">
        <f>VLOOKUP(ENTRADAS[[#This Row],[Produto]],PRODUTO[],5,0)</f>
        <v>2</v>
      </c>
      <c r="G26" s="12">
        <f t="shared" si="2"/>
        <v>40</v>
      </c>
    </row>
    <row r="27" spans="2:7" x14ac:dyDescent="0.3">
      <c r="B27" s="2">
        <v>43832</v>
      </c>
      <c r="C27" s="4" t="s">
        <v>13</v>
      </c>
      <c r="D27" s="3" t="s">
        <v>37</v>
      </c>
      <c r="E27" s="4">
        <v>11</v>
      </c>
      <c r="F27" s="12">
        <f>VLOOKUP(ENTRADAS[[#This Row],[Produto]],PRODUTO[],5,0)</f>
        <v>1</v>
      </c>
      <c r="G27" s="12">
        <f t="shared" si="2"/>
        <v>11</v>
      </c>
    </row>
    <row r="28" spans="2:7" x14ac:dyDescent="0.3">
      <c r="B28" s="2">
        <v>43833</v>
      </c>
      <c r="C28" s="3" t="s">
        <v>4</v>
      </c>
      <c r="D28" s="3" t="s">
        <v>37</v>
      </c>
      <c r="E28" s="4">
        <v>40</v>
      </c>
      <c r="F28" s="12">
        <f>VLOOKUP(ENTRADAS[[#This Row],[Produto]],PRODUTO[],5,0)</f>
        <v>2</v>
      </c>
      <c r="G28" s="12">
        <f t="shared" ref="G28:G37" si="3">F28*E28</f>
        <v>80</v>
      </c>
    </row>
    <row r="29" spans="2:7" x14ac:dyDescent="0.3">
      <c r="B29" s="2">
        <v>43833</v>
      </c>
      <c r="C29" s="4" t="s">
        <v>5</v>
      </c>
      <c r="D29" s="3" t="s">
        <v>37</v>
      </c>
      <c r="E29" s="4">
        <v>14</v>
      </c>
      <c r="F29" s="12">
        <f>VLOOKUP(ENTRADAS[[#This Row],[Produto]],PRODUTO[],5,0)</f>
        <v>1.5</v>
      </c>
      <c r="G29" s="12">
        <f t="shared" si="3"/>
        <v>21</v>
      </c>
    </row>
    <row r="30" spans="2:7" x14ac:dyDescent="0.3">
      <c r="B30" s="2">
        <v>43833</v>
      </c>
      <c r="C30" s="4" t="s">
        <v>6</v>
      </c>
      <c r="D30" s="3" t="s">
        <v>37</v>
      </c>
      <c r="E30" s="4">
        <v>10</v>
      </c>
      <c r="F30" s="12">
        <f>VLOOKUP(ENTRADAS[[#This Row],[Produto]],PRODUTO[],5,0)</f>
        <v>1</v>
      </c>
      <c r="G30" s="12">
        <f t="shared" si="3"/>
        <v>10</v>
      </c>
    </row>
    <row r="31" spans="2:7" x14ac:dyDescent="0.3">
      <c r="B31" s="2">
        <v>43833</v>
      </c>
      <c r="C31" s="4" t="s">
        <v>7</v>
      </c>
      <c r="D31" s="3" t="s">
        <v>37</v>
      </c>
      <c r="E31" s="4">
        <v>11</v>
      </c>
      <c r="F31" s="12">
        <f>VLOOKUP(ENTRADAS[[#This Row],[Produto]],PRODUTO[],5,0)</f>
        <v>0.5</v>
      </c>
      <c r="G31" s="12">
        <f t="shared" si="3"/>
        <v>5.5</v>
      </c>
    </row>
    <row r="32" spans="2:7" x14ac:dyDescent="0.3">
      <c r="B32" s="2">
        <v>43833</v>
      </c>
      <c r="C32" s="4" t="s">
        <v>8</v>
      </c>
      <c r="D32" s="3" t="s">
        <v>37</v>
      </c>
      <c r="E32" s="4">
        <v>8</v>
      </c>
      <c r="F32" s="12">
        <f>VLOOKUP(ENTRADAS[[#This Row],[Produto]],PRODUTO[],5,0)</f>
        <v>1.3</v>
      </c>
      <c r="G32" s="12">
        <f t="shared" si="3"/>
        <v>10.4</v>
      </c>
    </row>
    <row r="33" spans="2:7" x14ac:dyDescent="0.3">
      <c r="B33" s="2">
        <v>43833</v>
      </c>
      <c r="C33" s="4" t="s">
        <v>9</v>
      </c>
      <c r="D33" s="3" t="s">
        <v>37</v>
      </c>
      <c r="E33" s="4">
        <v>7</v>
      </c>
      <c r="F33" s="12">
        <f>VLOOKUP(ENTRADAS[[#This Row],[Produto]],PRODUTO[],5,0)</f>
        <v>10</v>
      </c>
      <c r="G33" s="12">
        <f t="shared" si="3"/>
        <v>70</v>
      </c>
    </row>
    <row r="34" spans="2:7" x14ac:dyDescent="0.3">
      <c r="B34" s="2">
        <v>43833</v>
      </c>
      <c r="C34" s="4" t="s">
        <v>10</v>
      </c>
      <c r="D34" s="3" t="s">
        <v>37</v>
      </c>
      <c r="E34" s="4">
        <v>10</v>
      </c>
      <c r="F34" s="12">
        <f>VLOOKUP(ENTRADAS[[#This Row],[Produto]],PRODUTO[],5,0)</f>
        <v>2</v>
      </c>
      <c r="G34" s="12">
        <f t="shared" si="3"/>
        <v>20</v>
      </c>
    </row>
    <row r="35" spans="2:7" x14ac:dyDescent="0.3">
      <c r="B35" s="2">
        <v>43833</v>
      </c>
      <c r="C35" s="4" t="s">
        <v>11</v>
      </c>
      <c r="D35" s="3" t="s">
        <v>37</v>
      </c>
      <c r="E35" s="4">
        <v>15</v>
      </c>
      <c r="F35" s="12">
        <f>VLOOKUP(ENTRADAS[[#This Row],[Produto]],PRODUTO[],5,0)</f>
        <v>5</v>
      </c>
      <c r="G35" s="12">
        <f t="shared" si="3"/>
        <v>75</v>
      </c>
    </row>
    <row r="36" spans="2:7" x14ac:dyDescent="0.3">
      <c r="B36" s="2">
        <v>43833</v>
      </c>
      <c r="C36" s="4" t="s">
        <v>12</v>
      </c>
      <c r="D36" s="3" t="s">
        <v>37</v>
      </c>
      <c r="E36" s="4">
        <v>16</v>
      </c>
      <c r="F36" s="12">
        <f>VLOOKUP(ENTRADAS[[#This Row],[Produto]],PRODUTO[],5,0)</f>
        <v>2</v>
      </c>
      <c r="G36" s="12">
        <f t="shared" si="3"/>
        <v>32</v>
      </c>
    </row>
    <row r="37" spans="2:7" x14ac:dyDescent="0.3">
      <c r="B37" s="2">
        <v>43833</v>
      </c>
      <c r="C37" s="4" t="s">
        <v>13</v>
      </c>
      <c r="D37" s="3" t="s">
        <v>37</v>
      </c>
      <c r="E37" s="4">
        <v>17</v>
      </c>
      <c r="F37" s="12">
        <f>VLOOKUP(ENTRADAS[[#This Row],[Produto]],PRODUTO[],5,0)</f>
        <v>1</v>
      </c>
      <c r="G37" s="12">
        <f t="shared" si="3"/>
        <v>17</v>
      </c>
    </row>
    <row r="38" spans="2:7" x14ac:dyDescent="0.3">
      <c r="B38" s="33">
        <v>43862</v>
      </c>
      <c r="C38" s="3" t="s">
        <v>4</v>
      </c>
      <c r="D38" s="3" t="s">
        <v>37</v>
      </c>
      <c r="E38" s="4">
        <v>40</v>
      </c>
      <c r="F38" s="12">
        <f>VLOOKUP(ENTRADAS[[#This Row],[Produto]],PRODUTO[],5,0)</f>
        <v>2</v>
      </c>
      <c r="G38" s="12">
        <f>F38*E38</f>
        <v>80</v>
      </c>
    </row>
    <row r="39" spans="2:7" x14ac:dyDescent="0.3">
      <c r="B39" s="33">
        <v>43862</v>
      </c>
      <c r="C39" s="4" t="s">
        <v>5</v>
      </c>
      <c r="D39" s="3" t="s">
        <v>37</v>
      </c>
      <c r="E39" s="4">
        <v>30</v>
      </c>
      <c r="F39" s="12">
        <f>VLOOKUP(ENTRADAS[[#This Row],[Produto]],PRODUTO[],5,0)</f>
        <v>1.5</v>
      </c>
      <c r="G39" s="12">
        <f t="shared" ref="G39:G47" si="4">F39*E39</f>
        <v>45</v>
      </c>
    </row>
    <row r="40" spans="2:7" x14ac:dyDescent="0.3">
      <c r="B40" s="33">
        <v>43862</v>
      </c>
      <c r="C40" s="4" t="s">
        <v>6</v>
      </c>
      <c r="D40" s="3" t="s">
        <v>37</v>
      </c>
      <c r="E40" s="4">
        <v>10</v>
      </c>
      <c r="F40" s="12">
        <f>VLOOKUP(ENTRADAS[[#This Row],[Produto]],PRODUTO[],5,0)</f>
        <v>1</v>
      </c>
      <c r="G40" s="12">
        <f t="shared" si="4"/>
        <v>10</v>
      </c>
    </row>
    <row r="41" spans="2:7" x14ac:dyDescent="0.3">
      <c r="B41" s="33">
        <v>43862</v>
      </c>
      <c r="C41" s="4" t="s">
        <v>7</v>
      </c>
      <c r="D41" s="3" t="s">
        <v>37</v>
      </c>
      <c r="E41" s="4">
        <v>20</v>
      </c>
      <c r="F41" s="12">
        <f>VLOOKUP(ENTRADAS[[#This Row],[Produto]],PRODUTO[],5,0)</f>
        <v>0.5</v>
      </c>
      <c r="G41" s="12">
        <f t="shared" si="4"/>
        <v>10</v>
      </c>
    </row>
    <row r="42" spans="2:7" x14ac:dyDescent="0.3">
      <c r="B42" s="33">
        <v>43862</v>
      </c>
      <c r="C42" s="4" t="s">
        <v>8</v>
      </c>
      <c r="D42" s="3" t="s">
        <v>37</v>
      </c>
      <c r="E42" s="4">
        <v>50</v>
      </c>
      <c r="F42" s="12">
        <f>VLOOKUP(ENTRADAS[[#This Row],[Produto]],PRODUTO[],5,0)</f>
        <v>1.3</v>
      </c>
      <c r="G42" s="12">
        <f t="shared" si="4"/>
        <v>65</v>
      </c>
    </row>
    <row r="43" spans="2:7" x14ac:dyDescent="0.3">
      <c r="B43" s="33">
        <v>43862</v>
      </c>
      <c r="C43" s="4" t="s">
        <v>9</v>
      </c>
      <c r="D43" s="3" t="s">
        <v>37</v>
      </c>
      <c r="E43" s="4">
        <v>30</v>
      </c>
      <c r="F43" s="12">
        <f>VLOOKUP(ENTRADAS[[#This Row],[Produto]],PRODUTO[],5,0)</f>
        <v>10</v>
      </c>
      <c r="G43" s="12">
        <f t="shared" si="4"/>
        <v>300</v>
      </c>
    </row>
    <row r="44" spans="2:7" x14ac:dyDescent="0.3">
      <c r="B44" s="33">
        <v>43862</v>
      </c>
      <c r="C44" s="4" t="s">
        <v>10</v>
      </c>
      <c r="D44" s="3" t="s">
        <v>37</v>
      </c>
      <c r="E44" s="4">
        <v>50</v>
      </c>
      <c r="F44" s="12">
        <f>VLOOKUP(ENTRADAS[[#This Row],[Produto]],PRODUTO[],5,0)</f>
        <v>2</v>
      </c>
      <c r="G44" s="12">
        <f t="shared" si="4"/>
        <v>100</v>
      </c>
    </row>
    <row r="45" spans="2:7" x14ac:dyDescent="0.3">
      <c r="B45" s="33">
        <v>43862</v>
      </c>
      <c r="C45" s="4" t="s">
        <v>11</v>
      </c>
      <c r="D45" s="3" t="s">
        <v>37</v>
      </c>
      <c r="E45" s="4">
        <v>10</v>
      </c>
      <c r="F45" s="12">
        <f>VLOOKUP(ENTRADAS[[#This Row],[Produto]],PRODUTO[],5,0)</f>
        <v>5</v>
      </c>
      <c r="G45" s="12">
        <f t="shared" si="4"/>
        <v>50</v>
      </c>
    </row>
    <row r="46" spans="2:7" x14ac:dyDescent="0.3">
      <c r="B46" s="33">
        <v>43862</v>
      </c>
      <c r="C46" s="4" t="s">
        <v>12</v>
      </c>
      <c r="D46" s="3" t="s">
        <v>37</v>
      </c>
      <c r="E46" s="4">
        <v>80</v>
      </c>
      <c r="F46" s="12">
        <f>VLOOKUP(ENTRADAS[[#This Row],[Produto]],PRODUTO[],5,0)</f>
        <v>2</v>
      </c>
      <c r="G46" s="12">
        <f t="shared" si="4"/>
        <v>160</v>
      </c>
    </row>
    <row r="47" spans="2:7" x14ac:dyDescent="0.3">
      <c r="B47" s="33">
        <v>43862</v>
      </c>
      <c r="C47" s="4" t="s">
        <v>13</v>
      </c>
      <c r="D47" s="3" t="s">
        <v>37</v>
      </c>
      <c r="E47" s="4">
        <v>10</v>
      </c>
      <c r="F47" s="12">
        <f>VLOOKUP(ENTRADAS[[#This Row],[Produto]],PRODUTO[],5,0)</f>
        <v>1</v>
      </c>
      <c r="G47" s="12">
        <f t="shared" si="4"/>
        <v>10</v>
      </c>
    </row>
    <row r="48" spans="2:7" x14ac:dyDescent="0.3">
      <c r="B48" s="33">
        <v>43900</v>
      </c>
      <c r="C48" s="3" t="s">
        <v>4</v>
      </c>
      <c r="D48" s="3" t="s">
        <v>37</v>
      </c>
      <c r="E48" s="4">
        <v>20</v>
      </c>
      <c r="F48" s="12">
        <f>VLOOKUP(ENTRADAS[[#This Row],[Produto]],PRODUTO[],5,0)</f>
        <v>2</v>
      </c>
      <c r="G48" s="12">
        <f>F48*E48</f>
        <v>40</v>
      </c>
    </row>
    <row r="49" spans="2:7" x14ac:dyDescent="0.3">
      <c r="B49" s="33">
        <v>43900</v>
      </c>
      <c r="C49" s="4" t="s">
        <v>5</v>
      </c>
      <c r="D49" s="3" t="s">
        <v>37</v>
      </c>
      <c r="E49" s="4">
        <v>30</v>
      </c>
      <c r="F49" s="12">
        <f>VLOOKUP(ENTRADAS[[#This Row],[Produto]],PRODUTO[],5,0)</f>
        <v>1.5</v>
      </c>
      <c r="G49" s="12">
        <f t="shared" ref="G49:G57" si="5">F49*E49</f>
        <v>45</v>
      </c>
    </row>
    <row r="50" spans="2:7" x14ac:dyDescent="0.3">
      <c r="B50" s="33">
        <v>43900</v>
      </c>
      <c r="C50" s="4" t="s">
        <v>6</v>
      </c>
      <c r="D50" s="3" t="s">
        <v>37</v>
      </c>
      <c r="E50" s="4">
        <v>10</v>
      </c>
      <c r="F50" s="12">
        <f>VLOOKUP(ENTRADAS[[#This Row],[Produto]],PRODUTO[],5,0)</f>
        <v>1</v>
      </c>
      <c r="G50" s="12">
        <f t="shared" si="5"/>
        <v>10</v>
      </c>
    </row>
    <row r="51" spans="2:7" x14ac:dyDescent="0.3">
      <c r="B51" s="33">
        <v>43900</v>
      </c>
      <c r="C51" s="4" t="s">
        <v>7</v>
      </c>
      <c r="D51" s="3" t="s">
        <v>37</v>
      </c>
      <c r="E51" s="4">
        <v>11</v>
      </c>
      <c r="F51" s="12">
        <f>VLOOKUP(ENTRADAS[[#This Row],[Produto]],PRODUTO[],5,0)</f>
        <v>0.5</v>
      </c>
      <c r="G51" s="12">
        <f t="shared" si="5"/>
        <v>5.5</v>
      </c>
    </row>
    <row r="52" spans="2:7" x14ac:dyDescent="0.3">
      <c r="B52" s="33">
        <v>43900</v>
      </c>
      <c r="C52" s="4" t="s">
        <v>8</v>
      </c>
      <c r="D52" s="3" t="s">
        <v>37</v>
      </c>
      <c r="E52" s="4">
        <v>20</v>
      </c>
      <c r="F52" s="12">
        <f>VLOOKUP(ENTRADAS[[#This Row],[Produto]],PRODUTO[],5,0)</f>
        <v>1.3</v>
      </c>
      <c r="G52" s="12">
        <f t="shared" si="5"/>
        <v>26</v>
      </c>
    </row>
    <row r="53" spans="2:7" x14ac:dyDescent="0.3">
      <c r="B53" s="33">
        <v>43900</v>
      </c>
      <c r="C53" s="4" t="s">
        <v>9</v>
      </c>
      <c r="D53" s="3" t="s">
        <v>37</v>
      </c>
      <c r="E53" s="4">
        <v>40</v>
      </c>
      <c r="F53" s="12">
        <f>VLOOKUP(ENTRADAS[[#This Row],[Produto]],PRODUTO[],5,0)</f>
        <v>10</v>
      </c>
      <c r="G53" s="12">
        <f t="shared" si="5"/>
        <v>400</v>
      </c>
    </row>
    <row r="54" spans="2:7" x14ac:dyDescent="0.3">
      <c r="B54" s="33">
        <v>43900</v>
      </c>
      <c r="C54" s="4" t="s">
        <v>10</v>
      </c>
      <c r="D54" s="3" t="s">
        <v>37</v>
      </c>
      <c r="E54" s="4">
        <v>10</v>
      </c>
      <c r="F54" s="12">
        <f>VLOOKUP(ENTRADAS[[#This Row],[Produto]],PRODUTO[],5,0)</f>
        <v>2</v>
      </c>
      <c r="G54" s="12">
        <f t="shared" si="5"/>
        <v>20</v>
      </c>
    </row>
    <row r="55" spans="2:7" x14ac:dyDescent="0.3">
      <c r="B55" s="33">
        <v>43900</v>
      </c>
      <c r="C55" s="4" t="s">
        <v>11</v>
      </c>
      <c r="D55" s="3" t="s">
        <v>37</v>
      </c>
      <c r="E55" s="4">
        <v>50</v>
      </c>
      <c r="F55" s="12">
        <f>VLOOKUP(ENTRADAS[[#This Row],[Produto]],PRODUTO[],5,0)</f>
        <v>5</v>
      </c>
      <c r="G55" s="12">
        <f t="shared" si="5"/>
        <v>250</v>
      </c>
    </row>
    <row r="56" spans="2:7" x14ac:dyDescent="0.3">
      <c r="B56" s="33">
        <v>43900</v>
      </c>
      <c r="C56" s="4" t="s">
        <v>12</v>
      </c>
      <c r="D56" s="3" t="s">
        <v>37</v>
      </c>
      <c r="E56" s="4">
        <v>12</v>
      </c>
      <c r="F56" s="12">
        <f>VLOOKUP(ENTRADAS[[#This Row],[Produto]],PRODUTO[],5,0)</f>
        <v>2</v>
      </c>
      <c r="G56" s="12">
        <f t="shared" si="5"/>
        <v>24</v>
      </c>
    </row>
    <row r="57" spans="2:7" x14ac:dyDescent="0.3">
      <c r="B57" s="33">
        <v>43900</v>
      </c>
      <c r="C57" s="4" t="s">
        <v>13</v>
      </c>
      <c r="D57" s="3" t="s">
        <v>37</v>
      </c>
      <c r="E57" s="4">
        <v>11</v>
      </c>
      <c r="F57" s="12">
        <f>VLOOKUP(ENTRADAS[[#This Row],[Produto]],PRODUTO[],5,0)</f>
        <v>1</v>
      </c>
      <c r="G57" s="12">
        <f t="shared" si="5"/>
        <v>11</v>
      </c>
    </row>
  </sheetData>
  <dataValidations count="3">
    <dataValidation type="list" allowBlank="1" showInputMessage="1" showErrorMessage="1" sqref="C7:C57" xr:uid="{3170E422-9DCA-42E8-8EFC-A1829C5D5BDA}">
      <formula1>LISTA_PRODUTOS</formula1>
    </dataValidation>
    <dataValidation allowBlank="1" showInputMessage="1" showErrorMessage="1" promptTitle="Escolher Produto" prompt="Selecione na lista o produto a ser vendido, não é necessário digitar." sqref="C6" xr:uid="{AF2C2212-C8C9-4C59-8152-A344806812BB}"/>
    <dataValidation type="list" allowBlank="1" showInputMessage="1" showErrorMessage="1" sqref="D7:D57" xr:uid="{124D623E-28B4-488D-AB9D-E945EC14171E}">
      <formula1>LISTA_FORNECEDORES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3E313-8372-4755-8C96-6A9E20C91E30}">
  <sheetPr codeName="Planilha8"/>
  <dimension ref="B1:P76"/>
  <sheetViews>
    <sheetView showGridLines="0" zoomScaleNormal="100" workbookViewId="0">
      <pane ySplit="6" topLeftCell="A7" activePane="bottomLeft" state="frozen"/>
      <selection pane="bottomLeft" activeCell="D5" sqref="D5"/>
    </sheetView>
  </sheetViews>
  <sheetFormatPr defaultRowHeight="14.4" x14ac:dyDescent="0.3"/>
  <cols>
    <col min="1" max="1" width="2.88671875" customWidth="1"/>
    <col min="2" max="2" width="17.6640625" customWidth="1"/>
    <col min="3" max="3" width="24.44140625" customWidth="1"/>
    <col min="4" max="4" width="23.88671875" customWidth="1"/>
    <col min="5" max="5" width="18" customWidth="1"/>
    <col min="6" max="6" width="19.109375" customWidth="1"/>
    <col min="7" max="9" width="16.88671875" customWidth="1"/>
    <col min="10" max="10" width="16.109375" customWidth="1"/>
    <col min="11" max="11" width="15" customWidth="1"/>
    <col min="12" max="12" width="12.44140625" bestFit="1" customWidth="1"/>
    <col min="13" max="13" width="12.5546875" bestFit="1" customWidth="1"/>
    <col min="15" max="15" width="12.44140625" bestFit="1" customWidth="1"/>
  </cols>
  <sheetData>
    <row r="1" spans="2:16" s="52" customFormat="1" ht="39.75" customHeight="1" x14ac:dyDescent="0.3">
      <c r="C1" s="53" t="s">
        <v>58</v>
      </c>
    </row>
    <row r="2" spans="2:16" s="54" customFormat="1" ht="3.75" customHeight="1" x14ac:dyDescent="0.3"/>
    <row r="5" spans="2:16" ht="18" x14ac:dyDescent="0.35">
      <c r="B5" s="9"/>
      <c r="C5" s="8"/>
      <c r="D5" s="8"/>
      <c r="E5" s="8"/>
      <c r="F5" s="8"/>
      <c r="G5" s="8"/>
      <c r="H5" s="7"/>
      <c r="I5" s="8"/>
    </row>
    <row r="6" spans="2:16" ht="35.25" customHeight="1" x14ac:dyDescent="0.3">
      <c r="B6" s="5" t="s">
        <v>52</v>
      </c>
      <c r="C6" s="5" t="s">
        <v>35</v>
      </c>
      <c r="D6" s="5" t="s">
        <v>38</v>
      </c>
      <c r="E6" s="5" t="s">
        <v>2</v>
      </c>
      <c r="F6" s="5" t="s">
        <v>40</v>
      </c>
      <c r="G6" s="5" t="s">
        <v>41</v>
      </c>
      <c r="H6" s="5" t="s">
        <v>45</v>
      </c>
      <c r="I6" s="6" t="s">
        <v>119</v>
      </c>
      <c r="J6" s="6" t="s">
        <v>42</v>
      </c>
      <c r="K6" s="6" t="s">
        <v>43</v>
      </c>
    </row>
    <row r="7" spans="2:16" x14ac:dyDescent="0.3">
      <c r="B7" s="2">
        <v>43831</v>
      </c>
      <c r="C7" s="3" t="s">
        <v>4</v>
      </c>
      <c r="D7" s="3" t="s">
        <v>39</v>
      </c>
      <c r="E7" s="3">
        <v>51</v>
      </c>
      <c r="F7" s="20"/>
      <c r="G7" s="22"/>
      <c r="H7" s="14">
        <f>SAÍDAS[[#This Row],[Quantidade]]-SAÍDAS[[#This Row],[Quantidade Devolvida]]</f>
        <v>51</v>
      </c>
      <c r="I7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-1</v>
      </c>
      <c r="J7" s="10">
        <f>VLOOKUP(SAÍDAS[[#This Row],[Produto]],PRODUTO[],6,0)</f>
        <v>4.5</v>
      </c>
      <c r="K7" s="10">
        <f>SAÍDAS[[#This Row],[Quantidade Vendida]]*SAÍDAS[[#This Row],[Preço Unitário]]</f>
        <v>229.5</v>
      </c>
      <c r="P7" s="25"/>
    </row>
    <row r="8" spans="2:16" x14ac:dyDescent="0.3">
      <c r="B8" s="2">
        <v>43831</v>
      </c>
      <c r="C8" s="4" t="s">
        <v>5</v>
      </c>
      <c r="D8" s="3" t="s">
        <v>39</v>
      </c>
      <c r="E8" s="3">
        <v>20</v>
      </c>
      <c r="F8" s="20">
        <v>2</v>
      </c>
      <c r="G8" s="23">
        <v>43834</v>
      </c>
      <c r="H8" s="13">
        <f>SAÍDAS[[#This Row],[Quantidade]]-SAÍDAS[[#This Row],[Quantidade Devolvida]]</f>
        <v>18</v>
      </c>
      <c r="I8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32</v>
      </c>
      <c r="J8" s="10">
        <f>VLOOKUP(SAÍDAS[[#This Row],[Produto]],PRODUTO[],6,0)</f>
        <v>2.8</v>
      </c>
      <c r="K8" s="10">
        <f>SAÍDAS[[#This Row],[Quantidade Vendida]]*SAÍDAS[[#This Row],[Preço Unitário]]</f>
        <v>50.4</v>
      </c>
      <c r="P8" s="25"/>
    </row>
    <row r="9" spans="2:16" x14ac:dyDescent="0.3">
      <c r="B9" s="2">
        <v>43831</v>
      </c>
      <c r="C9" s="4" t="s">
        <v>6</v>
      </c>
      <c r="D9" s="3" t="s">
        <v>39</v>
      </c>
      <c r="E9" s="3">
        <v>11</v>
      </c>
      <c r="F9" s="20">
        <v>1</v>
      </c>
      <c r="G9" s="23">
        <v>43835</v>
      </c>
      <c r="H9" s="13">
        <f>SAÍDAS[[#This Row],[Quantidade]]-SAÍDAS[[#This Row],[Quantidade Devolvida]]</f>
        <v>10</v>
      </c>
      <c r="I9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20</v>
      </c>
      <c r="J9" s="10">
        <f>VLOOKUP(SAÍDAS[[#This Row],[Produto]],PRODUTO[],6,0)</f>
        <v>3.5</v>
      </c>
      <c r="K9" s="10">
        <f>SAÍDAS[[#This Row],[Quantidade Vendida]]*SAÍDAS[[#This Row],[Preço Unitário]]</f>
        <v>35</v>
      </c>
      <c r="P9" s="25"/>
    </row>
    <row r="10" spans="2:16" x14ac:dyDescent="0.3">
      <c r="B10" s="2">
        <v>43831</v>
      </c>
      <c r="C10" s="4" t="s">
        <v>7</v>
      </c>
      <c r="D10" s="3" t="s">
        <v>39</v>
      </c>
      <c r="E10" s="3">
        <v>21</v>
      </c>
      <c r="F10" s="20">
        <v>1</v>
      </c>
      <c r="G10" s="23">
        <v>43836</v>
      </c>
      <c r="H10" s="13">
        <f>SAÍDAS[[#This Row],[Quantidade]]-SAÍDAS[[#This Row],[Quantidade Devolvida]]</f>
        <v>20</v>
      </c>
      <c r="I10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100</v>
      </c>
      <c r="J10" s="10">
        <f>VLOOKUP(SAÍDAS[[#This Row],[Produto]],PRODUTO[],6,0)</f>
        <v>2.1</v>
      </c>
      <c r="K10" s="10">
        <f>SAÍDAS[[#This Row],[Quantidade Vendida]]*SAÍDAS[[#This Row],[Preço Unitário]]</f>
        <v>42</v>
      </c>
      <c r="P10" s="25"/>
    </row>
    <row r="11" spans="2:16" x14ac:dyDescent="0.3">
      <c r="B11" s="2">
        <v>43831</v>
      </c>
      <c r="C11" s="4" t="s">
        <v>8</v>
      </c>
      <c r="D11" s="3" t="s">
        <v>39</v>
      </c>
      <c r="E11" s="3">
        <v>30</v>
      </c>
      <c r="F11" s="20">
        <v>2</v>
      </c>
      <c r="G11" s="23">
        <v>43837</v>
      </c>
      <c r="H11" s="13">
        <f>SAÍDAS[[#This Row],[Quantidade]]-SAÍDAS[[#This Row],[Quantidade Devolvida]]</f>
        <v>28</v>
      </c>
      <c r="I11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12</v>
      </c>
      <c r="J11" s="10">
        <f>VLOOKUP(SAÍDAS[[#This Row],[Produto]],PRODUTO[],6,0)</f>
        <v>4.5999999999999996</v>
      </c>
      <c r="K11" s="10">
        <f>SAÍDAS[[#This Row],[Quantidade Vendida]]*SAÍDAS[[#This Row],[Preço Unitário]]</f>
        <v>128.79999999999998</v>
      </c>
      <c r="P11" s="25"/>
    </row>
    <row r="12" spans="2:16" x14ac:dyDescent="0.3">
      <c r="B12" s="2">
        <v>43831</v>
      </c>
      <c r="C12" s="4" t="s">
        <v>9</v>
      </c>
      <c r="D12" s="3" t="s">
        <v>39</v>
      </c>
      <c r="E12" s="3">
        <v>12</v>
      </c>
      <c r="F12" s="20">
        <v>1</v>
      </c>
      <c r="G12" s="23">
        <v>43837</v>
      </c>
      <c r="H12" s="13">
        <f>SAÍDAS[[#This Row],[Quantidade]]-SAÍDAS[[#This Row],[Quantidade Devolvida]]</f>
        <v>11</v>
      </c>
      <c r="I12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24</v>
      </c>
      <c r="J12" s="10">
        <f>VLOOKUP(SAÍDAS[[#This Row],[Produto]],PRODUTO[],6,0)</f>
        <v>25</v>
      </c>
      <c r="K12" s="10">
        <f>SAÍDAS[[#This Row],[Quantidade Vendida]]*SAÍDAS[[#This Row],[Preço Unitário]]</f>
        <v>275</v>
      </c>
      <c r="P12" s="25"/>
    </row>
    <row r="13" spans="2:16" x14ac:dyDescent="0.3">
      <c r="B13" s="2">
        <v>43831</v>
      </c>
      <c r="C13" s="4" t="s">
        <v>10</v>
      </c>
      <c r="D13" s="3" t="s">
        <v>39</v>
      </c>
      <c r="E13" s="4">
        <v>11</v>
      </c>
      <c r="F13" s="21"/>
      <c r="G13" s="24"/>
      <c r="H13" s="19">
        <f>SAÍDAS[[#This Row],[Quantidade]]-SAÍDAS[[#This Row],[Quantidade Devolvida]]</f>
        <v>11</v>
      </c>
      <c r="I13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9</v>
      </c>
      <c r="J13" s="10">
        <f>VLOOKUP(SAÍDAS[[#This Row],[Produto]],PRODUTO[],6,0)</f>
        <v>3.5</v>
      </c>
      <c r="K13" s="10">
        <f>SAÍDAS[[#This Row],[Quantidade Vendida]]*SAÍDAS[[#This Row],[Preço Unitário]]</f>
        <v>38.5</v>
      </c>
      <c r="P13" s="25"/>
    </row>
    <row r="14" spans="2:16" x14ac:dyDescent="0.3">
      <c r="B14" s="2">
        <v>43831</v>
      </c>
      <c r="C14" s="4" t="s">
        <v>11</v>
      </c>
      <c r="D14" s="3" t="s">
        <v>39</v>
      </c>
      <c r="E14" s="4">
        <v>10</v>
      </c>
      <c r="F14" s="21"/>
      <c r="G14" s="24"/>
      <c r="H14" s="19">
        <f>SAÍDAS[[#This Row],[Quantidade]]-SAÍDAS[[#This Row],[Quantidade Devolvida]]</f>
        <v>10</v>
      </c>
      <c r="I14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5</v>
      </c>
      <c r="J14" s="10">
        <f>VLOOKUP(SAÍDAS[[#This Row],[Produto]],PRODUTO[],6,0)</f>
        <v>11</v>
      </c>
      <c r="K14" s="10">
        <f>SAÍDAS[[#This Row],[Quantidade Vendida]]*SAÍDAS[[#This Row],[Preço Unitário]]</f>
        <v>110</v>
      </c>
      <c r="P14" s="25"/>
    </row>
    <row r="15" spans="2:16" x14ac:dyDescent="0.3">
      <c r="B15" s="2">
        <v>43831</v>
      </c>
      <c r="C15" s="4" t="s">
        <v>12</v>
      </c>
      <c r="D15" s="3" t="s">
        <v>39</v>
      </c>
      <c r="E15" s="4">
        <v>10</v>
      </c>
      <c r="F15" s="21"/>
      <c r="G15" s="24"/>
      <c r="H15" s="19">
        <f>SAÍDAS[[#This Row],[Quantidade]]-SAÍDAS[[#This Row],[Quantidade Devolvida]]</f>
        <v>10</v>
      </c>
      <c r="I15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10</v>
      </c>
      <c r="J15" s="10">
        <f>VLOOKUP(SAÍDAS[[#This Row],[Produto]],PRODUTO[],6,0)</f>
        <v>5</v>
      </c>
      <c r="K15" s="10">
        <f>SAÍDAS[[#This Row],[Quantidade Vendida]]*SAÍDAS[[#This Row],[Preço Unitário]]</f>
        <v>50</v>
      </c>
      <c r="P15" s="25"/>
    </row>
    <row r="16" spans="2:16" x14ac:dyDescent="0.3">
      <c r="B16" s="2">
        <v>43831</v>
      </c>
      <c r="C16" s="4" t="s">
        <v>13</v>
      </c>
      <c r="D16" s="3" t="s">
        <v>39</v>
      </c>
      <c r="E16" s="4">
        <v>5</v>
      </c>
      <c r="F16" s="21"/>
      <c r="G16" s="24"/>
      <c r="H16" s="19">
        <f>SAÍDAS[[#This Row],[Quantidade]]-SAÍDAS[[#This Row],[Quantidade Devolvida]]</f>
        <v>5</v>
      </c>
      <c r="I16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25</v>
      </c>
      <c r="J16" s="10">
        <f>VLOOKUP(SAÍDAS[[#This Row],[Produto]],PRODUTO[],6,0)</f>
        <v>3.4</v>
      </c>
      <c r="K16" s="10">
        <f>SAÍDAS[[#This Row],[Quantidade Vendida]]*SAÍDAS[[#This Row],[Preço Unitário]]</f>
        <v>17</v>
      </c>
    </row>
    <row r="17" spans="2:11" x14ac:dyDescent="0.3">
      <c r="B17" s="2">
        <v>43832</v>
      </c>
      <c r="C17" s="3" t="s">
        <v>4</v>
      </c>
      <c r="D17" s="3" t="s">
        <v>39</v>
      </c>
      <c r="E17" s="4">
        <v>11</v>
      </c>
      <c r="F17" s="21"/>
      <c r="G17" s="24"/>
      <c r="H17" s="19">
        <f>SAÍDAS[[#This Row],[Quantidade]]-SAÍDAS[[#This Row],[Quantidade Devolvida]]</f>
        <v>11</v>
      </c>
      <c r="I17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-1</v>
      </c>
      <c r="J17" s="10">
        <f>VLOOKUP(SAÍDAS[[#This Row],[Produto]],PRODUTO[],6,0)</f>
        <v>4.5</v>
      </c>
      <c r="K17" s="10">
        <f>SAÍDAS[[#This Row],[Quantidade Vendida]]*SAÍDAS[[#This Row],[Preço Unitário]]</f>
        <v>49.5</v>
      </c>
    </row>
    <row r="18" spans="2:11" x14ac:dyDescent="0.3">
      <c r="B18" s="2">
        <v>43832</v>
      </c>
      <c r="C18" s="4" t="s">
        <v>5</v>
      </c>
      <c r="D18" s="3" t="s">
        <v>39</v>
      </c>
      <c r="E18" s="4">
        <v>22</v>
      </c>
      <c r="F18" s="21"/>
      <c r="G18" s="24"/>
      <c r="H18" s="19">
        <f>SAÍDAS[[#This Row],[Quantidade]]-SAÍDAS[[#This Row],[Quantidade Devolvida]]</f>
        <v>22</v>
      </c>
      <c r="I18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31</v>
      </c>
      <c r="J18" s="10">
        <f>VLOOKUP(SAÍDAS[[#This Row],[Produto]],PRODUTO[],6,0)</f>
        <v>2.8</v>
      </c>
      <c r="K18" s="10">
        <f>SAÍDAS[[#This Row],[Quantidade Vendida]]*SAÍDAS[[#This Row],[Preço Unitário]]</f>
        <v>61.599999999999994</v>
      </c>
    </row>
    <row r="19" spans="2:11" x14ac:dyDescent="0.3">
      <c r="B19" s="2">
        <v>43832</v>
      </c>
      <c r="C19" s="4" t="s">
        <v>6</v>
      </c>
      <c r="D19" s="3" t="s">
        <v>39</v>
      </c>
      <c r="E19" s="4">
        <v>1</v>
      </c>
      <c r="F19" s="21"/>
      <c r="G19" s="24"/>
      <c r="H19" s="19">
        <f>SAÍDAS[[#This Row],[Quantidade]]-SAÍDAS[[#This Row],[Quantidade Devolvida]]</f>
        <v>1</v>
      </c>
      <c r="I19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50</v>
      </c>
      <c r="J19" s="10">
        <f>VLOOKUP(SAÍDAS[[#This Row],[Produto]],PRODUTO[],6,0)</f>
        <v>3.5</v>
      </c>
      <c r="K19" s="10">
        <f>SAÍDAS[[#This Row],[Quantidade Vendida]]*SAÍDAS[[#This Row],[Preço Unitário]]</f>
        <v>3.5</v>
      </c>
    </row>
    <row r="20" spans="2:11" x14ac:dyDescent="0.3">
      <c r="B20" s="2">
        <v>43832</v>
      </c>
      <c r="C20" s="4" t="s">
        <v>7</v>
      </c>
      <c r="D20" s="3" t="s">
        <v>39</v>
      </c>
      <c r="E20" s="4">
        <v>10</v>
      </c>
      <c r="F20" s="21"/>
      <c r="G20" s="24"/>
      <c r="H20" s="19">
        <f>SAÍDAS[[#This Row],[Quantidade]]-SAÍDAS[[#This Row],[Quantidade Devolvida]]</f>
        <v>10</v>
      </c>
      <c r="I20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110</v>
      </c>
      <c r="J20" s="10">
        <f>VLOOKUP(SAÍDAS[[#This Row],[Produto]],PRODUTO[],6,0)</f>
        <v>2.1</v>
      </c>
      <c r="K20" s="10">
        <f>SAÍDAS[[#This Row],[Quantidade Vendida]]*SAÍDAS[[#This Row],[Preço Unitário]]</f>
        <v>21</v>
      </c>
    </row>
    <row r="21" spans="2:11" x14ac:dyDescent="0.3">
      <c r="B21" s="2">
        <v>43832</v>
      </c>
      <c r="C21" s="4" t="s">
        <v>8</v>
      </c>
      <c r="D21" s="3" t="s">
        <v>39</v>
      </c>
      <c r="E21" s="4">
        <v>1</v>
      </c>
      <c r="F21" s="21"/>
      <c r="G21" s="24"/>
      <c r="H21" s="19">
        <f>SAÍDAS[[#This Row],[Quantidade]]-SAÍDAS[[#This Row],[Quantidade Devolvida]]</f>
        <v>1</v>
      </c>
      <c r="I21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51</v>
      </c>
      <c r="J21" s="10">
        <f>VLOOKUP(SAÍDAS[[#This Row],[Produto]],PRODUTO[],6,0)</f>
        <v>4.5999999999999996</v>
      </c>
      <c r="K21" s="10">
        <f>SAÍDAS[[#This Row],[Quantidade Vendida]]*SAÍDAS[[#This Row],[Preço Unitário]]</f>
        <v>4.5999999999999996</v>
      </c>
    </row>
    <row r="22" spans="2:11" x14ac:dyDescent="0.3">
      <c r="B22" s="2">
        <v>43832</v>
      </c>
      <c r="C22" s="4" t="s">
        <v>9</v>
      </c>
      <c r="D22" s="3" t="s">
        <v>39</v>
      </c>
      <c r="E22" s="4">
        <v>11</v>
      </c>
      <c r="F22" s="21"/>
      <c r="G22" s="24"/>
      <c r="H22" s="19">
        <f>SAÍDAS[[#This Row],[Quantidade]]-SAÍDAS[[#This Row],[Quantidade Devolvida]]</f>
        <v>11</v>
      </c>
      <c r="I22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24</v>
      </c>
      <c r="J22" s="10">
        <f>VLOOKUP(SAÍDAS[[#This Row],[Produto]],PRODUTO[],6,0)</f>
        <v>25</v>
      </c>
      <c r="K22" s="10">
        <f>SAÍDAS[[#This Row],[Quantidade Vendida]]*SAÍDAS[[#This Row],[Preço Unitário]]</f>
        <v>275</v>
      </c>
    </row>
    <row r="23" spans="2:11" x14ac:dyDescent="0.3">
      <c r="B23" s="2">
        <v>43832</v>
      </c>
      <c r="C23" s="4" t="s">
        <v>10</v>
      </c>
      <c r="D23" s="3" t="s">
        <v>39</v>
      </c>
      <c r="E23" s="4">
        <v>9</v>
      </c>
      <c r="F23" s="21"/>
      <c r="G23" s="24"/>
      <c r="H23" s="19">
        <f>SAÍDAS[[#This Row],[Quantidade]]-SAÍDAS[[#This Row],[Quantidade Devolvida]]</f>
        <v>9</v>
      </c>
      <c r="I23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30</v>
      </c>
      <c r="J23" s="10">
        <f>VLOOKUP(SAÍDAS[[#This Row],[Produto]],PRODUTO[],6,0)</f>
        <v>3.5</v>
      </c>
      <c r="K23" s="10">
        <f>SAÍDAS[[#This Row],[Quantidade Vendida]]*SAÍDAS[[#This Row],[Preço Unitário]]</f>
        <v>31.5</v>
      </c>
    </row>
    <row r="24" spans="2:11" x14ac:dyDescent="0.3">
      <c r="B24" s="2">
        <v>43832</v>
      </c>
      <c r="C24" s="4" t="s">
        <v>11</v>
      </c>
      <c r="D24" s="3" t="s">
        <v>39</v>
      </c>
      <c r="E24" s="4">
        <v>1</v>
      </c>
      <c r="F24" s="21"/>
      <c r="G24" s="24"/>
      <c r="H24" s="19">
        <f>SAÍDAS[[#This Row],[Quantidade]]-SAÍDAS[[#This Row],[Quantidade Devolvida]]</f>
        <v>1</v>
      </c>
      <c r="I24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14</v>
      </c>
      <c r="J24" s="10">
        <f>VLOOKUP(SAÍDAS[[#This Row],[Produto]],PRODUTO[],6,0)</f>
        <v>11</v>
      </c>
      <c r="K24" s="10">
        <f>SAÍDAS[[#This Row],[Quantidade Vendida]]*SAÍDAS[[#This Row],[Preço Unitário]]</f>
        <v>11</v>
      </c>
    </row>
    <row r="25" spans="2:11" x14ac:dyDescent="0.3">
      <c r="B25" s="2">
        <v>43832</v>
      </c>
      <c r="C25" s="4" t="s">
        <v>12</v>
      </c>
      <c r="D25" s="3" t="s">
        <v>39</v>
      </c>
      <c r="E25" s="4">
        <v>8</v>
      </c>
      <c r="F25" s="21"/>
      <c r="G25" s="24"/>
      <c r="H25" s="19">
        <f>SAÍDAS[[#This Row],[Quantidade]]-SAÍDAS[[#This Row],[Quantidade Devolvida]]</f>
        <v>8</v>
      </c>
      <c r="I25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22</v>
      </c>
      <c r="J25" s="10">
        <f>VLOOKUP(SAÍDAS[[#This Row],[Produto]],PRODUTO[],6,0)</f>
        <v>5</v>
      </c>
      <c r="K25" s="10">
        <f>SAÍDAS[[#This Row],[Quantidade Vendida]]*SAÍDAS[[#This Row],[Preço Unitário]]</f>
        <v>40</v>
      </c>
    </row>
    <row r="26" spans="2:11" x14ac:dyDescent="0.3">
      <c r="B26" s="2">
        <v>43832</v>
      </c>
      <c r="C26" s="4" t="s">
        <v>13</v>
      </c>
      <c r="D26" s="3" t="s">
        <v>39</v>
      </c>
      <c r="E26" s="4">
        <v>1</v>
      </c>
      <c r="F26" s="21"/>
      <c r="G26" s="24"/>
      <c r="H26" s="19">
        <f>SAÍDAS[[#This Row],[Quantidade]]-SAÍDAS[[#This Row],[Quantidade Devolvida]]</f>
        <v>1</v>
      </c>
      <c r="I26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35</v>
      </c>
      <c r="J26" s="10">
        <f>VLOOKUP(SAÍDAS[[#This Row],[Produto]],PRODUTO[],6,0)</f>
        <v>3.4</v>
      </c>
      <c r="K26" s="10">
        <f>SAÍDAS[[#This Row],[Quantidade Vendida]]*SAÍDAS[[#This Row],[Preço Unitário]]</f>
        <v>3.4</v>
      </c>
    </row>
    <row r="27" spans="2:11" x14ac:dyDescent="0.3">
      <c r="B27" s="2">
        <v>43833</v>
      </c>
      <c r="C27" s="3" t="s">
        <v>4</v>
      </c>
      <c r="D27" s="3" t="s">
        <v>39</v>
      </c>
      <c r="E27" s="4">
        <v>2</v>
      </c>
      <c r="F27" s="21"/>
      <c r="G27" s="24"/>
      <c r="H27" s="19">
        <f>SAÍDAS[[#This Row],[Quantidade]]-SAÍDAS[[#This Row],[Quantidade Devolvida]]</f>
        <v>2</v>
      </c>
      <c r="I27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17</v>
      </c>
      <c r="J27" s="10">
        <f>VLOOKUP(SAÍDAS[[#This Row],[Produto]],PRODUTO[],6,0)</f>
        <v>4.5</v>
      </c>
      <c r="K27" s="10">
        <f>SAÍDAS[[#This Row],[Quantidade Vendida]]*SAÍDAS[[#This Row],[Preço Unitário]]</f>
        <v>9</v>
      </c>
    </row>
    <row r="28" spans="2:11" x14ac:dyDescent="0.3">
      <c r="B28" s="2">
        <v>43833</v>
      </c>
      <c r="C28" s="4" t="s">
        <v>5</v>
      </c>
      <c r="D28" s="3" t="s">
        <v>39</v>
      </c>
      <c r="E28" s="4">
        <v>3</v>
      </c>
      <c r="F28" s="21"/>
      <c r="G28" s="24"/>
      <c r="H28" s="19">
        <f>SAÍDAS[[#This Row],[Quantidade]]-SAÍDAS[[#This Row],[Quantidade Devolvida]]</f>
        <v>3</v>
      </c>
      <c r="I28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23</v>
      </c>
      <c r="J28" s="10">
        <f>VLOOKUP(SAÍDAS[[#This Row],[Produto]],PRODUTO[],6,0)</f>
        <v>2.8</v>
      </c>
      <c r="K28" s="10">
        <f>SAÍDAS[[#This Row],[Quantidade Vendida]]*SAÍDAS[[#This Row],[Preço Unitário]]</f>
        <v>8.3999999999999986</v>
      </c>
    </row>
    <row r="29" spans="2:11" x14ac:dyDescent="0.3">
      <c r="B29" s="2">
        <v>43833</v>
      </c>
      <c r="C29" s="4" t="s">
        <v>6</v>
      </c>
      <c r="D29" s="3" t="s">
        <v>39</v>
      </c>
      <c r="E29" s="4">
        <v>9</v>
      </c>
      <c r="F29" s="21"/>
      <c r="G29" s="24"/>
      <c r="H29" s="19">
        <f>SAÍDAS[[#This Row],[Quantidade]]-SAÍDAS[[#This Row],[Quantidade Devolvida]]</f>
        <v>9</v>
      </c>
      <c r="I29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32</v>
      </c>
      <c r="J29" s="10">
        <f>VLOOKUP(SAÍDAS[[#This Row],[Produto]],PRODUTO[],6,0)</f>
        <v>3.5</v>
      </c>
      <c r="K29" s="10">
        <f>SAÍDAS[[#This Row],[Quantidade Vendida]]*SAÍDAS[[#This Row],[Preço Unitário]]</f>
        <v>31.5</v>
      </c>
    </row>
    <row r="30" spans="2:11" x14ac:dyDescent="0.3">
      <c r="B30" s="2">
        <v>43833</v>
      </c>
      <c r="C30" s="4" t="s">
        <v>7</v>
      </c>
      <c r="D30" s="3" t="s">
        <v>39</v>
      </c>
      <c r="E30" s="4">
        <v>1</v>
      </c>
      <c r="F30" s="21"/>
      <c r="G30" s="24"/>
      <c r="H30" s="19">
        <f>SAÍDAS[[#This Row],[Quantidade]]-SAÍDAS[[#This Row],[Quantidade Devolvida]]</f>
        <v>1</v>
      </c>
      <c r="I30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59</v>
      </c>
      <c r="J30" s="10">
        <f>VLOOKUP(SAÍDAS[[#This Row],[Produto]],PRODUTO[],6,0)</f>
        <v>2.1</v>
      </c>
      <c r="K30" s="10">
        <f>SAÍDAS[[#This Row],[Quantidade Vendida]]*SAÍDAS[[#This Row],[Preço Unitário]]</f>
        <v>2.1</v>
      </c>
    </row>
    <row r="31" spans="2:11" x14ac:dyDescent="0.3">
      <c r="B31" s="2">
        <v>43833</v>
      </c>
      <c r="C31" s="4" t="s">
        <v>8</v>
      </c>
      <c r="D31" s="3" t="s">
        <v>39</v>
      </c>
      <c r="E31" s="4">
        <v>2</v>
      </c>
      <c r="F31" s="21"/>
      <c r="G31" s="24"/>
      <c r="H31" s="19">
        <f>SAÍDAS[[#This Row],[Quantidade]]-SAÍDAS[[#This Row],[Quantidade Devolvida]]</f>
        <v>2</v>
      </c>
      <c r="I31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25</v>
      </c>
      <c r="J31" s="10">
        <f>VLOOKUP(SAÍDAS[[#This Row],[Produto]],PRODUTO[],6,0)</f>
        <v>4.5999999999999996</v>
      </c>
      <c r="K31" s="10">
        <f>SAÍDAS[[#This Row],[Quantidade Vendida]]*SAÍDAS[[#This Row],[Preço Unitário]]</f>
        <v>9.1999999999999993</v>
      </c>
    </row>
    <row r="32" spans="2:11" x14ac:dyDescent="0.3">
      <c r="B32" s="2">
        <v>43833</v>
      </c>
      <c r="C32" s="4" t="s">
        <v>9</v>
      </c>
      <c r="D32" s="3" t="s">
        <v>39</v>
      </c>
      <c r="E32" s="4">
        <v>4</v>
      </c>
      <c r="F32" s="21"/>
      <c r="G32" s="24"/>
      <c r="H32" s="19">
        <f>SAÍDAS[[#This Row],[Quantidade]]-SAÍDAS[[#This Row],[Quantidade Devolvida]]</f>
        <v>4</v>
      </c>
      <c r="I32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6</v>
      </c>
      <c r="J32" s="10">
        <f>VLOOKUP(SAÍDAS[[#This Row],[Produto]],PRODUTO[],6,0)</f>
        <v>25</v>
      </c>
      <c r="K32" s="10">
        <f>SAÍDAS[[#This Row],[Quantidade Vendida]]*SAÍDAS[[#This Row],[Preço Unitário]]</f>
        <v>100</v>
      </c>
    </row>
    <row r="33" spans="2:11" x14ac:dyDescent="0.3">
      <c r="B33" s="2">
        <v>43833</v>
      </c>
      <c r="C33" s="4" t="s">
        <v>10</v>
      </c>
      <c r="D33" s="3" t="s">
        <v>39</v>
      </c>
      <c r="E33" s="4">
        <v>30</v>
      </c>
      <c r="F33" s="21"/>
      <c r="G33" s="24"/>
      <c r="H33" s="19">
        <f>SAÍDAS[[#This Row],[Quantidade]]-SAÍDAS[[#This Row],[Quantidade Devolvida]]</f>
        <v>30</v>
      </c>
      <c r="I33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8</v>
      </c>
      <c r="J33" s="10">
        <f>VLOOKUP(SAÍDAS[[#This Row],[Produto]],PRODUTO[],6,0)</f>
        <v>3.5</v>
      </c>
      <c r="K33" s="10">
        <f>SAÍDAS[[#This Row],[Quantidade Vendida]]*SAÍDAS[[#This Row],[Preço Unitário]]</f>
        <v>105</v>
      </c>
    </row>
    <row r="34" spans="2:11" x14ac:dyDescent="0.3">
      <c r="B34" s="2">
        <v>43833</v>
      </c>
      <c r="C34" s="4" t="s">
        <v>11</v>
      </c>
      <c r="D34" s="3" t="s">
        <v>39</v>
      </c>
      <c r="E34" s="4">
        <v>11</v>
      </c>
      <c r="F34" s="21"/>
      <c r="G34" s="24"/>
      <c r="H34" s="19">
        <f>SAÍDAS[[#This Row],[Quantidade]]-SAÍDAS[[#This Row],[Quantidade Devolvida]]</f>
        <v>11</v>
      </c>
      <c r="I34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6</v>
      </c>
      <c r="J34" s="10">
        <f>VLOOKUP(SAÍDAS[[#This Row],[Produto]],PRODUTO[],6,0)</f>
        <v>11</v>
      </c>
      <c r="K34" s="10">
        <f>SAÍDAS[[#This Row],[Quantidade Vendida]]*SAÍDAS[[#This Row],[Preço Unitário]]</f>
        <v>121</v>
      </c>
    </row>
    <row r="35" spans="2:11" x14ac:dyDescent="0.3">
      <c r="B35" s="2">
        <v>43833</v>
      </c>
      <c r="C35" s="4" t="s">
        <v>12</v>
      </c>
      <c r="D35" s="3" t="s">
        <v>39</v>
      </c>
      <c r="E35" s="4">
        <v>23</v>
      </c>
      <c r="F35" s="21"/>
      <c r="G35" s="24"/>
      <c r="H35" s="19">
        <f>SAÍDAS[[#This Row],[Quantidade]]-SAÍDAS[[#This Row],[Quantidade Devolvida]]</f>
        <v>23</v>
      </c>
      <c r="I35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1</v>
      </c>
      <c r="J35" s="10">
        <f>VLOOKUP(SAÍDAS[[#This Row],[Produto]],PRODUTO[],6,0)</f>
        <v>5</v>
      </c>
      <c r="K35" s="10">
        <f>SAÍDAS[[#This Row],[Quantidade Vendida]]*SAÍDAS[[#This Row],[Preço Unitário]]</f>
        <v>115</v>
      </c>
    </row>
    <row r="36" spans="2:11" x14ac:dyDescent="0.3">
      <c r="B36" s="2">
        <v>43833</v>
      </c>
      <c r="C36" s="4" t="s">
        <v>13</v>
      </c>
      <c r="D36" s="3" t="s">
        <v>39</v>
      </c>
      <c r="E36" s="4">
        <v>11</v>
      </c>
      <c r="F36" s="21"/>
      <c r="G36" s="24"/>
      <c r="H36" s="19">
        <f>SAÍDAS[[#This Row],[Quantidade]]-SAÍDAS[[#This Row],[Quantidade Devolvida]]</f>
        <v>11</v>
      </c>
      <c r="I36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28</v>
      </c>
      <c r="J36" s="10">
        <f>VLOOKUP(SAÍDAS[[#This Row],[Produto]],PRODUTO[],6,0)</f>
        <v>3.4</v>
      </c>
      <c r="K36" s="10">
        <f>SAÍDAS[[#This Row],[Quantidade Vendida]]*SAÍDAS[[#This Row],[Preço Unitário]]</f>
        <v>37.4</v>
      </c>
    </row>
    <row r="37" spans="2:11" x14ac:dyDescent="0.3">
      <c r="B37" s="2">
        <v>43833</v>
      </c>
      <c r="C37" s="3" t="s">
        <v>4</v>
      </c>
      <c r="D37" s="3" t="s">
        <v>39</v>
      </c>
      <c r="E37" s="4">
        <v>10</v>
      </c>
      <c r="F37" s="21"/>
      <c r="G37" s="24"/>
      <c r="H37" s="19">
        <f>SAÍDAS[[#This Row],[Quantidade]]-SAÍDAS[[#This Row],[Quantidade Devolvida]]</f>
        <v>10</v>
      </c>
      <c r="I37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17</v>
      </c>
      <c r="J37" s="10">
        <f>VLOOKUP(SAÍDAS[[#This Row],[Produto]],PRODUTO[],6,0)</f>
        <v>4.5</v>
      </c>
      <c r="K37" s="10">
        <f>SAÍDAS[[#This Row],[Quantidade Vendida]]*SAÍDAS[[#This Row],[Preço Unitário]]</f>
        <v>45</v>
      </c>
    </row>
    <row r="38" spans="2:11" x14ac:dyDescent="0.3">
      <c r="B38" s="2">
        <v>43833</v>
      </c>
      <c r="C38" s="4" t="s">
        <v>5</v>
      </c>
      <c r="D38" s="3" t="s">
        <v>39</v>
      </c>
      <c r="E38" s="4">
        <v>9</v>
      </c>
      <c r="F38" s="21"/>
      <c r="G38" s="24"/>
      <c r="H38" s="19">
        <f>SAÍDAS[[#This Row],[Quantidade]]-SAÍDAS[[#This Row],[Quantidade Devolvida]]</f>
        <v>9</v>
      </c>
      <c r="I38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23</v>
      </c>
      <c r="J38" s="10">
        <f>VLOOKUP(SAÍDAS[[#This Row],[Produto]],PRODUTO[],6,0)</f>
        <v>2.8</v>
      </c>
      <c r="K38" s="10">
        <f>SAÍDAS[[#This Row],[Quantidade Vendida]]*SAÍDAS[[#This Row],[Preço Unitário]]</f>
        <v>25.2</v>
      </c>
    </row>
    <row r="39" spans="2:11" x14ac:dyDescent="0.3">
      <c r="B39" s="2">
        <v>43833</v>
      </c>
      <c r="C39" s="4" t="s">
        <v>6</v>
      </c>
      <c r="D39" s="3" t="s">
        <v>39</v>
      </c>
      <c r="E39" s="4">
        <v>8</v>
      </c>
      <c r="F39" s="21"/>
      <c r="G39" s="24"/>
      <c r="H39" s="19">
        <f>SAÍDAS[[#This Row],[Quantidade]]-SAÍDAS[[#This Row],[Quantidade Devolvida]]</f>
        <v>8</v>
      </c>
      <c r="I39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32</v>
      </c>
      <c r="J39" s="10">
        <f>VLOOKUP(SAÍDAS[[#This Row],[Produto]],PRODUTO[],6,0)</f>
        <v>3.5</v>
      </c>
      <c r="K39" s="10">
        <f>SAÍDAS[[#This Row],[Quantidade Vendida]]*SAÍDAS[[#This Row],[Preço Unitário]]</f>
        <v>28</v>
      </c>
    </row>
    <row r="40" spans="2:11" x14ac:dyDescent="0.3">
      <c r="B40" s="2">
        <v>43833</v>
      </c>
      <c r="C40" s="4" t="s">
        <v>7</v>
      </c>
      <c r="D40" s="3" t="s">
        <v>39</v>
      </c>
      <c r="E40" s="4">
        <v>11</v>
      </c>
      <c r="F40" s="21"/>
      <c r="G40" s="24"/>
      <c r="H40" s="19">
        <f>SAÍDAS[[#This Row],[Quantidade]]-SAÍDAS[[#This Row],[Quantidade Devolvida]]</f>
        <v>11</v>
      </c>
      <c r="I40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59</v>
      </c>
      <c r="J40" s="10">
        <f>VLOOKUP(SAÍDAS[[#This Row],[Produto]],PRODUTO[],6,0)</f>
        <v>2.1</v>
      </c>
      <c r="K40" s="10">
        <f>SAÍDAS[[#This Row],[Quantidade Vendida]]*SAÍDAS[[#This Row],[Preço Unitário]]</f>
        <v>23.1</v>
      </c>
    </row>
    <row r="41" spans="2:11" x14ac:dyDescent="0.3">
      <c r="B41" s="2">
        <v>43833</v>
      </c>
      <c r="C41" s="4" t="s">
        <v>8</v>
      </c>
      <c r="D41" s="3" t="s">
        <v>39</v>
      </c>
      <c r="E41" s="4">
        <v>21</v>
      </c>
      <c r="F41" s="21"/>
      <c r="G41" s="24"/>
      <c r="H41" s="19">
        <f>SAÍDAS[[#This Row],[Quantidade]]-SAÍDAS[[#This Row],[Quantidade Devolvida]]</f>
        <v>21</v>
      </c>
      <c r="I41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25</v>
      </c>
      <c r="J41" s="10">
        <f>VLOOKUP(SAÍDAS[[#This Row],[Produto]],PRODUTO[],6,0)</f>
        <v>4.5999999999999996</v>
      </c>
      <c r="K41" s="10">
        <f>SAÍDAS[[#This Row],[Quantidade Vendida]]*SAÍDAS[[#This Row],[Preço Unitário]]</f>
        <v>96.6</v>
      </c>
    </row>
    <row r="42" spans="2:11" x14ac:dyDescent="0.3">
      <c r="B42" s="2">
        <v>43833</v>
      </c>
      <c r="C42" s="4" t="s">
        <v>9</v>
      </c>
      <c r="D42" s="3" t="s">
        <v>39</v>
      </c>
      <c r="E42" s="4">
        <v>20</v>
      </c>
      <c r="F42" s="21"/>
      <c r="G42" s="24"/>
      <c r="H42" s="19">
        <f>SAÍDAS[[#This Row],[Quantidade]]-SAÍDAS[[#This Row],[Quantidade Devolvida]]</f>
        <v>20</v>
      </c>
      <c r="I42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6</v>
      </c>
      <c r="J42" s="10">
        <f>VLOOKUP(SAÍDAS[[#This Row],[Produto]],PRODUTO[],6,0)</f>
        <v>25</v>
      </c>
      <c r="K42" s="10">
        <f>SAÍDAS[[#This Row],[Quantidade Vendida]]*SAÍDAS[[#This Row],[Preço Unitário]]</f>
        <v>500</v>
      </c>
    </row>
    <row r="43" spans="2:11" x14ac:dyDescent="0.3">
      <c r="B43" s="2">
        <v>43833</v>
      </c>
      <c r="C43" s="4" t="s">
        <v>10</v>
      </c>
      <c r="D43" s="3" t="s">
        <v>39</v>
      </c>
      <c r="E43" s="4">
        <v>1</v>
      </c>
      <c r="F43" s="21"/>
      <c r="G43" s="24"/>
      <c r="H43" s="19">
        <f>SAÍDAS[[#This Row],[Quantidade]]-SAÍDAS[[#This Row],[Quantidade Devolvida]]</f>
        <v>1</v>
      </c>
      <c r="I43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8</v>
      </c>
      <c r="J43" s="10">
        <f>VLOOKUP(SAÍDAS[[#This Row],[Produto]],PRODUTO[],6,0)</f>
        <v>3.5</v>
      </c>
      <c r="K43" s="10">
        <f>SAÍDAS[[#This Row],[Quantidade Vendida]]*SAÍDAS[[#This Row],[Preço Unitário]]</f>
        <v>3.5</v>
      </c>
    </row>
    <row r="44" spans="2:11" x14ac:dyDescent="0.3">
      <c r="B44" s="2">
        <v>43833</v>
      </c>
      <c r="C44" s="4" t="s">
        <v>11</v>
      </c>
      <c r="D44" s="3" t="s">
        <v>39</v>
      </c>
      <c r="E44" s="4">
        <v>10</v>
      </c>
      <c r="F44" s="21"/>
      <c r="G44" s="24"/>
      <c r="H44" s="19">
        <f>SAÍDAS[[#This Row],[Quantidade]]-SAÍDAS[[#This Row],[Quantidade Devolvida]]</f>
        <v>10</v>
      </c>
      <c r="I44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6</v>
      </c>
      <c r="J44" s="10">
        <f>VLOOKUP(SAÍDAS[[#This Row],[Produto]],PRODUTO[],6,0)</f>
        <v>11</v>
      </c>
      <c r="K44" s="10">
        <f>SAÍDAS[[#This Row],[Quantidade Vendida]]*SAÍDAS[[#This Row],[Preço Unitário]]</f>
        <v>110</v>
      </c>
    </row>
    <row r="45" spans="2:11" x14ac:dyDescent="0.3">
      <c r="B45" s="2">
        <v>43833</v>
      </c>
      <c r="C45" s="4" t="s">
        <v>12</v>
      </c>
      <c r="D45" s="3" t="s">
        <v>39</v>
      </c>
      <c r="E45" s="4">
        <v>11</v>
      </c>
      <c r="F45" s="21"/>
      <c r="G45" s="24"/>
      <c r="H45" s="19">
        <f>SAÍDAS[[#This Row],[Quantidade]]-SAÍDAS[[#This Row],[Quantidade Devolvida]]</f>
        <v>11</v>
      </c>
      <c r="I45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1</v>
      </c>
      <c r="J45" s="10">
        <f>VLOOKUP(SAÍDAS[[#This Row],[Produto]],PRODUTO[],6,0)</f>
        <v>5</v>
      </c>
      <c r="K45" s="10">
        <f>SAÍDAS[[#This Row],[Quantidade Vendida]]*SAÍDAS[[#This Row],[Preço Unitário]]</f>
        <v>55</v>
      </c>
    </row>
    <row r="46" spans="2:11" x14ac:dyDescent="0.3">
      <c r="B46" s="2">
        <v>43833</v>
      </c>
      <c r="C46" s="4" t="s">
        <v>13</v>
      </c>
      <c r="D46" s="3" t="s">
        <v>39</v>
      </c>
      <c r="E46" s="4">
        <v>12</v>
      </c>
      <c r="F46" s="21"/>
      <c r="G46" s="24"/>
      <c r="H46" s="19">
        <f>SAÍDAS[[#This Row],[Quantidade]]-SAÍDAS[[#This Row],[Quantidade Devolvida]]</f>
        <v>12</v>
      </c>
      <c r="I46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28</v>
      </c>
      <c r="J46" s="10">
        <f>VLOOKUP(SAÍDAS[[#This Row],[Produto]],PRODUTO[],6,0)</f>
        <v>3.4</v>
      </c>
      <c r="K46" s="10">
        <f>SAÍDAS[[#This Row],[Quantidade Vendida]]*SAÍDAS[[#This Row],[Preço Unitário]]</f>
        <v>40.799999999999997</v>
      </c>
    </row>
    <row r="47" spans="2:11" x14ac:dyDescent="0.3">
      <c r="B47" s="2">
        <v>43833</v>
      </c>
      <c r="C47" s="3" t="s">
        <v>4</v>
      </c>
      <c r="D47" s="3" t="s">
        <v>39</v>
      </c>
      <c r="E47" s="4">
        <v>10</v>
      </c>
      <c r="F47" s="21"/>
      <c r="G47" s="24"/>
      <c r="H47" s="19">
        <f>SAÍDAS[[#This Row],[Quantidade]]-SAÍDAS[[#This Row],[Quantidade Devolvida]]</f>
        <v>10</v>
      </c>
      <c r="I47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17</v>
      </c>
      <c r="J47" s="10">
        <f>VLOOKUP(SAÍDAS[[#This Row],[Produto]],PRODUTO[],6,0)</f>
        <v>4.5</v>
      </c>
      <c r="K47" s="10">
        <f>SAÍDAS[[#This Row],[Quantidade Vendida]]*SAÍDAS[[#This Row],[Preço Unitário]]</f>
        <v>45</v>
      </c>
    </row>
    <row r="48" spans="2:11" x14ac:dyDescent="0.3">
      <c r="B48" s="2">
        <v>43833</v>
      </c>
      <c r="C48" s="4" t="s">
        <v>5</v>
      </c>
      <c r="D48" s="3" t="s">
        <v>39</v>
      </c>
      <c r="E48" s="4">
        <v>10</v>
      </c>
      <c r="F48" s="21"/>
      <c r="G48" s="24"/>
      <c r="H48" s="19">
        <f>SAÍDAS[[#This Row],[Quantidade]]-SAÍDAS[[#This Row],[Quantidade Devolvida]]</f>
        <v>10</v>
      </c>
      <c r="I48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23</v>
      </c>
      <c r="J48" s="10">
        <f>VLOOKUP(SAÍDAS[[#This Row],[Produto]],PRODUTO[],6,0)</f>
        <v>2.8</v>
      </c>
      <c r="K48" s="10">
        <f>SAÍDAS[[#This Row],[Quantidade Vendida]]*SAÍDAS[[#This Row],[Preço Unitário]]</f>
        <v>28</v>
      </c>
    </row>
    <row r="49" spans="2:11" x14ac:dyDescent="0.3">
      <c r="B49" s="2">
        <v>43833</v>
      </c>
      <c r="C49" s="4" t="s">
        <v>6</v>
      </c>
      <c r="D49" s="3" t="s">
        <v>39</v>
      </c>
      <c r="E49" s="4">
        <v>11</v>
      </c>
      <c r="F49" s="21"/>
      <c r="G49" s="24"/>
      <c r="H49" s="19">
        <f>SAÍDAS[[#This Row],[Quantidade]]-SAÍDAS[[#This Row],[Quantidade Devolvida]]</f>
        <v>11</v>
      </c>
      <c r="I49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32</v>
      </c>
      <c r="J49" s="10">
        <f>VLOOKUP(SAÍDAS[[#This Row],[Produto]],PRODUTO[],6,0)</f>
        <v>3.5</v>
      </c>
      <c r="K49" s="10">
        <f>SAÍDAS[[#This Row],[Quantidade Vendida]]*SAÍDAS[[#This Row],[Preço Unitário]]</f>
        <v>38.5</v>
      </c>
    </row>
    <row r="50" spans="2:11" x14ac:dyDescent="0.3">
      <c r="B50" s="2">
        <v>43833</v>
      </c>
      <c r="C50" s="4" t="s">
        <v>7</v>
      </c>
      <c r="D50" s="3" t="s">
        <v>39</v>
      </c>
      <c r="E50" s="4">
        <v>50</v>
      </c>
      <c r="F50" s="21"/>
      <c r="G50" s="24"/>
      <c r="H50" s="19">
        <f>SAÍDAS[[#This Row],[Quantidade]]-SAÍDAS[[#This Row],[Quantidade Devolvida]]</f>
        <v>50</v>
      </c>
      <c r="I50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59</v>
      </c>
      <c r="J50" s="10">
        <f>VLOOKUP(SAÍDAS[[#This Row],[Produto]],PRODUTO[],6,0)</f>
        <v>2.1</v>
      </c>
      <c r="K50" s="10">
        <f>SAÍDAS[[#This Row],[Quantidade Vendida]]*SAÍDAS[[#This Row],[Preço Unitário]]</f>
        <v>105</v>
      </c>
    </row>
    <row r="51" spans="2:11" x14ac:dyDescent="0.3">
      <c r="B51" s="2">
        <v>43833</v>
      </c>
      <c r="C51" s="4" t="s">
        <v>8</v>
      </c>
      <c r="D51" s="3" t="s">
        <v>39</v>
      </c>
      <c r="E51" s="4">
        <v>11</v>
      </c>
      <c r="F51" s="21"/>
      <c r="G51" s="24"/>
      <c r="H51" s="19">
        <f>SAÍDAS[[#This Row],[Quantidade]]-SAÍDAS[[#This Row],[Quantidade Devolvida]]</f>
        <v>11</v>
      </c>
      <c r="I51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25</v>
      </c>
      <c r="J51" s="10">
        <f>VLOOKUP(SAÍDAS[[#This Row],[Produto]],PRODUTO[],6,0)</f>
        <v>4.5999999999999996</v>
      </c>
      <c r="K51" s="10">
        <f>SAÍDAS[[#This Row],[Quantidade Vendida]]*SAÍDAS[[#This Row],[Preço Unitário]]</f>
        <v>50.599999999999994</v>
      </c>
    </row>
    <row r="52" spans="2:11" x14ac:dyDescent="0.3">
      <c r="B52" s="2">
        <v>43833</v>
      </c>
      <c r="C52" s="4" t="s">
        <v>9</v>
      </c>
      <c r="D52" s="3" t="s">
        <v>39</v>
      </c>
      <c r="E52" s="4">
        <v>1</v>
      </c>
      <c r="F52" s="21"/>
      <c r="G52" s="24"/>
      <c r="H52" s="19">
        <f>SAÍDAS[[#This Row],[Quantidade]]-SAÍDAS[[#This Row],[Quantidade Devolvida]]</f>
        <v>1</v>
      </c>
      <c r="I52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6</v>
      </c>
      <c r="J52" s="10">
        <f>VLOOKUP(SAÍDAS[[#This Row],[Produto]],PRODUTO[],6,0)</f>
        <v>25</v>
      </c>
      <c r="K52" s="10">
        <f>SAÍDAS[[#This Row],[Quantidade Vendida]]*SAÍDAS[[#This Row],[Preço Unitário]]</f>
        <v>25</v>
      </c>
    </row>
    <row r="53" spans="2:11" x14ac:dyDescent="0.3">
      <c r="B53" s="2">
        <v>43833</v>
      </c>
      <c r="C53" s="4" t="s">
        <v>10</v>
      </c>
      <c r="D53" s="3" t="s">
        <v>39</v>
      </c>
      <c r="E53" s="4">
        <v>1</v>
      </c>
      <c r="F53" s="21"/>
      <c r="G53" s="24"/>
      <c r="H53" s="19">
        <f>SAÍDAS[[#This Row],[Quantidade]]-SAÍDAS[[#This Row],[Quantidade Devolvida]]</f>
        <v>1</v>
      </c>
      <c r="I53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8</v>
      </c>
      <c r="J53" s="10">
        <f>VLOOKUP(SAÍDAS[[#This Row],[Produto]],PRODUTO[],6,0)</f>
        <v>3.5</v>
      </c>
      <c r="K53" s="10">
        <f>SAÍDAS[[#This Row],[Quantidade Vendida]]*SAÍDAS[[#This Row],[Preço Unitário]]</f>
        <v>3.5</v>
      </c>
    </row>
    <row r="54" spans="2:11" x14ac:dyDescent="0.3">
      <c r="B54" s="2">
        <v>43833</v>
      </c>
      <c r="C54" s="4" t="s">
        <v>11</v>
      </c>
      <c r="D54" s="3" t="s">
        <v>39</v>
      </c>
      <c r="E54" s="4">
        <v>2</v>
      </c>
      <c r="F54" s="21"/>
      <c r="G54" s="24"/>
      <c r="H54" s="19">
        <f>SAÍDAS[[#This Row],[Quantidade]]-SAÍDAS[[#This Row],[Quantidade Devolvida]]</f>
        <v>2</v>
      </c>
      <c r="I54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6</v>
      </c>
      <c r="J54" s="10">
        <f>VLOOKUP(SAÍDAS[[#This Row],[Produto]],PRODUTO[],6,0)</f>
        <v>11</v>
      </c>
      <c r="K54" s="10">
        <f>SAÍDAS[[#This Row],[Quantidade Vendida]]*SAÍDAS[[#This Row],[Preço Unitário]]</f>
        <v>22</v>
      </c>
    </row>
    <row r="55" spans="2:11" x14ac:dyDescent="0.3">
      <c r="B55" s="2">
        <v>43833</v>
      </c>
      <c r="C55" s="4" t="s">
        <v>12</v>
      </c>
      <c r="D55" s="3" t="s">
        <v>39</v>
      </c>
      <c r="E55" s="4">
        <v>3</v>
      </c>
      <c r="F55" s="21"/>
      <c r="G55" s="24"/>
      <c r="H55" s="19">
        <f>SAÍDAS[[#This Row],[Quantidade]]-SAÍDAS[[#This Row],[Quantidade Devolvida]]</f>
        <v>3</v>
      </c>
      <c r="I55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1</v>
      </c>
      <c r="J55" s="10">
        <f>VLOOKUP(SAÍDAS[[#This Row],[Produto]],PRODUTO[],6,0)</f>
        <v>5</v>
      </c>
      <c r="K55" s="10">
        <f>SAÍDAS[[#This Row],[Quantidade Vendida]]*SAÍDAS[[#This Row],[Preço Unitário]]</f>
        <v>15</v>
      </c>
    </row>
    <row r="56" spans="2:11" x14ac:dyDescent="0.3">
      <c r="B56" s="2">
        <v>43833</v>
      </c>
      <c r="C56" s="4" t="s">
        <v>13</v>
      </c>
      <c r="D56" s="3" t="s">
        <v>39</v>
      </c>
      <c r="E56" s="4">
        <v>1</v>
      </c>
      <c r="F56" s="21"/>
      <c r="G56" s="24"/>
      <c r="H56" s="19">
        <f>SAÍDAS[[#This Row],[Quantidade]]-SAÍDAS[[#This Row],[Quantidade Devolvida]]</f>
        <v>1</v>
      </c>
      <c r="I56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28</v>
      </c>
      <c r="J56" s="10">
        <f>VLOOKUP(SAÍDAS[[#This Row],[Produto]],PRODUTO[],6,0)</f>
        <v>3.4</v>
      </c>
      <c r="K56" s="10">
        <f>SAÍDAS[[#This Row],[Quantidade Vendida]]*SAÍDAS[[#This Row],[Preço Unitário]]</f>
        <v>3.4</v>
      </c>
    </row>
    <row r="57" spans="2:11" x14ac:dyDescent="0.3">
      <c r="B57" s="33">
        <v>43871</v>
      </c>
      <c r="C57" s="3" t="s">
        <v>4</v>
      </c>
      <c r="D57" s="3" t="s">
        <v>39</v>
      </c>
      <c r="E57" s="4">
        <v>4</v>
      </c>
      <c r="F57" s="21"/>
      <c r="G57" s="24"/>
      <c r="H57" s="19">
        <f>SAÍDAS[[#This Row],[Quantidade]]-SAÍDAS[[#This Row],[Quantidade Devolvida]]</f>
        <v>4</v>
      </c>
      <c r="I57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53</v>
      </c>
      <c r="J57" s="10">
        <f>VLOOKUP(SAÍDAS[[#This Row],[Produto]],PRODUTO[],6,0)</f>
        <v>4.5</v>
      </c>
      <c r="K57" s="10">
        <f>SAÍDAS[[#This Row],[Quantidade Vendida]]*SAÍDAS[[#This Row],[Preço Unitário]]</f>
        <v>18</v>
      </c>
    </row>
    <row r="58" spans="2:11" x14ac:dyDescent="0.3">
      <c r="B58" s="33">
        <v>43871</v>
      </c>
      <c r="C58" s="4" t="s">
        <v>5</v>
      </c>
      <c r="D58" s="3" t="s">
        <v>39</v>
      </c>
      <c r="E58" s="4">
        <v>5</v>
      </c>
      <c r="F58" s="21"/>
      <c r="G58" s="24"/>
      <c r="H58" s="19">
        <f>SAÍDAS[[#This Row],[Quantidade]]-SAÍDAS[[#This Row],[Quantidade Devolvida]]</f>
        <v>5</v>
      </c>
      <c r="I58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48</v>
      </c>
      <c r="J58" s="10">
        <f>VLOOKUP(SAÍDAS[[#This Row],[Produto]],PRODUTO[],6,0)</f>
        <v>2.8</v>
      </c>
      <c r="K58" s="10">
        <f>SAÍDAS[[#This Row],[Quantidade Vendida]]*SAÍDAS[[#This Row],[Preço Unitário]]</f>
        <v>14</v>
      </c>
    </row>
    <row r="59" spans="2:11" x14ac:dyDescent="0.3">
      <c r="B59" s="33">
        <v>43871</v>
      </c>
      <c r="C59" s="4" t="s">
        <v>6</v>
      </c>
      <c r="D59" s="3" t="s">
        <v>39</v>
      </c>
      <c r="E59" s="4">
        <v>1</v>
      </c>
      <c r="F59" s="21"/>
      <c r="G59" s="24"/>
      <c r="H59" s="19">
        <f>SAÍDAS[[#This Row],[Quantidade]]-SAÍDAS[[#This Row],[Quantidade Devolvida]]</f>
        <v>1</v>
      </c>
      <c r="I59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41</v>
      </c>
      <c r="J59" s="10">
        <f>VLOOKUP(SAÍDAS[[#This Row],[Produto]],PRODUTO[],6,0)</f>
        <v>3.5</v>
      </c>
      <c r="K59" s="10">
        <f>SAÍDAS[[#This Row],[Quantidade Vendida]]*SAÍDAS[[#This Row],[Preço Unitário]]</f>
        <v>3.5</v>
      </c>
    </row>
    <row r="60" spans="2:11" x14ac:dyDescent="0.3">
      <c r="B60" s="33">
        <v>43871</v>
      </c>
      <c r="C60" s="4" t="s">
        <v>7</v>
      </c>
      <c r="D60" s="3" t="s">
        <v>39</v>
      </c>
      <c r="E60" s="4">
        <v>10</v>
      </c>
      <c r="F60" s="21"/>
      <c r="G60" s="24"/>
      <c r="H60" s="19">
        <f>SAÍDAS[[#This Row],[Quantidade]]-SAÍDAS[[#This Row],[Quantidade Devolvida]]</f>
        <v>10</v>
      </c>
      <c r="I60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69</v>
      </c>
      <c r="J60" s="10">
        <f>VLOOKUP(SAÍDAS[[#This Row],[Produto]],PRODUTO[],6,0)</f>
        <v>2.1</v>
      </c>
      <c r="K60" s="10">
        <f>SAÍDAS[[#This Row],[Quantidade Vendida]]*SAÍDAS[[#This Row],[Preço Unitário]]</f>
        <v>21</v>
      </c>
    </row>
    <row r="61" spans="2:11" x14ac:dyDescent="0.3">
      <c r="B61" s="33">
        <v>43871</v>
      </c>
      <c r="C61" s="4" t="s">
        <v>8</v>
      </c>
      <c r="D61" s="3" t="s">
        <v>39</v>
      </c>
      <c r="E61" s="4">
        <v>11</v>
      </c>
      <c r="F61" s="21"/>
      <c r="G61" s="24"/>
      <c r="H61" s="19">
        <f>SAÍDAS[[#This Row],[Quantidade]]-SAÍDAS[[#This Row],[Quantidade Devolvida]]</f>
        <v>11</v>
      </c>
      <c r="I61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64</v>
      </c>
      <c r="J61" s="10">
        <f>VLOOKUP(SAÍDAS[[#This Row],[Produto]],PRODUTO[],6,0)</f>
        <v>4.5999999999999996</v>
      </c>
      <c r="K61" s="10">
        <f>SAÍDAS[[#This Row],[Quantidade Vendida]]*SAÍDAS[[#This Row],[Preço Unitário]]</f>
        <v>50.599999999999994</v>
      </c>
    </row>
    <row r="62" spans="2:11" x14ac:dyDescent="0.3">
      <c r="B62" s="33">
        <v>43871</v>
      </c>
      <c r="C62" s="4" t="s">
        <v>9</v>
      </c>
      <c r="D62" s="3" t="s">
        <v>39</v>
      </c>
      <c r="E62" s="4">
        <v>12</v>
      </c>
      <c r="F62" s="21"/>
      <c r="G62" s="24"/>
      <c r="H62" s="19">
        <f>SAÍDAS[[#This Row],[Quantidade]]-SAÍDAS[[#This Row],[Quantidade Devolvida]]</f>
        <v>12</v>
      </c>
      <c r="I62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24</v>
      </c>
      <c r="J62" s="10">
        <f>VLOOKUP(SAÍDAS[[#This Row],[Produto]],PRODUTO[],6,0)</f>
        <v>25</v>
      </c>
      <c r="K62" s="10">
        <f>SAÍDAS[[#This Row],[Quantidade Vendida]]*SAÍDAS[[#This Row],[Preço Unitário]]</f>
        <v>300</v>
      </c>
    </row>
    <row r="63" spans="2:11" x14ac:dyDescent="0.3">
      <c r="B63" s="33">
        <v>43871</v>
      </c>
      <c r="C63" s="4" t="s">
        <v>10</v>
      </c>
      <c r="D63" s="3" t="s">
        <v>39</v>
      </c>
      <c r="E63" s="4">
        <v>13</v>
      </c>
      <c r="F63" s="21"/>
      <c r="G63" s="24"/>
      <c r="H63" s="19">
        <f>SAÍDAS[[#This Row],[Quantidade]]-SAÍDAS[[#This Row],[Quantidade Devolvida]]</f>
        <v>13</v>
      </c>
      <c r="I63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45</v>
      </c>
      <c r="J63" s="10">
        <f>VLOOKUP(SAÍDAS[[#This Row],[Produto]],PRODUTO[],6,0)</f>
        <v>3.5</v>
      </c>
      <c r="K63" s="10">
        <f>SAÍDAS[[#This Row],[Quantidade Vendida]]*SAÍDAS[[#This Row],[Preço Unitário]]</f>
        <v>45.5</v>
      </c>
    </row>
    <row r="64" spans="2:11" x14ac:dyDescent="0.3">
      <c r="B64" s="33">
        <v>43871</v>
      </c>
      <c r="C64" s="4" t="s">
        <v>11</v>
      </c>
      <c r="D64" s="3" t="s">
        <v>39</v>
      </c>
      <c r="E64" s="4">
        <v>16</v>
      </c>
      <c r="F64" s="21"/>
      <c r="G64" s="24"/>
      <c r="H64" s="19">
        <f>SAÍDAS[[#This Row],[Quantidade]]-SAÍDAS[[#This Row],[Quantidade Devolvida]]</f>
        <v>16</v>
      </c>
      <c r="I64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0</v>
      </c>
      <c r="J64" s="10">
        <f>VLOOKUP(SAÍDAS[[#This Row],[Produto]],PRODUTO[],6,0)</f>
        <v>11</v>
      </c>
      <c r="K64" s="10">
        <f>SAÍDAS[[#This Row],[Quantidade Vendida]]*SAÍDAS[[#This Row],[Preço Unitário]]</f>
        <v>176</v>
      </c>
    </row>
    <row r="65" spans="2:11" x14ac:dyDescent="0.3">
      <c r="B65" s="33">
        <v>43871</v>
      </c>
      <c r="C65" s="4" t="s">
        <v>12</v>
      </c>
      <c r="D65" s="3" t="s">
        <v>39</v>
      </c>
      <c r="E65" s="4">
        <v>2</v>
      </c>
      <c r="F65" s="21"/>
      <c r="G65" s="24"/>
      <c r="H65" s="19">
        <f>SAÍDAS[[#This Row],[Quantidade]]-SAÍDAS[[#This Row],[Quantidade Devolvida]]</f>
        <v>2</v>
      </c>
      <c r="I65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79</v>
      </c>
      <c r="J65" s="10">
        <f>VLOOKUP(SAÍDAS[[#This Row],[Produto]],PRODUTO[],6,0)</f>
        <v>5</v>
      </c>
      <c r="K65" s="10">
        <f>SAÍDAS[[#This Row],[Quantidade Vendida]]*SAÍDAS[[#This Row],[Preço Unitário]]</f>
        <v>10</v>
      </c>
    </row>
    <row r="66" spans="2:11" x14ac:dyDescent="0.3">
      <c r="B66" s="33">
        <v>43871</v>
      </c>
      <c r="C66" s="4" t="s">
        <v>13</v>
      </c>
      <c r="D66" s="3" t="s">
        <v>39</v>
      </c>
      <c r="E66" s="4">
        <v>20</v>
      </c>
      <c r="F66" s="21"/>
      <c r="G66" s="24"/>
      <c r="H66" s="19">
        <f>SAÍDAS[[#This Row],[Quantidade]]-SAÍDAS[[#This Row],[Quantidade Devolvida]]</f>
        <v>20</v>
      </c>
      <c r="I66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18</v>
      </c>
      <c r="J66" s="10">
        <f>VLOOKUP(SAÍDAS[[#This Row],[Produto]],PRODUTO[],6,0)</f>
        <v>3.4</v>
      </c>
      <c r="K66" s="10">
        <f>SAÍDAS[[#This Row],[Quantidade Vendida]]*SAÍDAS[[#This Row],[Preço Unitário]]</f>
        <v>68</v>
      </c>
    </row>
    <row r="67" spans="2:11" x14ac:dyDescent="0.3">
      <c r="B67" s="33">
        <v>43902</v>
      </c>
      <c r="C67" s="3" t="s">
        <v>4</v>
      </c>
      <c r="D67" s="3" t="s">
        <v>39</v>
      </c>
      <c r="E67" s="4">
        <v>50</v>
      </c>
      <c r="F67" s="21"/>
      <c r="G67" s="24"/>
      <c r="H67" s="19">
        <f>SAÍDAS[[#This Row],[Quantidade]]-SAÍDAS[[#This Row],[Quantidade Devolvida]]</f>
        <v>50</v>
      </c>
      <c r="I67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23</v>
      </c>
      <c r="J67" s="10">
        <f>VLOOKUP(SAÍDAS[[#This Row],[Produto]],PRODUTO[],6,0)</f>
        <v>4.5</v>
      </c>
      <c r="K67" s="10">
        <f>SAÍDAS[[#This Row],[Quantidade Vendida]]*SAÍDAS[[#This Row],[Preço Unitário]]</f>
        <v>225</v>
      </c>
    </row>
    <row r="68" spans="2:11" x14ac:dyDescent="0.3">
      <c r="B68" s="33">
        <v>43902</v>
      </c>
      <c r="C68" s="4" t="s">
        <v>5</v>
      </c>
      <c r="D68" s="3" t="s">
        <v>39</v>
      </c>
      <c r="E68" s="4">
        <v>35</v>
      </c>
      <c r="F68" s="21"/>
      <c r="G68" s="24"/>
      <c r="H68" s="19">
        <f>SAÍDAS[[#This Row],[Quantidade]]-SAÍDAS[[#This Row],[Quantidade Devolvida]]</f>
        <v>35</v>
      </c>
      <c r="I68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43</v>
      </c>
      <c r="J68" s="10">
        <f>VLOOKUP(SAÍDAS[[#This Row],[Produto]],PRODUTO[],6,0)</f>
        <v>2.8</v>
      </c>
      <c r="K68" s="10">
        <f>SAÍDAS[[#This Row],[Quantidade Vendida]]*SAÍDAS[[#This Row],[Preço Unitário]]</f>
        <v>98</v>
      </c>
    </row>
    <row r="69" spans="2:11" x14ac:dyDescent="0.3">
      <c r="B69" s="33">
        <v>43902</v>
      </c>
      <c r="C69" s="4" t="s">
        <v>6</v>
      </c>
      <c r="D69" s="3" t="s">
        <v>39</v>
      </c>
      <c r="E69" s="4">
        <v>50</v>
      </c>
      <c r="F69" s="21"/>
      <c r="G69" s="24"/>
      <c r="H69" s="19">
        <f>SAÍDAS[[#This Row],[Quantidade]]-SAÍDAS[[#This Row],[Quantidade Devolvida]]</f>
        <v>50</v>
      </c>
      <c r="I69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1</v>
      </c>
      <c r="J69" s="10">
        <f>VLOOKUP(SAÍDAS[[#This Row],[Produto]],PRODUTO[],6,0)</f>
        <v>3.5</v>
      </c>
      <c r="K69" s="10">
        <f>SAÍDAS[[#This Row],[Quantidade Vendida]]*SAÍDAS[[#This Row],[Preço Unitário]]</f>
        <v>175</v>
      </c>
    </row>
    <row r="70" spans="2:11" x14ac:dyDescent="0.3">
      <c r="B70" s="33">
        <v>43902</v>
      </c>
      <c r="C70" s="4" t="s">
        <v>7</v>
      </c>
      <c r="D70" s="3" t="s">
        <v>39</v>
      </c>
      <c r="E70" s="4">
        <v>10</v>
      </c>
      <c r="F70" s="21"/>
      <c r="G70" s="24"/>
      <c r="H70" s="19">
        <f>SAÍDAS[[#This Row],[Quantidade]]-SAÍDAS[[#This Row],[Quantidade Devolvida]]</f>
        <v>10</v>
      </c>
      <c r="I70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70</v>
      </c>
      <c r="J70" s="10">
        <f>VLOOKUP(SAÍDAS[[#This Row],[Produto]],PRODUTO[],6,0)</f>
        <v>2.1</v>
      </c>
      <c r="K70" s="10">
        <f>SAÍDAS[[#This Row],[Quantidade Vendida]]*SAÍDAS[[#This Row],[Preço Unitário]]</f>
        <v>21</v>
      </c>
    </row>
    <row r="71" spans="2:11" x14ac:dyDescent="0.3">
      <c r="B71" s="33">
        <v>43902</v>
      </c>
      <c r="C71" s="4" t="s">
        <v>8</v>
      </c>
      <c r="D71" s="3" t="s">
        <v>39</v>
      </c>
      <c r="E71" s="4">
        <v>20</v>
      </c>
      <c r="F71" s="21"/>
      <c r="G71" s="24"/>
      <c r="H71" s="19">
        <f>SAÍDAS[[#This Row],[Quantidade]]-SAÍDAS[[#This Row],[Quantidade Devolvida]]</f>
        <v>20</v>
      </c>
      <c r="I71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64</v>
      </c>
      <c r="J71" s="10">
        <f>VLOOKUP(SAÍDAS[[#This Row],[Produto]],PRODUTO[],6,0)</f>
        <v>4.5999999999999996</v>
      </c>
      <c r="K71" s="10">
        <f>SAÍDAS[[#This Row],[Quantidade Vendida]]*SAÍDAS[[#This Row],[Preço Unitário]]</f>
        <v>92</v>
      </c>
    </row>
    <row r="72" spans="2:11" x14ac:dyDescent="0.3">
      <c r="B72" s="33">
        <v>43902</v>
      </c>
      <c r="C72" s="4" t="s">
        <v>9</v>
      </c>
      <c r="D72" s="3" t="s">
        <v>39</v>
      </c>
      <c r="E72" s="4">
        <v>25</v>
      </c>
      <c r="F72" s="21"/>
      <c r="G72" s="24"/>
      <c r="H72" s="19">
        <f>SAÍDAS[[#This Row],[Quantidade]]-SAÍDAS[[#This Row],[Quantidade Devolvida]]</f>
        <v>25</v>
      </c>
      <c r="I72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39</v>
      </c>
      <c r="J72" s="10">
        <f>VLOOKUP(SAÍDAS[[#This Row],[Produto]],PRODUTO[],6,0)</f>
        <v>25</v>
      </c>
      <c r="K72" s="10">
        <f>SAÍDAS[[#This Row],[Quantidade Vendida]]*SAÍDAS[[#This Row],[Preço Unitário]]</f>
        <v>625</v>
      </c>
    </row>
    <row r="73" spans="2:11" x14ac:dyDescent="0.3">
      <c r="B73" s="33">
        <v>43902</v>
      </c>
      <c r="C73" s="4" t="s">
        <v>10</v>
      </c>
      <c r="D73" s="3" t="s">
        <v>39</v>
      </c>
      <c r="E73" s="4">
        <v>11</v>
      </c>
      <c r="F73" s="21"/>
      <c r="G73" s="24"/>
      <c r="H73" s="19">
        <f>SAÍDAS[[#This Row],[Quantidade]]-SAÍDAS[[#This Row],[Quantidade Devolvida]]</f>
        <v>11</v>
      </c>
      <c r="I73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44</v>
      </c>
      <c r="J73" s="10">
        <f>VLOOKUP(SAÍDAS[[#This Row],[Produto]],PRODUTO[],6,0)</f>
        <v>3.5</v>
      </c>
      <c r="K73" s="10">
        <f>SAÍDAS[[#This Row],[Quantidade Vendida]]*SAÍDAS[[#This Row],[Preço Unitário]]</f>
        <v>38.5</v>
      </c>
    </row>
    <row r="74" spans="2:11" x14ac:dyDescent="0.3">
      <c r="B74" s="33">
        <v>43902</v>
      </c>
      <c r="C74" s="4" t="s">
        <v>11</v>
      </c>
      <c r="D74" s="3" t="s">
        <v>39</v>
      </c>
      <c r="E74" s="4">
        <v>12</v>
      </c>
      <c r="F74" s="21"/>
      <c r="G74" s="24"/>
      <c r="H74" s="19">
        <f>SAÍDAS[[#This Row],[Quantidade]]-SAÍDAS[[#This Row],[Quantidade Devolvida]]</f>
        <v>12</v>
      </c>
      <c r="I74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38</v>
      </c>
      <c r="J74" s="10">
        <f>VLOOKUP(SAÍDAS[[#This Row],[Produto]],PRODUTO[],6,0)</f>
        <v>11</v>
      </c>
      <c r="K74" s="10">
        <f>SAÍDAS[[#This Row],[Quantidade Vendida]]*SAÍDAS[[#This Row],[Preço Unitário]]</f>
        <v>132</v>
      </c>
    </row>
    <row r="75" spans="2:11" x14ac:dyDescent="0.3">
      <c r="B75" s="33">
        <v>43902</v>
      </c>
      <c r="C75" s="4" t="s">
        <v>12</v>
      </c>
      <c r="D75" s="3" t="s">
        <v>39</v>
      </c>
      <c r="E75" s="4">
        <v>10</v>
      </c>
      <c r="F75" s="21"/>
      <c r="G75" s="24"/>
      <c r="H75" s="19">
        <f>SAÍDAS[[#This Row],[Quantidade]]-SAÍDAS[[#This Row],[Quantidade Devolvida]]</f>
        <v>10</v>
      </c>
      <c r="I75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81</v>
      </c>
      <c r="J75" s="10">
        <f>VLOOKUP(SAÍDAS[[#This Row],[Produto]],PRODUTO[],6,0)</f>
        <v>5</v>
      </c>
      <c r="K75" s="10">
        <f>SAÍDAS[[#This Row],[Quantidade Vendida]]*SAÍDAS[[#This Row],[Preço Unitário]]</f>
        <v>50</v>
      </c>
    </row>
    <row r="76" spans="2:11" x14ac:dyDescent="0.3">
      <c r="B76" s="33">
        <v>43902</v>
      </c>
      <c r="C76" s="4" t="s">
        <v>13</v>
      </c>
      <c r="D76" s="3" t="s">
        <v>39</v>
      </c>
      <c r="E76" s="4">
        <v>20</v>
      </c>
      <c r="F76" s="21"/>
      <c r="G76" s="24"/>
      <c r="H76" s="19">
        <f>SAÍDAS[[#This Row],[Quantidade]]-SAÍDAS[[#This Row],[Quantidade Devolvida]]</f>
        <v>20</v>
      </c>
      <c r="I76" s="13">
        <f>SUMIFS(ENTRADAS[Quantidade],ENTRADAS[Data da Compra],"&lt;=" &amp; SAÍDAS[[#This Row],[Data da Venda]],ENTRADAS[Produto],SAÍDAS[[#This Row],[Produto]])-SUMIFS(SAÍDAS[Quantidade Vendida],SAÍDAS[Data da Venda],"&lt;=" &amp; SAÍDAS[[#This Row],[Data da Venda]],SAÍDAS[Produto],SAÍDAS[[#This Row],[Produto]])</f>
        <v>9</v>
      </c>
      <c r="J76" s="10">
        <f>VLOOKUP(SAÍDAS[[#This Row],[Produto]],PRODUTO[],6,0)</f>
        <v>3.4</v>
      </c>
      <c r="K76" s="10">
        <f>SAÍDAS[[#This Row],[Quantidade Vendida]]*SAÍDAS[[#This Row],[Preço Unitário]]</f>
        <v>68</v>
      </c>
    </row>
  </sheetData>
  <dataValidations count="3">
    <dataValidation type="list" allowBlank="1" showInputMessage="1" showErrorMessage="1" sqref="C7:C76" xr:uid="{21AC9D2E-0542-4264-8753-A5B0F174E634}">
      <formula1>LISTA_PRODUTOS</formula1>
    </dataValidation>
    <dataValidation type="list" allowBlank="1" showInputMessage="1" showErrorMessage="1" sqref="D7:D76" xr:uid="{5599C669-AA9D-402B-8A58-34993582974C}">
      <formula1>LISTA_LOJAS</formula1>
    </dataValidation>
    <dataValidation type="custom" allowBlank="1" showInputMessage="1" showErrorMessage="1" errorTitle="NÃO HÁ ESTOQUE" error="Este produto está em FALTA ou não possui quantidade suficiente em estoque para esta venda. _x000a__x000a_Verifique na aba CONTROLE ESTOQUE o Status deste produto e entre em contato com o fornecedor para fazer a reposição do estoque." sqref="E7:E76" xr:uid="{1CBCE051-B9D1-4B6B-9A65-489870B5F24A}">
      <formula1>$I7&gt;=0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5CC5B-6F27-4A93-AC8B-A8291AD29F7A}">
  <sheetPr codeName="Planilha9"/>
  <dimension ref="B1:J17"/>
  <sheetViews>
    <sheetView showGridLines="0" workbookViewId="0">
      <pane ySplit="6" topLeftCell="A7" activePane="bottomLeft" state="frozen"/>
      <selection pane="bottomLeft" activeCell="F4" sqref="F4"/>
    </sheetView>
  </sheetViews>
  <sheetFormatPr defaultRowHeight="14.4" x14ac:dyDescent="0.3"/>
  <cols>
    <col min="1" max="1" width="2.88671875" customWidth="1"/>
    <col min="2" max="2" width="17.6640625" customWidth="1"/>
    <col min="3" max="6" width="18.33203125" customWidth="1"/>
    <col min="7" max="7" width="21.44140625" customWidth="1"/>
    <col min="8" max="8" width="22" customWidth="1"/>
    <col min="9" max="11" width="14.44140625" customWidth="1"/>
  </cols>
  <sheetData>
    <row r="1" spans="2:10" s="52" customFormat="1" ht="39.75" customHeight="1" x14ac:dyDescent="0.3">
      <c r="C1" s="53" t="s">
        <v>56</v>
      </c>
    </row>
    <row r="2" spans="2:10" s="54" customFormat="1" ht="3.75" customHeight="1" x14ac:dyDescent="0.3"/>
    <row r="4" spans="2:10" x14ac:dyDescent="0.3">
      <c r="B4" s="34" t="s">
        <v>97</v>
      </c>
      <c r="C4" s="35"/>
      <c r="D4" s="35"/>
      <c r="E4" s="35"/>
      <c r="F4" s="35" t="str">
        <f>IF(COUNTA(CONTROLE[Produto])=COUNTA(PRODUTO[Item]),"Sim!","Não! Tabela de Controle de Estoque defasada, acrescentar produto faltante.")</f>
        <v>Sim!</v>
      </c>
    </row>
    <row r="5" spans="2:10" ht="18" x14ac:dyDescent="0.35">
      <c r="B5" s="9"/>
      <c r="C5" s="8"/>
      <c r="D5" s="8"/>
      <c r="E5" s="8"/>
      <c r="F5" s="8"/>
      <c r="G5" s="8"/>
    </row>
    <row r="6" spans="2:10" ht="35.25" customHeight="1" x14ac:dyDescent="0.3">
      <c r="B6" s="5" t="s">
        <v>35</v>
      </c>
      <c r="C6" s="5" t="s">
        <v>46</v>
      </c>
      <c r="D6" s="5" t="s">
        <v>47</v>
      </c>
      <c r="E6" s="5" t="s">
        <v>29</v>
      </c>
      <c r="F6" s="5" t="s">
        <v>28</v>
      </c>
      <c r="G6" s="6" t="s">
        <v>48</v>
      </c>
      <c r="H6" s="6" t="s">
        <v>49</v>
      </c>
      <c r="I6" s="6" t="s">
        <v>50</v>
      </c>
      <c r="J6" s="6" t="s">
        <v>51</v>
      </c>
    </row>
    <row r="7" spans="2:10" x14ac:dyDescent="0.3">
      <c r="B7" s="15" t="s">
        <v>4</v>
      </c>
      <c r="C7" s="15">
        <f>IF(CONTROLE[[#This Row],[Produto]]&lt;&gt;"",SUMIF(ENTRADAS[Produto],CONTROLE[[#This Row],[Produto]],ENTRADAS[Quantidade]),"")</f>
        <v>161</v>
      </c>
      <c r="D7" s="15">
        <f>IF(CONTROLE[[#This Row],[Produto]]&lt;&gt;"",SUMIF(SAÍDAS[Produto],CONTROLE[[#This Row],[Produto]],SAÍDAS[Quantidade Vendida]),"")</f>
        <v>138</v>
      </c>
      <c r="E7" s="15">
        <f>IFERROR(CONTROLE[[#This Row],[Entradas]]-CONTROLE[[#This Row],[Saídas]],"")</f>
        <v>23</v>
      </c>
      <c r="F7" s="15">
        <f>IFERROR(VLOOKUP(CONTROLE[[#This Row],[Produto]],PRODUTO[#All],4,0),"")</f>
        <v>10</v>
      </c>
      <c r="G7" s="16" t="str">
        <f>IF(CONTROLE[[#This Row],[Produto]]&lt;&gt;"",IF(CONTROLE[[#This Row],[Saldo]]=0,"Sem Estoque",IF(CONTROLE[[#This Row],[Saldo]]&lt;CONTROLE[[#This Row],[Estoque Mínimo]],"Estoque Perigoso","Estoque Confortável")),"")</f>
        <v>Estoque Confortável</v>
      </c>
      <c r="H7" s="18">
        <f>SUMIF(SAÍDAS[Produto],CONTROLE[[#This Row],[Produto]],SAÍDAS[Valor de Venda Total])</f>
        <v>621</v>
      </c>
      <c r="I7" s="18">
        <f>SUMIF(ENTRADAS[Produto],CONTROLE[[#This Row],[Produto]],ENTRADAS[Valor de Compra Total])</f>
        <v>322</v>
      </c>
      <c r="J7" s="18">
        <f>CONTROLE[[#This Row],[Receita Total]]-CONTROLE[[#This Row],[Custo Total]]</f>
        <v>299</v>
      </c>
    </row>
    <row r="8" spans="2:10" x14ac:dyDescent="0.3">
      <c r="B8" s="15" t="s">
        <v>5</v>
      </c>
      <c r="C8" s="15">
        <f>IF(CONTROLE[[#This Row],[Produto]]&lt;&gt;"",SUMIF(ENTRADAS[Produto],CONTROLE[[#This Row],[Produto]],ENTRADAS[Quantidade]),"")</f>
        <v>145</v>
      </c>
      <c r="D8" s="15">
        <f>IF(CONTROLE[[#This Row],[Produto]]&lt;&gt;"",SUMIF(SAÍDAS[Produto],CONTROLE[[#This Row],[Produto]],SAÍDAS[Quantidade Vendida]),"")</f>
        <v>102</v>
      </c>
      <c r="E8" s="15">
        <f>IFERROR(CONTROLE[[#This Row],[Entradas]]-CONTROLE[[#This Row],[Saídas]],"")</f>
        <v>43</v>
      </c>
      <c r="F8" s="15">
        <f>IFERROR(VLOOKUP(CONTROLE[[#This Row],[Produto]],PRODUTO[#All],4,0),"")</f>
        <v>50</v>
      </c>
      <c r="G8" s="16" t="str">
        <f>IF(CONTROLE[[#This Row],[Produto]]&lt;&gt;"",IF(CONTROLE[[#This Row],[Saldo]]=0,"Sem Estoque",IF(CONTROLE[[#This Row],[Saldo]]&lt;CONTROLE[[#This Row],[Estoque Mínimo]],"Estoque Perigoso","Estoque Confortável")),"")</f>
        <v>Estoque Perigoso</v>
      </c>
      <c r="H8" s="18">
        <f>SUMIF(SAÍDAS[Produto],CONTROLE[[#This Row],[Produto]],SAÍDAS[Valor de Venda Total])</f>
        <v>285.60000000000002</v>
      </c>
      <c r="I8" s="18">
        <f>SUMIF(ENTRADAS[Produto],CONTROLE[[#This Row],[Produto]],ENTRADAS[Valor de Compra Total])</f>
        <v>217.5</v>
      </c>
      <c r="J8" s="18">
        <f>CONTROLE[[#This Row],[Receita Total]]-CONTROLE[[#This Row],[Custo Total]]</f>
        <v>68.100000000000023</v>
      </c>
    </row>
    <row r="9" spans="2:10" x14ac:dyDescent="0.3">
      <c r="B9" s="15" t="s">
        <v>6</v>
      </c>
      <c r="C9" s="15">
        <f>IF(CONTROLE[[#This Row],[Produto]]&lt;&gt;"",SUMIF(ENTRADAS[Produto],CONTROLE[[#This Row],[Produto]],ENTRADAS[Quantidade]),"")</f>
        <v>91</v>
      </c>
      <c r="D9" s="15">
        <f>IF(CONTROLE[[#This Row],[Produto]]&lt;&gt;"",SUMIF(SAÍDAS[Produto],CONTROLE[[#This Row],[Produto]],SAÍDAS[Quantidade Vendida]),"")</f>
        <v>90</v>
      </c>
      <c r="E9" s="15">
        <f>IFERROR(CONTROLE[[#This Row],[Entradas]]-CONTROLE[[#This Row],[Saídas]],"")</f>
        <v>1</v>
      </c>
      <c r="F9" s="15">
        <f>IFERROR(VLOOKUP(CONTROLE[[#This Row],[Produto]],PRODUTO[#All],4,0),"")</f>
        <v>1</v>
      </c>
      <c r="G9" s="16" t="str">
        <f>IF(CONTROLE[[#This Row],[Produto]]&lt;&gt;"",IF(CONTROLE[[#This Row],[Saldo]]=0,"Sem Estoque",IF(CONTROLE[[#This Row],[Saldo]]&lt;CONTROLE[[#This Row],[Estoque Mínimo]],"Estoque Perigoso","Estoque Confortável")),"")</f>
        <v>Estoque Confortável</v>
      </c>
      <c r="H9" s="18">
        <f>SUMIF(SAÍDAS[Produto],CONTROLE[[#This Row],[Produto]],SAÍDAS[Valor de Venda Total])</f>
        <v>315</v>
      </c>
      <c r="I9" s="18">
        <f>SUMIF(ENTRADAS[Produto],CONTROLE[[#This Row],[Produto]],ENTRADAS[Valor de Compra Total])</f>
        <v>91</v>
      </c>
      <c r="J9" s="18">
        <f>CONTROLE[[#This Row],[Receita Total]]-CONTROLE[[#This Row],[Custo Total]]</f>
        <v>224</v>
      </c>
    </row>
    <row r="10" spans="2:10" x14ac:dyDescent="0.3">
      <c r="B10" s="15" t="s">
        <v>7</v>
      </c>
      <c r="C10" s="15">
        <f>IF(CONTROLE[[#This Row],[Produto]]&lt;&gt;"",SUMIF(ENTRADAS[Produto],CONTROLE[[#This Row],[Produto]],ENTRADAS[Quantidade]),"")</f>
        <v>182</v>
      </c>
      <c r="D10" s="15">
        <f>IF(CONTROLE[[#This Row],[Produto]]&lt;&gt;"",SUMIF(SAÍDAS[Produto],CONTROLE[[#This Row],[Produto]],SAÍDAS[Quantidade Vendida]),"")</f>
        <v>112</v>
      </c>
      <c r="E10" s="15">
        <f>IFERROR(CONTROLE[[#This Row],[Entradas]]-CONTROLE[[#This Row],[Saídas]],"")</f>
        <v>70</v>
      </c>
      <c r="F10" s="15">
        <f>IFERROR(VLOOKUP(CONTROLE[[#This Row],[Produto]],PRODUTO[#All],4,0),"")</f>
        <v>2</v>
      </c>
      <c r="G10" s="16" t="str">
        <f>IF(CONTROLE[[#This Row],[Produto]]&lt;&gt;"",IF(CONTROLE[[#This Row],[Saldo]]=0,"Sem Estoque",IF(CONTROLE[[#This Row],[Saldo]]&lt;CONTROLE[[#This Row],[Estoque Mínimo]],"Estoque Perigoso","Estoque Confortável")),"")</f>
        <v>Estoque Confortável</v>
      </c>
      <c r="H10" s="18">
        <f>SUMIF(SAÍDAS[Produto],CONTROLE[[#This Row],[Produto]],SAÍDAS[Valor de Venda Total])</f>
        <v>235.2</v>
      </c>
      <c r="I10" s="18">
        <f>SUMIF(ENTRADAS[Produto],CONTROLE[[#This Row],[Produto]],ENTRADAS[Valor de Compra Total])</f>
        <v>91</v>
      </c>
      <c r="J10" s="18">
        <f>CONTROLE[[#This Row],[Receita Total]]-CONTROLE[[#This Row],[Custo Total]]</f>
        <v>144.19999999999999</v>
      </c>
    </row>
    <row r="11" spans="2:10" x14ac:dyDescent="0.3">
      <c r="B11" s="15" t="s">
        <v>8</v>
      </c>
      <c r="C11" s="15">
        <f>IF(CONTROLE[[#This Row],[Produto]]&lt;&gt;"",SUMIF(ENTRADAS[Produto],CONTROLE[[#This Row],[Produto]],ENTRADAS[Quantidade]),"")</f>
        <v>158</v>
      </c>
      <c r="D11" s="15">
        <f>IF(CONTROLE[[#This Row],[Produto]]&lt;&gt;"",SUMIF(SAÍDAS[Produto],CONTROLE[[#This Row],[Produto]],SAÍDAS[Quantidade Vendida]),"")</f>
        <v>94</v>
      </c>
      <c r="E11" s="15">
        <f>IFERROR(CONTROLE[[#This Row],[Entradas]]-CONTROLE[[#This Row],[Saídas]],"")</f>
        <v>64</v>
      </c>
      <c r="F11" s="15">
        <f>IFERROR(VLOOKUP(CONTROLE[[#This Row],[Produto]],PRODUTO[#All],4,0),"")</f>
        <v>3</v>
      </c>
      <c r="G11" s="16" t="str">
        <f>IF(CONTROLE[[#This Row],[Produto]]&lt;&gt;"",IF(CONTROLE[[#This Row],[Saldo]]=0,"Sem Estoque",IF(CONTROLE[[#This Row],[Saldo]]&lt;CONTROLE[[#This Row],[Estoque Mínimo]],"Estoque Perigoso","Estoque Confortável")),"")</f>
        <v>Estoque Confortável</v>
      </c>
      <c r="H11" s="18">
        <f>SUMIF(SAÍDAS[Produto],CONTROLE[[#This Row],[Produto]],SAÍDAS[Valor de Venda Total])</f>
        <v>432.4</v>
      </c>
      <c r="I11" s="18">
        <f>SUMIF(ENTRADAS[Produto],CONTROLE[[#This Row],[Produto]],ENTRADAS[Valor de Compra Total])</f>
        <v>205.4</v>
      </c>
      <c r="J11" s="18">
        <f>CONTROLE[[#This Row],[Receita Total]]-CONTROLE[[#This Row],[Custo Total]]</f>
        <v>226.99999999999997</v>
      </c>
    </row>
    <row r="12" spans="2:10" x14ac:dyDescent="0.3">
      <c r="B12" s="17" t="s">
        <v>9</v>
      </c>
      <c r="C12" s="15">
        <f>IF(CONTROLE[[#This Row],[Produto]]&lt;&gt;"",SUMIF(ENTRADAS[Produto],CONTROLE[[#This Row],[Produto]],ENTRADAS[Quantidade]),"")</f>
        <v>123</v>
      </c>
      <c r="D12" s="15">
        <f>IF(CONTROLE[[#This Row],[Produto]]&lt;&gt;"",SUMIF(SAÍDAS[Produto],CONTROLE[[#This Row],[Produto]],SAÍDAS[Quantidade Vendida]),"")</f>
        <v>84</v>
      </c>
      <c r="E12" s="15">
        <f>IFERROR(CONTROLE[[#This Row],[Entradas]]-CONTROLE[[#This Row],[Saídas]],"")</f>
        <v>39</v>
      </c>
      <c r="F12" s="15">
        <f>IFERROR(VLOOKUP(CONTROLE[[#This Row],[Produto]],PRODUTO[#All],4,0),"")</f>
        <v>1</v>
      </c>
      <c r="G12" s="16" t="str">
        <f>IF(CONTROLE[[#This Row],[Produto]]&lt;&gt;"",IF(CONTROLE[[#This Row],[Saldo]]=0,"Sem Estoque",IF(CONTROLE[[#This Row],[Saldo]]&lt;CONTROLE[[#This Row],[Estoque Mínimo]],"Estoque Perigoso","Estoque Confortável")),"")</f>
        <v>Estoque Confortável</v>
      </c>
      <c r="H12" s="18">
        <f>SUMIF(SAÍDAS[Produto],CONTROLE[[#This Row],[Produto]],SAÍDAS[Valor de Venda Total])</f>
        <v>2100</v>
      </c>
      <c r="I12" s="18">
        <f>SUMIF(ENTRADAS[Produto],CONTROLE[[#This Row],[Produto]],ENTRADAS[Valor de Compra Total])</f>
        <v>1230</v>
      </c>
      <c r="J12" s="18">
        <f>CONTROLE[[#This Row],[Receita Total]]-CONTROLE[[#This Row],[Custo Total]]</f>
        <v>870</v>
      </c>
    </row>
    <row r="13" spans="2:10" x14ac:dyDescent="0.3">
      <c r="B13" s="17" t="s">
        <v>10</v>
      </c>
      <c r="C13" s="15">
        <f>IF(CONTROLE[[#This Row],[Produto]]&lt;&gt;"",SUMIF(ENTRADAS[Produto],CONTROLE[[#This Row],[Produto]],ENTRADAS[Quantidade]),"")</f>
        <v>120</v>
      </c>
      <c r="D13" s="15">
        <f>IF(CONTROLE[[#This Row],[Produto]]&lt;&gt;"",SUMIF(SAÍDAS[Produto],CONTROLE[[#This Row],[Produto]],SAÍDAS[Quantidade Vendida]),"")</f>
        <v>76</v>
      </c>
      <c r="E13" s="15">
        <f>IFERROR(CONTROLE[[#This Row],[Entradas]]-CONTROLE[[#This Row],[Saídas]],"")</f>
        <v>44</v>
      </c>
      <c r="F13" s="15">
        <f>IFERROR(VLOOKUP(CONTROLE[[#This Row],[Produto]],PRODUTO[#All],4,0),"")</f>
        <v>1</v>
      </c>
      <c r="G13" s="16" t="str">
        <f>IF(CONTROLE[[#This Row],[Produto]]&lt;&gt;"",IF(CONTROLE[[#This Row],[Saldo]]=0,"Sem Estoque",IF(CONTROLE[[#This Row],[Saldo]]&lt;CONTROLE[[#This Row],[Estoque Mínimo]],"Estoque Perigoso","Estoque Confortável")),"")</f>
        <v>Estoque Confortável</v>
      </c>
      <c r="H13" s="18">
        <f>SUMIF(SAÍDAS[Produto],CONTROLE[[#This Row],[Produto]],SAÍDAS[Valor de Venda Total])</f>
        <v>266</v>
      </c>
      <c r="I13" s="18">
        <f>SUMIF(ENTRADAS[Produto],CONTROLE[[#This Row],[Produto]],ENTRADAS[Valor de Compra Total])</f>
        <v>240</v>
      </c>
      <c r="J13" s="18">
        <f>CONTROLE[[#This Row],[Receita Total]]-CONTROLE[[#This Row],[Custo Total]]</f>
        <v>26</v>
      </c>
    </row>
    <row r="14" spans="2:10" x14ac:dyDescent="0.3">
      <c r="B14" s="17" t="s">
        <v>11</v>
      </c>
      <c r="C14" s="15">
        <f>IF(CONTROLE[[#This Row],[Produto]]&lt;&gt;"",SUMIF(ENTRADAS[Produto],CONTROLE[[#This Row],[Produto]],ENTRADAS[Quantidade]),"")</f>
        <v>100</v>
      </c>
      <c r="D14" s="15">
        <f>IF(CONTROLE[[#This Row],[Produto]]&lt;&gt;"",SUMIF(SAÍDAS[Produto],CONTROLE[[#This Row],[Produto]],SAÍDAS[Quantidade Vendida]),"")</f>
        <v>62</v>
      </c>
      <c r="E14" s="15">
        <f>IFERROR(CONTROLE[[#This Row],[Entradas]]-CONTROLE[[#This Row],[Saídas]],"")</f>
        <v>38</v>
      </c>
      <c r="F14" s="15">
        <f>IFERROR(VLOOKUP(CONTROLE[[#This Row],[Produto]],PRODUTO[#All],4,0),"")</f>
        <v>10</v>
      </c>
      <c r="G14" s="16" t="str">
        <f>IF(CONTROLE[[#This Row],[Produto]]&lt;&gt;"",IF(CONTROLE[[#This Row],[Saldo]]=0,"Sem Estoque",IF(CONTROLE[[#This Row],[Saldo]]&lt;CONTROLE[[#This Row],[Estoque Mínimo]],"Estoque Perigoso","Estoque Confortável")),"")</f>
        <v>Estoque Confortável</v>
      </c>
      <c r="H14" s="18">
        <f>SUMIF(SAÍDAS[Produto],CONTROLE[[#This Row],[Produto]],SAÍDAS[Valor de Venda Total])</f>
        <v>682</v>
      </c>
      <c r="I14" s="18">
        <f>SUMIF(ENTRADAS[Produto],CONTROLE[[#This Row],[Produto]],ENTRADAS[Valor de Compra Total])</f>
        <v>500</v>
      </c>
      <c r="J14" s="18">
        <f>CONTROLE[[#This Row],[Receita Total]]-CONTROLE[[#This Row],[Custo Total]]</f>
        <v>182</v>
      </c>
    </row>
    <row r="15" spans="2:10" x14ac:dyDescent="0.3">
      <c r="B15" s="17" t="s">
        <v>12</v>
      </c>
      <c r="C15" s="15">
        <f>IF(CONTROLE[[#This Row],[Produto]]&lt;&gt;"",SUMIF(ENTRADAS[Produto],CONTROLE[[#This Row],[Produto]],ENTRADAS[Quantidade]),"")</f>
        <v>148</v>
      </c>
      <c r="D15" s="15">
        <f>IF(CONTROLE[[#This Row],[Produto]]&lt;&gt;"",SUMIF(SAÍDAS[Produto],CONTROLE[[#This Row],[Produto]],SAÍDAS[Quantidade Vendida]),"")</f>
        <v>67</v>
      </c>
      <c r="E15" s="15">
        <f>IFERROR(CONTROLE[[#This Row],[Entradas]]-CONTROLE[[#This Row],[Saídas]],"")</f>
        <v>81</v>
      </c>
      <c r="F15" s="15">
        <f>IFERROR(VLOOKUP(CONTROLE[[#This Row],[Produto]],PRODUTO[#All],4,0),"")</f>
        <v>10</v>
      </c>
      <c r="G15" s="16" t="str">
        <f>IF(CONTROLE[[#This Row],[Produto]]&lt;&gt;"",IF(CONTROLE[[#This Row],[Saldo]]=0,"Sem Estoque",IF(CONTROLE[[#This Row],[Saldo]]&lt;CONTROLE[[#This Row],[Estoque Mínimo]],"Estoque Perigoso","Estoque Confortável")),"")</f>
        <v>Estoque Confortável</v>
      </c>
      <c r="H15" s="18">
        <f>SUMIF(SAÍDAS[Produto],CONTROLE[[#This Row],[Produto]],SAÍDAS[Valor de Venda Total])</f>
        <v>335</v>
      </c>
      <c r="I15" s="18">
        <f>SUMIF(ENTRADAS[Produto],CONTROLE[[#This Row],[Produto]],ENTRADAS[Valor de Compra Total])</f>
        <v>296</v>
      </c>
      <c r="J15" s="18">
        <f>CONTROLE[[#This Row],[Receita Total]]-CONTROLE[[#This Row],[Custo Total]]</f>
        <v>39</v>
      </c>
    </row>
    <row r="16" spans="2:10" x14ac:dyDescent="0.3">
      <c r="B16" s="17" t="s">
        <v>13</v>
      </c>
      <c r="C16" s="15">
        <f>IF(CONTROLE[[#This Row],[Produto]]&lt;&gt;"",SUMIF(ENTRADAS[Produto],CONTROLE[[#This Row],[Produto]],ENTRADAS[Quantidade]),"")</f>
        <v>79</v>
      </c>
      <c r="D16" s="15">
        <f>IF(CONTROLE[[#This Row],[Produto]]&lt;&gt;"",SUMIF(SAÍDAS[Produto],CONTROLE[[#This Row],[Produto]],SAÍDAS[Quantidade Vendida]),"")</f>
        <v>70</v>
      </c>
      <c r="E16" s="15">
        <f>IFERROR(CONTROLE[[#This Row],[Entradas]]-CONTROLE[[#This Row],[Saídas]],"")</f>
        <v>9</v>
      </c>
      <c r="F16" s="15">
        <f>IFERROR(VLOOKUP(CONTROLE[[#This Row],[Produto]],PRODUTO[#All],4,0),"")</f>
        <v>15</v>
      </c>
      <c r="G16" s="16" t="str">
        <f>IF(CONTROLE[[#This Row],[Produto]]&lt;&gt;"",IF(CONTROLE[[#This Row],[Saldo]]=0,"Sem Estoque",IF(CONTROLE[[#This Row],[Saldo]]&lt;CONTROLE[[#This Row],[Estoque Mínimo]],"Estoque Perigoso","Estoque Confortável")),"")</f>
        <v>Estoque Perigoso</v>
      </c>
      <c r="H16" s="18">
        <f>SUMIF(SAÍDAS[Produto],CONTROLE[[#This Row],[Produto]],SAÍDAS[Valor de Venda Total])</f>
        <v>238</v>
      </c>
      <c r="I16" s="18">
        <f>SUMIF(ENTRADAS[Produto],CONTROLE[[#This Row],[Produto]],ENTRADAS[Valor de Compra Total])</f>
        <v>79</v>
      </c>
      <c r="J16" s="18">
        <f>CONTROLE[[#This Row],[Receita Total]]-CONTROLE[[#This Row],[Custo Total]]</f>
        <v>159</v>
      </c>
    </row>
    <row r="17" spans="2:2" x14ac:dyDescent="0.3">
      <c r="B17" s="17" t="s">
        <v>13</v>
      </c>
    </row>
  </sheetData>
  <conditionalFormatting sqref="B7:J16 B17">
    <cfRule type="expression" dxfId="15" priority="6">
      <formula>$G7="Sem Estoque"</formula>
    </cfRule>
    <cfRule type="expression" dxfId="14" priority="7">
      <formula>$G7="Estoque Confortável"</formula>
    </cfRule>
    <cfRule type="expression" dxfId="13" priority="8">
      <formula>$G7="Estoque Perigoso"</formula>
    </cfRule>
  </conditionalFormatting>
  <conditionalFormatting sqref="F4">
    <cfRule type="containsText" dxfId="12" priority="1" operator="containsText" text="Não">
      <formula>NOT(ISERROR(SEARCH("Não",F4)))</formula>
    </cfRule>
    <cfRule type="containsText" dxfId="11" priority="2" operator="containsText" text="Sim">
      <formula>NOT(ISERROR(SEARCH("Sim",F4)))</formula>
    </cfRule>
  </conditionalFormatting>
  <dataValidations count="1">
    <dataValidation type="list" allowBlank="1" showInputMessage="1" showErrorMessage="1" sqref="B7:B17" xr:uid="{2E7F3EBA-34E5-4972-AF8E-CA9B71013C90}">
      <formula1>LISTA_PRODUTOS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58C9D-9D1E-40A9-9C35-FCE306E11862}">
  <dimension ref="B1:H13"/>
  <sheetViews>
    <sheetView showGridLines="0" zoomScaleNormal="100" workbookViewId="0">
      <selection activeCell="I7" sqref="I7"/>
    </sheetView>
  </sheetViews>
  <sheetFormatPr defaultRowHeight="14.4" x14ac:dyDescent="0.3"/>
  <cols>
    <col min="1" max="1" width="2.88671875" customWidth="1"/>
    <col min="2" max="2" width="32.5546875" customWidth="1"/>
    <col min="3" max="3" width="4.88671875" customWidth="1"/>
    <col min="4" max="4" width="32.5546875" customWidth="1"/>
    <col min="5" max="5" width="4.88671875" customWidth="1"/>
    <col min="6" max="6" width="32.5546875" customWidth="1"/>
    <col min="7" max="7" width="4.88671875" customWidth="1"/>
    <col min="8" max="9" width="32.5546875" customWidth="1"/>
    <col min="10" max="11" width="14.44140625" customWidth="1"/>
  </cols>
  <sheetData>
    <row r="1" spans="2:8" s="52" customFormat="1" ht="39.75" customHeight="1" x14ac:dyDescent="0.3">
      <c r="C1" s="53" t="s">
        <v>100</v>
      </c>
    </row>
    <row r="2" spans="2:8" s="54" customFormat="1" ht="3.75" customHeight="1" x14ac:dyDescent="0.3"/>
    <row r="8" spans="2:8" x14ac:dyDescent="0.3">
      <c r="B8" s="41"/>
      <c r="D8" s="41"/>
      <c r="F8" s="41"/>
      <c r="H8" s="41"/>
    </row>
    <row r="9" spans="2:8" ht="56.25" customHeight="1" x14ac:dyDescent="0.3">
      <c r="B9" s="44"/>
      <c r="D9" s="44"/>
      <c r="F9" s="44"/>
      <c r="H9" s="44"/>
    </row>
    <row r="12" spans="2:8" x14ac:dyDescent="0.3">
      <c r="B12" s="41"/>
      <c r="D12" s="41"/>
      <c r="F12" s="41"/>
      <c r="H12" s="41"/>
    </row>
    <row r="13" spans="2:8" ht="56.25" customHeight="1" x14ac:dyDescent="0.3">
      <c r="B13" s="45"/>
      <c r="D13" s="45"/>
      <c r="F13" s="46"/>
      <c r="H13" s="4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CAPA</vt:lpstr>
      <vt:lpstr>Instruções</vt:lpstr>
      <vt:lpstr>PROD</vt:lpstr>
      <vt:lpstr>FORN</vt:lpstr>
      <vt:lpstr>LOJAS</vt:lpstr>
      <vt:lpstr>ENTRADAS</vt:lpstr>
      <vt:lpstr>SAÍDAS</vt:lpstr>
      <vt:lpstr>CONT. ESTOQUE</vt:lpstr>
      <vt:lpstr>DASH VG</vt:lpstr>
      <vt:lpstr>DASH ESTOQUE</vt:lpstr>
      <vt:lpstr>DASH RESULTADOS</vt:lpstr>
      <vt:lpstr>Auxiliar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thoni</cp:lastModifiedBy>
  <dcterms:created xsi:type="dcterms:W3CDTF">2020-06-21T20:37:00Z</dcterms:created>
  <dcterms:modified xsi:type="dcterms:W3CDTF">2021-12-14T12:44:24Z</dcterms:modified>
</cp:coreProperties>
</file>