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moura/Documents/"/>
    </mc:Choice>
  </mc:AlternateContent>
  <xr:revisionPtr revIDLastSave="0" documentId="13_ncr:1_{6AA5E2CE-EE9E-1B4E-BEC0-10F20F071743}" xr6:coauthVersionLast="47" xr6:coauthVersionMax="47" xr10:uidLastSave="{00000000-0000-0000-0000-000000000000}"/>
  <bookViews>
    <workbookView xWindow="280" yWindow="500" windowWidth="28240" windowHeight="16080" activeTab="3" xr2:uid="{1C8F33F4-B293-AB45-ABB6-20DCB59FDDCC}"/>
  </bookViews>
  <sheets>
    <sheet name="TP_PL4" sheetId="1" r:id="rId1"/>
    <sheet name="TP_PL5_exe5" sheetId="2" r:id="rId2"/>
    <sheet name="TP_PL5_exe12" sheetId="3" r:id="rId3"/>
    <sheet name="TP_PL5_exe13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4" l="1"/>
  <c r="B11" i="4"/>
  <c r="B8" i="4"/>
  <c r="B14" i="4"/>
  <c r="B16" i="4"/>
  <c r="B5" i="4"/>
  <c r="B4" i="4"/>
  <c r="B17" i="3"/>
  <c r="B16" i="3"/>
  <c r="B15" i="3"/>
  <c r="B14" i="3"/>
  <c r="B13" i="3"/>
  <c r="B10" i="3"/>
  <c r="B9" i="3"/>
  <c r="B7" i="3"/>
  <c r="B6" i="3"/>
  <c r="B4" i="3"/>
  <c r="B3" i="3"/>
  <c r="B23" i="2"/>
  <c r="B22" i="2"/>
  <c r="B12" i="2"/>
  <c r="B13" i="2" s="1"/>
  <c r="B10" i="2"/>
  <c r="N5" i="2"/>
  <c r="N6" i="2"/>
  <c r="N7" i="2"/>
  <c r="N8" i="2"/>
  <c r="J6" i="2"/>
  <c r="J7" i="2" s="1"/>
  <c r="J5" i="2"/>
  <c r="J4" i="2"/>
  <c r="N4" i="2"/>
  <c r="D13" i="1"/>
  <c r="O3" i="1"/>
  <c r="B9" i="2"/>
  <c r="O4" i="2" s="1"/>
  <c r="L5" i="2"/>
  <c r="L6" i="2"/>
  <c r="L4" i="2"/>
  <c r="K5" i="2"/>
  <c r="K6" i="2"/>
  <c r="K7" i="2"/>
  <c r="K8" i="2"/>
  <c r="K4" i="2"/>
  <c r="K3" i="1"/>
  <c r="J3" i="1"/>
  <c r="H5" i="2"/>
  <c r="H6" i="2"/>
  <c r="H7" i="2"/>
  <c r="H8" i="2"/>
  <c r="H4" i="2"/>
  <c r="B5" i="2"/>
  <c r="B4" i="2"/>
  <c r="B3" i="2"/>
  <c r="B2" i="2"/>
  <c r="N5" i="1"/>
  <c r="N6" i="1"/>
  <c r="N7" i="1"/>
  <c r="H4" i="1"/>
  <c r="H5" i="1"/>
  <c r="H6" i="1"/>
  <c r="H7" i="1"/>
  <c r="H3" i="1"/>
  <c r="C4" i="1"/>
  <c r="C3" i="1"/>
  <c r="F6" i="1" s="1"/>
  <c r="C2" i="1"/>
  <c r="B18" i="4" l="1"/>
  <c r="B17" i="4"/>
  <c r="B16" i="2"/>
  <c r="B15" i="2"/>
  <c r="J8" i="2"/>
  <c r="L8" i="2" s="1"/>
  <c r="L7" i="2"/>
  <c r="O8" i="2"/>
  <c r="O6" i="2"/>
  <c r="O7" i="2"/>
  <c r="O5" i="2"/>
  <c r="F5" i="1"/>
  <c r="C5" i="1"/>
  <c r="F4" i="1"/>
  <c r="G3" i="1"/>
  <c r="G7" i="1"/>
  <c r="J7" i="1" s="1"/>
  <c r="L7" i="1" s="1"/>
  <c r="F3" i="1"/>
  <c r="G5" i="1"/>
  <c r="J5" i="1" s="1"/>
  <c r="G6" i="1"/>
  <c r="J6" i="1" s="1"/>
  <c r="F7" i="1"/>
  <c r="G4" i="1"/>
  <c r="J4" i="1" s="1"/>
  <c r="L4" i="1" s="1"/>
  <c r="O9" i="2" l="1"/>
  <c r="I4" i="1"/>
  <c r="I7" i="1"/>
  <c r="K7" i="1" s="1"/>
  <c r="I5" i="1"/>
  <c r="K5" i="1" s="1"/>
  <c r="L5" i="1"/>
  <c r="I6" i="1"/>
  <c r="K6" i="1" s="1"/>
  <c r="L6" i="1"/>
  <c r="I3" i="1"/>
  <c r="L3" i="1"/>
  <c r="N3" i="1" l="1"/>
  <c r="D12" i="1" s="1"/>
  <c r="K4" i="1"/>
  <c r="N4" i="1"/>
  <c r="P5" i="1" l="1"/>
  <c r="Q4" i="1"/>
  <c r="P7" i="1"/>
  <c r="P3" i="1"/>
  <c r="O4" i="1"/>
  <c r="O5" i="1"/>
  <c r="O6" i="1"/>
  <c r="P4" i="1"/>
  <c r="O7" i="1"/>
  <c r="P6" i="1"/>
  <c r="Q5" i="1"/>
  <c r="Q6" i="1"/>
  <c r="Q8" i="1" s="1"/>
  <c r="Q7" i="1"/>
  <c r="Q3" i="1"/>
  <c r="P8" i="1" l="1"/>
  <c r="O8" i="1"/>
  <c r="D15" i="1" s="1"/>
  <c r="D14" i="1" l="1"/>
</calcChain>
</file>

<file path=xl/sharedStrings.xml><?xml version="1.0" encoding="utf-8"?>
<sst xmlns="http://schemas.openxmlformats.org/spreadsheetml/2006/main" count="80" uniqueCount="52">
  <si>
    <t>Dados</t>
  </si>
  <si>
    <t>n=</t>
  </si>
  <si>
    <t>nº de classes=</t>
  </si>
  <si>
    <t>minímo</t>
  </si>
  <si>
    <t>máximo</t>
  </si>
  <si>
    <t xml:space="preserve">largura </t>
  </si>
  <si>
    <t>largura fixada</t>
  </si>
  <si>
    <t>classe i</t>
  </si>
  <si>
    <t>xi-1</t>
  </si>
  <si>
    <t>xi</t>
  </si>
  <si>
    <t>fi</t>
  </si>
  <si>
    <t>Fi</t>
  </si>
  <si>
    <t>fri</t>
  </si>
  <si>
    <t>Fri</t>
  </si>
  <si>
    <t>Média</t>
  </si>
  <si>
    <t>Desvio Padrão</t>
  </si>
  <si>
    <t>Marca</t>
  </si>
  <si>
    <t>aux.media</t>
  </si>
  <si>
    <t>aux.dp</t>
  </si>
  <si>
    <t>aux.m3</t>
  </si>
  <si>
    <t>aux.m4</t>
  </si>
  <si>
    <t xml:space="preserve">Coeficiente </t>
  </si>
  <si>
    <t>Curtose</t>
  </si>
  <si>
    <t>n</t>
  </si>
  <si>
    <t>nº de classes</t>
  </si>
  <si>
    <t>Desvio-Padrão</t>
  </si>
  <si>
    <t>Classe i</t>
  </si>
  <si>
    <t>largura</t>
  </si>
  <si>
    <t>aux. Média</t>
  </si>
  <si>
    <t>aux. Desvio</t>
  </si>
  <si>
    <t>aux m3</t>
  </si>
  <si>
    <t>aux m4</t>
  </si>
  <si>
    <t>erro</t>
  </si>
  <si>
    <t>Zc</t>
  </si>
  <si>
    <t>alpha</t>
  </si>
  <si>
    <t>IC à esq</t>
  </si>
  <si>
    <t>IC à dir</t>
  </si>
  <si>
    <t>Conclusão:</t>
  </si>
  <si>
    <t>Com base no valor obtido deve reajustar o equipamento pois o valor 150gramas não está dentro do intervalo de confiança</t>
  </si>
  <si>
    <t>Erro</t>
  </si>
  <si>
    <t xml:space="preserve">n </t>
  </si>
  <si>
    <t>n calc</t>
  </si>
  <si>
    <t>n1</t>
  </si>
  <si>
    <t>n2</t>
  </si>
  <si>
    <t>média 1</t>
  </si>
  <si>
    <t>média 2</t>
  </si>
  <si>
    <t>dp 1</t>
  </si>
  <si>
    <t>dp 2</t>
  </si>
  <si>
    <t>Dif média</t>
  </si>
  <si>
    <t>IC esq</t>
  </si>
  <si>
    <t>IC dir</t>
  </si>
  <si>
    <t>Não existe evidência estatística a um nível de significância de 5% que os tempos de atraso das duas companhias sejam diferentes.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</si>
</sst>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2">
    <font>
      <sz val="12"/>
      <color theme="1"/>
      <name val="Calibri"/>
      <family val="2"/>
      <scheme val="minor"/>
    </font>
    <font>
      <sz val="11"/>
      <color theme="1"/>
      <name val="SFRM109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F111-6613-D647-9BEC-96222E00D60A}">
  <dimension ref="A1:Q31"/>
  <sheetViews>
    <sheetView workbookViewId="0">
      <selection activeCell="D13" sqref="D13"/>
    </sheetView>
  </sheetViews>
  <sheetFormatPr baseColWidth="10" defaultRowHeight="16"/>
  <sheetData>
    <row r="1" spans="1:17">
      <c r="A1" t="s">
        <v>0</v>
      </c>
      <c r="B1" t="s">
        <v>1</v>
      </c>
      <c r="C1">
        <v>30</v>
      </c>
    </row>
    <row r="2" spans="1:17">
      <c r="A2">
        <v>81</v>
      </c>
      <c r="B2" t="s">
        <v>2</v>
      </c>
      <c r="C2">
        <f>INT(1+LOG10(C1)*3.3)</f>
        <v>5</v>
      </c>
      <c r="E2" t="s">
        <v>7</v>
      </c>
      <c r="F2" t="s">
        <v>8</v>
      </c>
      <c r="G2" t="s">
        <v>9</v>
      </c>
      <c r="H2" t="s">
        <v>16</v>
      </c>
      <c r="I2" t="s">
        <v>10</v>
      </c>
      <c r="J2" t="s">
        <v>11</v>
      </c>
      <c r="K2" t="s">
        <v>12</v>
      </c>
      <c r="L2" t="s">
        <v>13</v>
      </c>
      <c r="N2" t="s">
        <v>17</v>
      </c>
      <c r="O2" t="s">
        <v>18</v>
      </c>
      <c r="P2" t="s">
        <v>19</v>
      </c>
      <c r="Q2" t="s">
        <v>20</v>
      </c>
    </row>
    <row r="3" spans="1:17">
      <c r="A3">
        <v>73</v>
      </c>
      <c r="B3" t="s">
        <v>3</v>
      </c>
      <c r="C3">
        <f>MIN(A2:A31)</f>
        <v>65</v>
      </c>
      <c r="E3">
        <v>1</v>
      </c>
      <c r="F3">
        <f>$C$3+$C$6*(E3-1)</f>
        <v>65</v>
      </c>
      <c r="G3">
        <f>$C$3+$C$6*(E3)</f>
        <v>71</v>
      </c>
      <c r="H3">
        <f>(G3+F3)/2</f>
        <v>68</v>
      </c>
      <c r="I3">
        <f>J3</f>
        <v>6</v>
      </c>
      <c r="J3">
        <f>COUNTIF($A$2:$A$31,"&lt;"&amp;G3)</f>
        <v>6</v>
      </c>
      <c r="K3" s="2">
        <f>I3/$C$1</f>
        <v>0.2</v>
      </c>
      <c r="L3" s="2">
        <f>J3/$C$1</f>
        <v>0.2</v>
      </c>
      <c r="N3">
        <f>I3*H3</f>
        <v>408</v>
      </c>
      <c r="O3">
        <f>(H3-$D$12)^2*I3</f>
        <v>674.15999999999929</v>
      </c>
      <c r="P3">
        <f>(H3-$D$12)^3*I3</f>
        <v>-7146.0959999999895</v>
      </c>
      <c r="Q3">
        <f>(H3-$D$12)^4*I3</f>
        <v>75748.617599999852</v>
      </c>
    </row>
    <row r="4" spans="1:17">
      <c r="A4">
        <v>69</v>
      </c>
      <c r="B4" t="s">
        <v>4</v>
      </c>
      <c r="C4">
        <f>MAX(A2:A31)</f>
        <v>93</v>
      </c>
      <c r="E4">
        <v>2</v>
      </c>
      <c r="F4">
        <f t="shared" ref="F4:F7" si="0">$C$3+$C$6*(E4-1)</f>
        <v>71</v>
      </c>
      <c r="G4">
        <f>$C$3+$C$6*(E4)</f>
        <v>77</v>
      </c>
      <c r="H4">
        <f t="shared" ref="H4:H7" si="1">(G4+F4)/2</f>
        <v>74</v>
      </c>
      <c r="I4">
        <f>J4-J3</f>
        <v>8</v>
      </c>
      <c r="J4">
        <f t="shared" ref="J4:J7" si="2">COUNTIF($A$2:$A$31,"&lt;"&amp;G4)</f>
        <v>14</v>
      </c>
      <c r="K4" s="2">
        <f t="shared" ref="K4:L7" si="3">I4/$C$1</f>
        <v>0.26666666666666666</v>
      </c>
      <c r="L4" s="2">
        <f t="shared" si="3"/>
        <v>0.46666666666666667</v>
      </c>
      <c r="N4">
        <f t="shared" ref="N4:N7" si="4">I4*H4</f>
        <v>592</v>
      </c>
      <c r="O4">
        <f t="shared" ref="O4:O7" si="5">(H4-$D$12)^2*I4</f>
        <v>169.27999999999957</v>
      </c>
      <c r="P4">
        <f t="shared" ref="P4:P7" si="6">(H4-$D$12)^3*I4</f>
        <v>-778.68799999999703</v>
      </c>
      <c r="Q4">
        <f t="shared" ref="Q4:Q7" si="7">(H4-$D$12)^4*I4</f>
        <v>3581.964799999982</v>
      </c>
    </row>
    <row r="5" spans="1:17">
      <c r="A5">
        <v>75</v>
      </c>
      <c r="B5" t="s">
        <v>5</v>
      </c>
      <c r="C5">
        <f>(C4-C3)/C2</f>
        <v>5.6</v>
      </c>
      <c r="E5">
        <v>3</v>
      </c>
      <c r="F5">
        <f t="shared" si="0"/>
        <v>77</v>
      </c>
      <c r="G5">
        <f>$C$3+$C$6*(E5)</f>
        <v>83</v>
      </c>
      <c r="H5">
        <f t="shared" si="1"/>
        <v>80</v>
      </c>
      <c r="I5">
        <f t="shared" ref="I5:I7" si="8">J5-J4</f>
        <v>5</v>
      </c>
      <c r="J5">
        <f t="shared" si="2"/>
        <v>19</v>
      </c>
      <c r="K5" s="2">
        <f t="shared" si="3"/>
        <v>0.16666666666666666</v>
      </c>
      <c r="L5" s="2">
        <f t="shared" si="3"/>
        <v>0.6333333333333333</v>
      </c>
      <c r="N5">
        <f t="shared" si="4"/>
        <v>400</v>
      </c>
      <c r="O5">
        <f t="shared" si="5"/>
        <v>9.8000000000000789</v>
      </c>
      <c r="P5">
        <f t="shared" si="6"/>
        <v>13.720000000000168</v>
      </c>
      <c r="Q5">
        <f t="shared" si="7"/>
        <v>19.208000000000315</v>
      </c>
    </row>
    <row r="6" spans="1:17">
      <c r="A6">
        <v>80</v>
      </c>
      <c r="B6" t="s">
        <v>6</v>
      </c>
      <c r="C6">
        <v>6</v>
      </c>
      <c r="E6">
        <v>4</v>
      </c>
      <c r="F6">
        <f t="shared" si="0"/>
        <v>83</v>
      </c>
      <c r="G6">
        <f>$C$3+$C$6*(E6)</f>
        <v>89</v>
      </c>
      <c r="H6">
        <f t="shared" si="1"/>
        <v>86</v>
      </c>
      <c r="I6">
        <f t="shared" si="8"/>
        <v>9</v>
      </c>
      <c r="J6">
        <f t="shared" si="2"/>
        <v>28</v>
      </c>
      <c r="K6" s="2">
        <f t="shared" si="3"/>
        <v>0.3</v>
      </c>
      <c r="L6" s="2">
        <f t="shared" si="3"/>
        <v>0.93333333333333335</v>
      </c>
      <c r="N6">
        <f t="shared" si="4"/>
        <v>774</v>
      </c>
      <c r="O6">
        <f t="shared" si="5"/>
        <v>492.84000000000077</v>
      </c>
      <c r="P6">
        <f t="shared" si="6"/>
        <v>3647.0160000000087</v>
      </c>
      <c r="Q6">
        <f t="shared" si="7"/>
        <v>26987.918400000082</v>
      </c>
    </row>
    <row r="7" spans="1:17">
      <c r="A7">
        <v>76</v>
      </c>
      <c r="E7">
        <v>5</v>
      </c>
      <c r="F7">
        <f t="shared" si="0"/>
        <v>89</v>
      </c>
      <c r="G7">
        <f>$C$3+$C$6*(E7)</f>
        <v>95</v>
      </c>
      <c r="H7">
        <f t="shared" si="1"/>
        <v>92</v>
      </c>
      <c r="I7">
        <f t="shared" si="8"/>
        <v>2</v>
      </c>
      <c r="J7">
        <f t="shared" si="2"/>
        <v>30</v>
      </c>
      <c r="K7" s="2">
        <f t="shared" si="3"/>
        <v>6.6666666666666666E-2</v>
      </c>
      <c r="L7" s="2">
        <f t="shared" si="3"/>
        <v>1</v>
      </c>
      <c r="N7">
        <f t="shared" si="4"/>
        <v>184</v>
      </c>
      <c r="O7">
        <f t="shared" si="5"/>
        <v>359.12000000000029</v>
      </c>
      <c r="P7">
        <f t="shared" si="6"/>
        <v>4812.208000000006</v>
      </c>
      <c r="Q7">
        <f t="shared" si="7"/>
        <v>64483.587200000104</v>
      </c>
    </row>
    <row r="8" spans="1:17">
      <c r="A8">
        <v>87</v>
      </c>
      <c r="O8">
        <f>SUM(O3:O7)</f>
        <v>1705.2</v>
      </c>
      <c r="P8">
        <f>SUM(P3:P7)</f>
        <v>548.16000000002805</v>
      </c>
      <c r="Q8">
        <f>SUM(Q3:Q7)</f>
        <v>170821.29600000003</v>
      </c>
    </row>
    <row r="9" spans="1:17">
      <c r="A9">
        <v>88</v>
      </c>
    </row>
    <row r="10" spans="1:17">
      <c r="A10">
        <v>83</v>
      </c>
      <c r="I10" s="1"/>
    </row>
    <row r="11" spans="1:17">
      <c r="A11">
        <v>74</v>
      </c>
    </row>
    <row r="12" spans="1:17">
      <c r="A12">
        <v>71</v>
      </c>
      <c r="C12" t="s">
        <v>14</v>
      </c>
      <c r="D12">
        <f>SUM(N3:N7)/C1</f>
        <v>78.599999999999994</v>
      </c>
    </row>
    <row r="13" spans="1:17">
      <c r="A13">
        <v>77</v>
      </c>
      <c r="C13" t="s">
        <v>15</v>
      </c>
      <c r="D13">
        <f>SQRT(O8/(C1-1))</f>
        <v>7.6681158050723255</v>
      </c>
    </row>
    <row r="14" spans="1:17">
      <c r="A14">
        <v>65</v>
      </c>
      <c r="C14" t="s">
        <v>21</v>
      </c>
      <c r="D14">
        <f>P8/C1/D13^3</f>
        <v>4.0524726962807373E-2</v>
      </c>
    </row>
    <row r="15" spans="1:17">
      <c r="A15">
        <v>75</v>
      </c>
      <c r="C15" t="s">
        <v>22</v>
      </c>
      <c r="D15">
        <f>Q8/C1/D13^4</f>
        <v>1.646895737886992</v>
      </c>
    </row>
    <row r="16" spans="1:17">
      <c r="A16">
        <v>85</v>
      </c>
    </row>
    <row r="17" spans="1:1">
      <c r="A17">
        <v>71</v>
      </c>
    </row>
    <row r="18" spans="1:1">
      <c r="A18">
        <v>67</v>
      </c>
    </row>
    <row r="19" spans="1:1">
      <c r="A19">
        <v>68</v>
      </c>
    </row>
    <row r="20" spans="1:1">
      <c r="A20">
        <v>86</v>
      </c>
    </row>
    <row r="21" spans="1:1">
      <c r="A21">
        <v>84</v>
      </c>
    </row>
    <row r="22" spans="1:1">
      <c r="A22">
        <v>78</v>
      </c>
    </row>
    <row r="23" spans="1:1">
      <c r="A23">
        <v>86</v>
      </c>
    </row>
    <row r="24" spans="1:1">
      <c r="A24">
        <v>69</v>
      </c>
    </row>
    <row r="25" spans="1:1">
      <c r="A25">
        <v>70</v>
      </c>
    </row>
    <row r="26" spans="1:1">
      <c r="A26">
        <v>80</v>
      </c>
    </row>
    <row r="27" spans="1:1">
      <c r="A27">
        <v>90</v>
      </c>
    </row>
    <row r="28" spans="1:1">
      <c r="A28">
        <v>88</v>
      </c>
    </row>
    <row r="29" spans="1:1">
      <c r="A29">
        <v>93</v>
      </c>
    </row>
    <row r="30" spans="1:1">
      <c r="A30">
        <v>87</v>
      </c>
    </row>
    <row r="31" spans="1:1">
      <c r="A31">
        <v>75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ADDE-E02D-2F46-ACB4-317507FA8AB4}">
  <dimension ref="A2:Q23"/>
  <sheetViews>
    <sheetView workbookViewId="0">
      <selection activeCell="B13" sqref="B13"/>
    </sheetView>
  </sheetViews>
  <sheetFormatPr baseColWidth="10" defaultRowHeight="16"/>
  <sheetData>
    <row r="2" spans="1:17">
      <c r="A2" t="s">
        <v>23</v>
      </c>
      <c r="B2">
        <f>100</f>
        <v>100</v>
      </c>
    </row>
    <row r="3" spans="1:17">
      <c r="A3" t="s">
        <v>24</v>
      </c>
      <c r="B3">
        <f>5</f>
        <v>5</v>
      </c>
      <c r="E3" t="s">
        <v>26</v>
      </c>
      <c r="F3" t="s">
        <v>8</v>
      </c>
      <c r="G3" t="s">
        <v>9</v>
      </c>
      <c r="H3" t="s">
        <v>16</v>
      </c>
      <c r="I3" t="s">
        <v>10</v>
      </c>
      <c r="J3" t="s">
        <v>11</v>
      </c>
      <c r="K3" t="s">
        <v>12</v>
      </c>
      <c r="L3" t="s">
        <v>13</v>
      </c>
      <c r="N3" t="s">
        <v>28</v>
      </c>
      <c r="O3" t="s">
        <v>29</v>
      </c>
      <c r="P3" t="s">
        <v>30</v>
      </c>
      <c r="Q3" t="s">
        <v>31</v>
      </c>
    </row>
    <row r="4" spans="1:17">
      <c r="A4" t="s">
        <v>3</v>
      </c>
      <c r="B4">
        <f>130</f>
        <v>130</v>
      </c>
      <c r="E4">
        <v>1</v>
      </c>
      <c r="F4">
        <v>130</v>
      </c>
      <c r="G4">
        <v>135</v>
      </c>
      <c r="H4">
        <f>(G4+F4)/2</f>
        <v>132.5</v>
      </c>
      <c r="I4">
        <v>1</v>
      </c>
      <c r="J4">
        <f>I4</f>
        <v>1</v>
      </c>
      <c r="K4">
        <f>I4/$B$2</f>
        <v>0.01</v>
      </c>
      <c r="L4">
        <f>J4/$B$2</f>
        <v>0.01</v>
      </c>
      <c r="N4">
        <f>I4*H4</f>
        <v>132.5</v>
      </c>
      <c r="O4">
        <f>(H4-$B$9)^2*I4</f>
        <v>197.40250000000032</v>
      </c>
    </row>
    <row r="5" spans="1:17">
      <c r="A5" t="s">
        <v>4</v>
      </c>
      <c r="B5">
        <f>155</f>
        <v>155</v>
      </c>
      <c r="E5">
        <v>2</v>
      </c>
      <c r="F5">
        <v>135</v>
      </c>
      <c r="G5">
        <v>140</v>
      </c>
      <c r="H5">
        <f t="shared" ref="H5:H8" si="0">(G5+F5)/2</f>
        <v>137.5</v>
      </c>
      <c r="I5">
        <v>5</v>
      </c>
      <c r="J5">
        <f>I5+J4</f>
        <v>6</v>
      </c>
      <c r="K5">
        <f t="shared" ref="K5:K8" si="1">I5/$B$2</f>
        <v>0.05</v>
      </c>
      <c r="L5">
        <f t="shared" ref="L5:L8" si="2">J5/$B$2</f>
        <v>0.06</v>
      </c>
      <c r="N5">
        <f t="shared" ref="N5:N8" si="3">I5*H5</f>
        <v>687.5</v>
      </c>
      <c r="O5">
        <f t="shared" ref="O5:O8" si="4">(H5-$B$9)^2*I5</f>
        <v>409.51250000000101</v>
      </c>
    </row>
    <row r="6" spans="1:17">
      <c r="A6" t="s">
        <v>27</v>
      </c>
      <c r="B6">
        <v>5</v>
      </c>
      <c r="E6">
        <v>3</v>
      </c>
      <c r="F6">
        <v>140</v>
      </c>
      <c r="G6">
        <v>145</v>
      </c>
      <c r="H6">
        <f t="shared" si="0"/>
        <v>142.5</v>
      </c>
      <c r="I6">
        <v>30</v>
      </c>
      <c r="J6">
        <f t="shared" ref="J6:J8" si="5">I6+J5</f>
        <v>36</v>
      </c>
      <c r="K6">
        <f t="shared" si="1"/>
        <v>0.3</v>
      </c>
      <c r="L6">
        <f t="shared" si="2"/>
        <v>0.36</v>
      </c>
      <c r="N6">
        <f t="shared" si="3"/>
        <v>4275</v>
      </c>
      <c r="O6">
        <f t="shared" si="4"/>
        <v>492.07500000000277</v>
      </c>
    </row>
    <row r="7" spans="1:17">
      <c r="E7">
        <v>4</v>
      </c>
      <c r="F7">
        <v>145</v>
      </c>
      <c r="G7">
        <v>150</v>
      </c>
      <c r="H7">
        <f t="shared" si="0"/>
        <v>147.5</v>
      </c>
      <c r="I7">
        <v>40</v>
      </c>
      <c r="J7">
        <f t="shared" si="5"/>
        <v>76</v>
      </c>
      <c r="K7">
        <f t="shared" si="1"/>
        <v>0.4</v>
      </c>
      <c r="L7">
        <f t="shared" si="2"/>
        <v>0.76</v>
      </c>
      <c r="N7">
        <f t="shared" si="3"/>
        <v>5900</v>
      </c>
      <c r="O7">
        <f t="shared" si="4"/>
        <v>36.099999999999135</v>
      </c>
    </row>
    <row r="8" spans="1:17">
      <c r="E8">
        <v>5</v>
      </c>
      <c r="F8">
        <v>150</v>
      </c>
      <c r="G8">
        <v>155</v>
      </c>
      <c r="H8">
        <f t="shared" si="0"/>
        <v>152.5</v>
      </c>
      <c r="I8">
        <v>24</v>
      </c>
      <c r="J8">
        <f t="shared" si="5"/>
        <v>100</v>
      </c>
      <c r="K8">
        <f t="shared" si="1"/>
        <v>0.24</v>
      </c>
      <c r="L8">
        <f t="shared" si="2"/>
        <v>1</v>
      </c>
      <c r="N8">
        <f t="shared" si="3"/>
        <v>3660</v>
      </c>
      <c r="O8">
        <f t="shared" si="4"/>
        <v>849.65999999999667</v>
      </c>
    </row>
    <row r="9" spans="1:17">
      <c r="A9" t="s">
        <v>14</v>
      </c>
      <c r="B9">
        <f>SUM(N4:N8)/B2</f>
        <v>146.55000000000001</v>
      </c>
      <c r="O9">
        <f>SUM(O4:O8)</f>
        <v>1984.75</v>
      </c>
    </row>
    <row r="10" spans="1:17">
      <c r="A10" t="s">
        <v>25</v>
      </c>
      <c r="B10">
        <f>SQRT((O9/(B2-1)))</f>
        <v>4.4774970461162562</v>
      </c>
    </row>
    <row r="11" spans="1:17">
      <c r="A11" t="s">
        <v>34</v>
      </c>
      <c r="B11">
        <v>0.01</v>
      </c>
    </row>
    <row r="12" spans="1:17">
      <c r="A12" t="s">
        <v>33</v>
      </c>
      <c r="B12">
        <f>_xlfn.NORM.INV(1-B11/2,0,1)</f>
        <v>2.5758293035488999</v>
      </c>
    </row>
    <row r="13" spans="1:17">
      <c r="A13" t="s">
        <v>32</v>
      </c>
      <c r="B13">
        <f>B12*B10/SQRT(B2)</f>
        <v>1.1533268097939893</v>
      </c>
    </row>
    <row r="15" spans="1:17">
      <c r="A15" t="s">
        <v>35</v>
      </c>
      <c r="B15">
        <f>B9-B13</f>
        <v>145.39667319020603</v>
      </c>
    </row>
    <row r="16" spans="1:17">
      <c r="A16" t="s">
        <v>36</v>
      </c>
      <c r="B16">
        <f>B9+B13</f>
        <v>147.70332680979399</v>
      </c>
    </row>
    <row r="19" spans="1:2">
      <c r="A19" t="s">
        <v>37</v>
      </c>
      <c r="B19" t="s">
        <v>38</v>
      </c>
    </row>
    <row r="21" spans="1:2">
      <c r="A21" t="s">
        <v>39</v>
      </c>
      <c r="B21">
        <v>1</v>
      </c>
    </row>
    <row r="22" spans="1:2">
      <c r="A22" t="s">
        <v>41</v>
      </c>
      <c r="B22">
        <f>(B12*B10/B21)^2</f>
        <v>133.01627301895806</v>
      </c>
    </row>
    <row r="23" spans="1:2">
      <c r="A23" t="s">
        <v>40</v>
      </c>
      <c r="B23">
        <f>134</f>
        <v>134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CF76-D16D-714D-94D3-7211F11C9378}">
  <dimension ref="A3:B19"/>
  <sheetViews>
    <sheetView workbookViewId="0">
      <selection activeCell="B19" sqref="B19"/>
    </sheetView>
  </sheetViews>
  <sheetFormatPr baseColWidth="10" defaultRowHeight="16"/>
  <sheetData>
    <row r="3" spans="1:2">
      <c r="A3" t="s">
        <v>42</v>
      </c>
      <c r="B3">
        <f>40</f>
        <v>40</v>
      </c>
    </row>
    <row r="4" spans="1:2">
      <c r="A4" t="s">
        <v>43</v>
      </c>
      <c r="B4">
        <f>35</f>
        <v>35</v>
      </c>
    </row>
    <row r="6" spans="1:2">
      <c r="A6" t="s">
        <v>44</v>
      </c>
      <c r="B6">
        <f>18</f>
        <v>18</v>
      </c>
    </row>
    <row r="7" spans="1:2">
      <c r="A7" t="s">
        <v>45</v>
      </c>
      <c r="B7">
        <f>24</f>
        <v>24</v>
      </c>
    </row>
    <row r="9" spans="1:2">
      <c r="A9" t="s">
        <v>46</v>
      </c>
      <c r="B9">
        <f>12.5</f>
        <v>12.5</v>
      </c>
    </row>
    <row r="10" spans="1:2">
      <c r="A10" t="s">
        <v>47</v>
      </c>
      <c r="B10">
        <f>15</f>
        <v>15</v>
      </c>
    </row>
    <row r="12" spans="1:2">
      <c r="A12" t="s">
        <v>34</v>
      </c>
      <c r="B12">
        <v>0.05</v>
      </c>
    </row>
    <row r="13" spans="1:2">
      <c r="A13" t="s">
        <v>33</v>
      </c>
      <c r="B13">
        <f>_xlfn.NORM.INV(1-B12/2,0,1)</f>
        <v>1.9599639845400536</v>
      </c>
    </row>
    <row r="14" spans="1:2">
      <c r="A14" t="s">
        <v>39</v>
      </c>
      <c r="B14">
        <f>B13*SQRT(B9^2/B3+B10^2/B4)</f>
        <v>6.300856365374818</v>
      </c>
    </row>
    <row r="15" spans="1:2">
      <c r="A15" t="s">
        <v>48</v>
      </c>
      <c r="B15">
        <f>B6-B7</f>
        <v>-6</v>
      </c>
    </row>
    <row r="16" spans="1:2">
      <c r="A16" t="s">
        <v>49</v>
      </c>
      <c r="B16">
        <f>B15-B14</f>
        <v>-12.300856365374818</v>
      </c>
    </row>
    <row r="17" spans="1:2">
      <c r="A17" t="s">
        <v>50</v>
      </c>
      <c r="B17">
        <f>B15+B14</f>
        <v>0.30085636537481797</v>
      </c>
    </row>
    <row r="19" spans="1:2">
      <c r="A19" t="s">
        <v>37</v>
      </c>
      <c r="B19" t="s">
        <v>51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1542D-0B90-2F45-AD34-C85DFAD28B43}">
  <dimension ref="A4:B21"/>
  <sheetViews>
    <sheetView tabSelected="1" workbookViewId="0">
      <selection activeCell="H23" sqref="H23"/>
    </sheetView>
  </sheetViews>
  <sheetFormatPr baseColWidth="10" defaultRowHeight="16"/>
  <sheetData>
    <row r="4" spans="1:2">
      <c r="A4" t="s">
        <v>42</v>
      </c>
      <c r="B4">
        <f>40</f>
        <v>40</v>
      </c>
    </row>
    <row r="5" spans="1:2">
      <c r="A5" t="s">
        <v>43</v>
      </c>
      <c r="B5">
        <f>35</f>
        <v>35</v>
      </c>
    </row>
    <row r="7" spans="1:2">
      <c r="A7" t="s">
        <v>44</v>
      </c>
      <c r="B7">
        <v>74.5</v>
      </c>
    </row>
    <row r="8" spans="1:2">
      <c r="A8" t="s">
        <v>45</v>
      </c>
      <c r="B8">
        <f>71.8</f>
        <v>71.8</v>
      </c>
    </row>
    <row r="10" spans="1:2">
      <c r="A10" t="s">
        <v>46</v>
      </c>
      <c r="B10">
        <v>82.6</v>
      </c>
    </row>
    <row r="11" spans="1:2">
      <c r="A11" t="s">
        <v>47</v>
      </c>
      <c r="B11">
        <f>112.6</f>
        <v>112.6</v>
      </c>
    </row>
    <row r="13" spans="1:2">
      <c r="A13" t="s">
        <v>34</v>
      </c>
      <c r="B13">
        <v>0.05</v>
      </c>
    </row>
    <row r="14" spans="1:2">
      <c r="A14" t="s">
        <v>33</v>
      </c>
      <c r="B14">
        <f>_xlfn.NORM.INV(1-B13/2,0,1)</f>
        <v>1.9599639845400536</v>
      </c>
    </row>
    <row r="15" spans="1:2">
      <c r="A15" t="s">
        <v>39</v>
      </c>
      <c r="B15">
        <f>B14*SQRT(B10/B4+B11/B5)</f>
        <v>4.5045681558544421</v>
      </c>
    </row>
    <row r="16" spans="1:2">
      <c r="A16" t="s">
        <v>48</v>
      </c>
      <c r="B16">
        <f>B7-B8</f>
        <v>2.7000000000000028</v>
      </c>
    </row>
    <row r="17" spans="1:2">
      <c r="A17" t="s">
        <v>49</v>
      </c>
      <c r="B17">
        <f>B16-B15</f>
        <v>-1.8045681558544393</v>
      </c>
    </row>
    <row r="18" spans="1:2">
      <c r="A18" t="s">
        <v>50</v>
      </c>
      <c r="B18">
        <f>B16+B15</f>
        <v>7.204568155854445</v>
      </c>
    </row>
    <row r="21" spans="1:2">
      <c r="A21" t="s">
        <v>37</v>
      </c>
      <c r="B21" t="s">
        <v>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TP_PL4</vt:lpstr>
      <vt:lpstr>TP_PL5_exe5</vt:lpstr>
      <vt:lpstr>TP_PL5_exe12</vt:lpstr>
      <vt:lpstr>TP_PL5_exe13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2023-04-21T18:54:07Z</dcterms:created>
  <dcterms:modified xsi:type="dcterms:W3CDTF">2023-04-28T19:52:11Z</dcterms:modified>
</cp:coreProperties>
</file>