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filterPrivacy="1" codeName="EstaPastaDeTrabalho"/>
  <xr:revisionPtr revIDLastSave="0" documentId="13_ncr:1_{2D9BB25C-468B-4935-8A06-83A0AD1D3C8F}" xr6:coauthVersionLast="47" xr6:coauthVersionMax="47" xr10:uidLastSave="{00000000-0000-0000-0000-000000000000}"/>
  <bookViews>
    <workbookView xWindow="-108" yWindow="-108" windowWidth="23256" windowHeight="12456" tabRatio="934" firstSheet="6" activeTab="11" xr2:uid="{00000000-000D-0000-FFFF-FFFF00000000}"/>
  </bookViews>
  <sheets>
    <sheet name="REG_DATA" sheetId="32" r:id="rId1"/>
    <sheet name="REG_ANALISE" sheetId="29" r:id="rId2"/>
    <sheet name="REG_DEL_DATA" sheetId="30" r:id="rId3"/>
    <sheet name="REG_DEL_ANALISE" sheetId="33" r:id="rId4"/>
    <sheet name="REG_PRATICA" sheetId="37" r:id="rId5"/>
    <sheet name="REG_PRATICA_ANALISE" sheetId="38" r:id="rId6"/>
    <sheet name="COR_DATA_DENSIDADE" sheetId="39" r:id="rId7"/>
    <sheet name="COR_DATA_DENSIDADE_ANALISE" sheetId="40" r:id="rId8"/>
    <sheet name="CORRELACAO_DATA" sheetId="31" r:id="rId9"/>
    <sheet name="CORRELACAO_ANALISE" sheetId="34" r:id="rId10"/>
    <sheet name="COR_EXERCICIO" sheetId="41" r:id="rId11"/>
    <sheet name="REG_EXERCICIO" sheetId="42" r:id="rId12"/>
    <sheet name="COBERTURA_N_MASSA" sheetId="35" r:id="rId13"/>
    <sheet name="COBERTURA_N_SOJA" sheetId="36" r:id="rId14"/>
    <sheet name="DIC-DBC" sheetId="20" r:id="rId15"/>
    <sheet name="EFEITOS" sheetId="24" r:id="rId16"/>
    <sheet name="TABELA_AF_RAD" sheetId="25" r:id="rId17"/>
    <sheet name="DIC-DBC-ANOVA" sheetId="22" r:id="rId18"/>
    <sheet name="QUALI" sheetId="3" r:id="rId19"/>
    <sheet name="QUANTI_LINEAR" sheetId="4" r:id="rId20"/>
    <sheet name="QUANTI_QUADRATICA" sheetId="23" r:id="rId21"/>
    <sheet name="FAT1_SI" sheetId="8" r:id="rId22"/>
    <sheet name="FAT1_CI" sheetId="19" r:id="rId23"/>
    <sheet name="FAT1_CI2" sheetId="26" r:id="rId24"/>
    <sheet name="FAT1_CI2_TAB" sheetId="27" r:id="rId25"/>
    <sheet name="FAT1_CI_PRATICA" sheetId="28" r:id="rId26"/>
    <sheet name="FAT2_SI" sheetId="6" r:id="rId27"/>
    <sheet name="FAT2_CI" sheetId="5" r:id="rId28"/>
    <sheet name="FAT3" sheetId="14" r:id="rId29"/>
    <sheet name="maize" sheetId="2" r:id="rId30"/>
  </sheets>
  <definedNames>
    <definedName name="_xlnm._FilterDatabase" localSheetId="22" hidden="1">FAT1_CI!$A$1:$C$49</definedName>
    <definedName name="_xlnm._FilterDatabase" localSheetId="25" hidden="1">FAT1_CI_PRATICA!$H$2:$I$49</definedName>
    <definedName name="_xlnm._FilterDatabase" localSheetId="27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4" l="1"/>
  <c r="I4" i="24"/>
  <c r="I5" i="24"/>
  <c r="I6" i="24"/>
  <c r="I7" i="24"/>
  <c r="I8" i="24"/>
  <c r="I9" i="24"/>
  <c r="I10" i="24"/>
  <c r="I11" i="24"/>
  <c r="I12" i="24"/>
  <c r="I13" i="24"/>
  <c r="I2" i="24"/>
  <c r="H3" i="24"/>
  <c r="H4" i="24"/>
  <c r="H5" i="24"/>
  <c r="H6" i="24"/>
  <c r="H7" i="24"/>
  <c r="H8" i="24"/>
  <c r="H9" i="24"/>
  <c r="H10" i="24"/>
  <c r="H11" i="24"/>
  <c r="H12" i="24"/>
  <c r="H13" i="24"/>
  <c r="H2" i="24"/>
  <c r="I19" i="28"/>
  <c r="J3" i="40"/>
  <c r="J2" i="40"/>
  <c r="J1" i="40"/>
  <c r="E15" i="40"/>
  <c r="F15" i="40"/>
  <c r="G15" i="40"/>
  <c r="D15" i="40"/>
  <c r="C15" i="40"/>
  <c r="E13" i="40"/>
  <c r="F13" i="40"/>
  <c r="G13" i="40"/>
  <c r="E14" i="40"/>
  <c r="F14" i="40"/>
  <c r="G14" i="40"/>
  <c r="G12" i="40"/>
  <c r="F12" i="40"/>
  <c r="E12" i="40"/>
  <c r="G11" i="40"/>
  <c r="F11" i="40"/>
  <c r="E11" i="40"/>
  <c r="G10" i="40"/>
  <c r="F10" i="40"/>
  <c r="E10" i="40"/>
  <c r="G9" i="40"/>
  <c r="F9" i="40"/>
  <c r="E9" i="40"/>
  <c r="G8" i="40"/>
  <c r="F8" i="40"/>
  <c r="E8" i="40"/>
  <c r="G7" i="40"/>
  <c r="F7" i="40"/>
  <c r="E7" i="40"/>
  <c r="G6" i="40"/>
  <c r="F6" i="40"/>
  <c r="E6" i="40"/>
  <c r="G5" i="40"/>
  <c r="F5" i="40"/>
  <c r="E5" i="40"/>
  <c r="G4" i="40"/>
  <c r="F4" i="40"/>
  <c r="E4" i="40"/>
  <c r="G3" i="40"/>
  <c r="F3" i="40"/>
  <c r="E3" i="40"/>
  <c r="G2" i="40"/>
  <c r="F2" i="40"/>
  <c r="E2" i="40"/>
  <c r="C14" i="38"/>
  <c r="B14" i="38"/>
  <c r="C13" i="38"/>
  <c r="B13" i="38"/>
  <c r="F12" i="38"/>
  <c r="E12" i="38"/>
  <c r="D12" i="38"/>
  <c r="F11" i="38"/>
  <c r="E11" i="38"/>
  <c r="D11" i="38"/>
  <c r="F10" i="38"/>
  <c r="E10" i="38"/>
  <c r="D10" i="38"/>
  <c r="F9" i="38"/>
  <c r="E9" i="38"/>
  <c r="D9" i="38"/>
  <c r="F8" i="38"/>
  <c r="E8" i="38"/>
  <c r="D8" i="38"/>
  <c r="F7" i="38"/>
  <c r="E7" i="38"/>
  <c r="D7" i="38"/>
  <c r="F6" i="38"/>
  <c r="E6" i="38"/>
  <c r="D6" i="38"/>
  <c r="F5" i="38"/>
  <c r="E5" i="38"/>
  <c r="D5" i="38"/>
  <c r="F4" i="38"/>
  <c r="E4" i="38"/>
  <c r="D4" i="38"/>
  <c r="F3" i="38"/>
  <c r="E3" i="38"/>
  <c r="D3" i="38"/>
  <c r="F2" i="38"/>
  <c r="F13" i="38" s="1"/>
  <c r="I3" i="38" s="1"/>
  <c r="I6" i="38" s="1"/>
  <c r="E2" i="38"/>
  <c r="E13" i="38" s="1"/>
  <c r="I2" i="38" s="1"/>
  <c r="D2" i="38"/>
  <c r="D13" i="38" s="1"/>
  <c r="I1" i="38" s="1"/>
  <c r="D12" i="34"/>
  <c r="C12" i="34"/>
  <c r="G11" i="34"/>
  <c r="F11" i="34"/>
  <c r="E11" i="34"/>
  <c r="G10" i="34"/>
  <c r="F10" i="34"/>
  <c r="E10" i="34"/>
  <c r="G9" i="34"/>
  <c r="F9" i="34"/>
  <c r="E9" i="34"/>
  <c r="G8" i="34"/>
  <c r="F8" i="34"/>
  <c r="E8" i="34"/>
  <c r="G7" i="34"/>
  <c r="F7" i="34"/>
  <c r="E7" i="34"/>
  <c r="J6" i="34"/>
  <c r="G6" i="34"/>
  <c r="F6" i="34"/>
  <c r="E6" i="34"/>
  <c r="G5" i="34"/>
  <c r="F5" i="34"/>
  <c r="E5" i="34"/>
  <c r="G4" i="34"/>
  <c r="F4" i="34"/>
  <c r="E4" i="34"/>
  <c r="G3" i="34"/>
  <c r="F3" i="34"/>
  <c r="E3" i="34"/>
  <c r="G2" i="34"/>
  <c r="G12" i="34" s="1"/>
  <c r="J3" i="34" s="1"/>
  <c r="F2" i="34"/>
  <c r="F12" i="34" s="1"/>
  <c r="J2" i="34" s="1"/>
  <c r="E2" i="34"/>
  <c r="E12" i="34" s="1"/>
  <c r="J1" i="34" s="1"/>
  <c r="J4" i="34" s="1"/>
  <c r="J5" i="34" s="1"/>
  <c r="D15" i="33"/>
  <c r="E15" i="33" s="1"/>
  <c r="F15" i="33" s="1"/>
  <c r="E14" i="33"/>
  <c r="F14" i="33" s="1"/>
  <c r="D14" i="33"/>
  <c r="G8" i="33"/>
  <c r="B8" i="33"/>
  <c r="B7" i="33"/>
  <c r="I6" i="33"/>
  <c r="G6" i="33"/>
  <c r="J6" i="33" s="1"/>
  <c r="I5" i="33"/>
  <c r="G5" i="33"/>
  <c r="J5" i="33" s="1"/>
  <c r="J4" i="33"/>
  <c r="I4" i="33"/>
  <c r="G4" i="33"/>
  <c r="H4" i="33" s="1"/>
  <c r="I3" i="33"/>
  <c r="H3" i="33"/>
  <c r="G3" i="33"/>
  <c r="J3" i="33" s="1"/>
  <c r="I2" i="33"/>
  <c r="I7" i="33" s="1"/>
  <c r="M2" i="33" s="1"/>
  <c r="G2" i="33"/>
  <c r="J2" i="33" s="1"/>
  <c r="C10" i="29"/>
  <c r="B10" i="29"/>
  <c r="E9" i="29"/>
  <c r="K3" i="29" s="1"/>
  <c r="C9" i="29"/>
  <c r="B9" i="29"/>
  <c r="F8" i="29"/>
  <c r="E8" i="29"/>
  <c r="D8" i="29"/>
  <c r="F7" i="29"/>
  <c r="E7" i="29"/>
  <c r="D7" i="29"/>
  <c r="F6" i="29"/>
  <c r="E6" i="29"/>
  <c r="D6" i="29"/>
  <c r="F5" i="29"/>
  <c r="E5" i="29"/>
  <c r="D5" i="29"/>
  <c r="F4" i="29"/>
  <c r="E4" i="29"/>
  <c r="D4" i="29"/>
  <c r="F3" i="29"/>
  <c r="E3" i="29"/>
  <c r="D3" i="29"/>
  <c r="F2" i="29"/>
  <c r="F9" i="29" s="1"/>
  <c r="K1" i="29" s="1"/>
  <c r="E2" i="29"/>
  <c r="D2" i="29"/>
  <c r="D9" i="29" s="1"/>
  <c r="K2" i="29" s="1"/>
  <c r="I7" i="38" l="1"/>
  <c r="I8" i="38" s="1"/>
  <c r="I4" i="38"/>
  <c r="I5" i="38" s="1"/>
  <c r="I9" i="38"/>
  <c r="J7" i="33"/>
  <c r="H5" i="33"/>
  <c r="H2" i="33"/>
  <c r="H7" i="33" s="1"/>
  <c r="G7" i="33"/>
  <c r="H6" i="33"/>
  <c r="K4" i="29"/>
  <c r="K10" i="29" s="1"/>
  <c r="K13" i="29"/>
  <c r="K7" i="29"/>
  <c r="K6" i="29"/>
  <c r="K8" i="29" s="1"/>
  <c r="J4" i="40" l="1"/>
  <c r="M3" i="33"/>
  <c r="M6" i="33"/>
  <c r="M1" i="33"/>
  <c r="K11" i="29"/>
  <c r="K12" i="29"/>
  <c r="L11" i="29"/>
  <c r="M11" i="29" s="1"/>
  <c r="K5" i="29"/>
  <c r="K9" i="29"/>
  <c r="M4" i="33" l="1"/>
  <c r="M5" i="33" s="1"/>
  <c r="M7" i="33"/>
  <c r="M9" i="33" s="1"/>
  <c r="L12" i="29"/>
  <c r="M12" i="29" s="1"/>
  <c r="G2" i="29"/>
  <c r="H2" i="29" s="1"/>
  <c r="I2" i="29" s="1"/>
  <c r="G7" i="29"/>
  <c r="H7" i="29" s="1"/>
  <c r="I7" i="29" s="1"/>
  <c r="G5" i="29"/>
  <c r="H5" i="29" s="1"/>
  <c r="I5" i="29" s="1"/>
  <c r="G8" i="29"/>
  <c r="H8" i="29" s="1"/>
  <c r="I8" i="29" s="1"/>
  <c r="G3" i="29"/>
  <c r="H3" i="29" s="1"/>
  <c r="I3" i="29" s="1"/>
  <c r="G6" i="29"/>
  <c r="H6" i="29" s="1"/>
  <c r="I6" i="29" s="1"/>
  <c r="G4" i="29"/>
  <c r="H4" i="29" s="1"/>
  <c r="I4" i="29" s="1"/>
  <c r="M8" i="33" l="1"/>
  <c r="I9" i="29"/>
  <c r="J10" i="28" l="1"/>
  <c r="K10" i="28" s="1"/>
  <c r="S30" i="28"/>
  <c r="S29" i="28"/>
  <c r="S28" i="28"/>
  <c r="S25" i="28"/>
  <c r="S24" i="28"/>
  <c r="S23" i="28"/>
  <c r="S20" i="28"/>
  <c r="S19" i="28"/>
  <c r="S18" i="28"/>
  <c r="K11" i="28"/>
  <c r="K9" i="28"/>
  <c r="J11" i="28"/>
  <c r="J9" i="28"/>
  <c r="J14" i="28"/>
  <c r="I13" i="28"/>
  <c r="I7" i="28"/>
  <c r="D12" i="28"/>
  <c r="E12" i="28"/>
  <c r="F12" i="28"/>
  <c r="C12" i="28"/>
  <c r="J6" i="28"/>
  <c r="K6" i="28"/>
  <c r="I6" i="28"/>
  <c r="L4" i="28"/>
  <c r="L5" i="28"/>
  <c r="L3" i="28"/>
  <c r="I20" i="28"/>
  <c r="I22" i="28" s="1"/>
  <c r="J20" i="28"/>
  <c r="K20" i="28"/>
  <c r="I21" i="28"/>
  <c r="J21" i="28"/>
  <c r="K21" i="28"/>
  <c r="J19" i="28"/>
  <c r="J22" i="28" s="1"/>
  <c r="K19" i="28"/>
  <c r="D11" i="28"/>
  <c r="E11" i="28"/>
  <c r="F11" i="28"/>
  <c r="C11" i="28"/>
  <c r="N9" i="27"/>
  <c r="N10" i="27"/>
  <c r="N11" i="27"/>
  <c r="N8" i="27"/>
  <c r="M12" i="27"/>
  <c r="M9" i="27"/>
  <c r="M10" i="27"/>
  <c r="M11" i="27"/>
  <c r="M8" i="27"/>
  <c r="L4" i="27"/>
  <c r="M4" i="27"/>
  <c r="K4" i="27"/>
  <c r="N3" i="27"/>
  <c r="N2" i="27"/>
  <c r="D11" i="27"/>
  <c r="E11" i="27"/>
  <c r="F11" i="27"/>
  <c r="C11" i="27"/>
  <c r="G4" i="27"/>
  <c r="G5" i="27"/>
  <c r="G7" i="27"/>
  <c r="G10" i="27" s="1"/>
  <c r="G8" i="27"/>
  <c r="G9" i="27"/>
  <c r="G3" i="27"/>
  <c r="J12" i="28" l="1"/>
  <c r="K12" i="28" s="1"/>
  <c r="J13" i="28"/>
  <c r="K13" i="28" s="1"/>
  <c r="L6" i="28"/>
  <c r="K22" i="28"/>
  <c r="L21" i="28"/>
  <c r="L22" i="28"/>
  <c r="L19" i="28"/>
  <c r="L20" i="28"/>
  <c r="G6" i="27"/>
  <c r="G11" i="27"/>
  <c r="K6" i="27" s="1"/>
  <c r="K8" i="27" s="1"/>
  <c r="B8" i="25"/>
  <c r="I6" i="25"/>
  <c r="I5" i="25"/>
  <c r="I4" i="25"/>
  <c r="I3" i="25"/>
  <c r="I2" i="25"/>
  <c r="G3" i="25"/>
  <c r="G4" i="25"/>
  <c r="G2" i="25"/>
  <c r="C17" i="22"/>
  <c r="C16" i="22"/>
  <c r="O7" i="24"/>
  <c r="O8" i="24" s="1"/>
  <c r="E9" i="24"/>
  <c r="P16" i="28" l="1"/>
  <c r="L11" i="28"/>
  <c r="L9" i="28"/>
  <c r="L10" i="28"/>
  <c r="L12" i="28"/>
  <c r="K10" i="27"/>
  <c r="K7" i="27"/>
  <c r="K9" i="27"/>
  <c r="G9" i="24"/>
  <c r="J9" i="24" s="1"/>
  <c r="F5" i="24"/>
  <c r="F4" i="24"/>
  <c r="F3" i="24"/>
  <c r="F2" i="24"/>
  <c r="D3" i="24"/>
  <c r="D4" i="24"/>
  <c r="D5" i="24"/>
  <c r="D6" i="24"/>
  <c r="D7" i="24"/>
  <c r="G7" i="24" s="1"/>
  <c r="J7" i="24" s="1"/>
  <c r="D8" i="24"/>
  <c r="D9" i="24"/>
  <c r="D10" i="24"/>
  <c r="D11" i="24"/>
  <c r="D12" i="24"/>
  <c r="D13" i="24"/>
  <c r="D2" i="24"/>
  <c r="E10" i="24"/>
  <c r="E11" i="24"/>
  <c r="E12" i="24"/>
  <c r="E13" i="24"/>
  <c r="E7" i="24"/>
  <c r="E8" i="24"/>
  <c r="E6" i="24"/>
  <c r="E3" i="24"/>
  <c r="G3" i="24" s="1"/>
  <c r="J3" i="24" s="1"/>
  <c r="E4" i="24"/>
  <c r="G4" i="24" s="1"/>
  <c r="J4" i="24" s="1"/>
  <c r="E5" i="24"/>
  <c r="E2" i="24"/>
  <c r="G2" i="24" s="1"/>
  <c r="J2" i="24" s="1"/>
  <c r="G19" i="22"/>
  <c r="G12" i="22"/>
  <c r="L3" i="22"/>
  <c r="M3" i="22" s="1"/>
  <c r="L4" i="22"/>
  <c r="M4" i="22" s="1"/>
  <c r="L2" i="22"/>
  <c r="M2" i="22" s="1"/>
  <c r="K5" i="22"/>
  <c r="K6" i="22" s="1"/>
  <c r="G6" i="24" l="1"/>
  <c r="J6" i="24" s="1"/>
  <c r="G8" i="24"/>
  <c r="J8" i="24" s="1"/>
  <c r="G11" i="24"/>
  <c r="J11" i="24" s="1"/>
  <c r="G10" i="24"/>
  <c r="J10" i="24" s="1"/>
  <c r="G5" i="24"/>
  <c r="J5" i="24" s="1"/>
  <c r="J14" i="24" s="1"/>
  <c r="G12" i="24"/>
  <c r="J12" i="24" s="1"/>
  <c r="K11" i="27"/>
  <c r="K12" i="27"/>
  <c r="K8" i="24"/>
  <c r="K7" i="24"/>
  <c r="K13" i="24"/>
  <c r="K6" i="24"/>
  <c r="K9" i="24"/>
  <c r="G13" i="24"/>
  <c r="J13" i="24" s="1"/>
  <c r="K4" i="24"/>
  <c r="K12" i="24"/>
  <c r="K3" i="24"/>
  <c r="K2" i="24"/>
  <c r="K11" i="24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18" i="2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K5" i="24" l="1"/>
  <c r="K10" i="24"/>
  <c r="J5" i="22"/>
  <c r="J6" i="22" s="1"/>
  <c r="I5" i="22"/>
  <c r="I6" i="22" s="1"/>
  <c r="H5" i="22"/>
  <c r="K14" i="24" l="1"/>
  <c r="H6" i="22"/>
  <c r="L5" i="22"/>
  <c r="H7" i="22" l="1"/>
  <c r="H20" i="22" l="1"/>
  <c r="H13" i="22"/>
  <c r="H11" i="22"/>
  <c r="I11" i="22" s="1"/>
  <c r="H17" i="22"/>
  <c r="I17" i="22" s="1"/>
  <c r="H18" i="22"/>
  <c r="I18" i="22" s="1"/>
  <c r="H12" i="22" l="1"/>
  <c r="I12" i="22" s="1"/>
  <c r="J11" i="22" s="1"/>
  <c r="H19" i="22"/>
  <c r="I19" i="22" s="1"/>
  <c r="J18" i="22" s="1"/>
  <c r="J17" i="22" l="1"/>
</calcChain>
</file>

<file path=xl/sharedStrings.xml><?xml version="1.0" encoding="utf-8"?>
<sst xmlns="http://schemas.openxmlformats.org/spreadsheetml/2006/main" count="2306" uniqueCount="210">
  <si>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</si>
  <si>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</si>
  <si>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</si>
  <si>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</si>
  <si>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</si>
  <si>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</si>
  <si>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</si>
  <si>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</si>
  <si>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</si>
  <si>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</si>
  <si>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</si>
  <si>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</si>
  <si>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</si>
  <si>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</si>
  <si>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</si>
  <si>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</si>
  <si>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</si>
  <si>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</si>
  <si>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</si>
  <si>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</si>
  <si>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</si>
  <si>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</si>
  <si>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</si>
  <si>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</si>
  <si>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</si>
  <si>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</si>
  <si>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</si>
  <si>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</si>
  <si>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</si>
  <si>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</si>
  <si>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BLOCO</t>
  </si>
  <si>
    <t>RG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</si>
  <si>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</si>
  <si>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</si>
  <si>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</si>
  <si>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</si>
  <si>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</si>
  <si>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</si>
  <si>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</si>
  <si>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</si>
  <si>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</si>
  <si>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T1</t>
  </si>
  <si>
    <t>T2</t>
  </si>
  <si>
    <t>T3</t>
  </si>
  <si>
    <t>Tratamento</t>
  </si>
  <si>
    <t>DOSEK</t>
  </si>
  <si>
    <t>NP_1</t>
  </si>
  <si>
    <t>NP_2</t>
  </si>
  <si>
    <t>NP_3</t>
  </si>
  <si>
    <t>NP_4</t>
  </si>
  <si>
    <t>NP_5</t>
  </si>
  <si>
    <t>C</t>
  </si>
  <si>
    <t>TOTAL</t>
  </si>
  <si>
    <t>i/j</t>
  </si>
  <si>
    <t>R1</t>
  </si>
  <si>
    <t>R2</t>
  </si>
  <si>
    <t>R3</t>
  </si>
  <si>
    <t>I = 3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</si>
  <si>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</si>
  <si>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</si>
  <si>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</si>
  <si>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</si>
  <si>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</si>
  <si>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</si>
  <si>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</si>
  <si>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</si>
  <si>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</si>
  <si>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</si>
  <si>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</si>
  <si>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</si>
  <si>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DAP</t>
  </si>
  <si>
    <t>SOM</t>
  </si>
  <si>
    <t>AF</t>
  </si>
  <si>
    <t>MST</t>
  </si>
  <si>
    <t>RAD</t>
  </si>
  <si>
    <t>J = 4</t>
  </si>
  <si>
    <t>IJ = 12</t>
  </si>
  <si>
    <t>R4</t>
  </si>
  <si>
    <t>Y.j</t>
  </si>
  <si>
    <t>Yi.</t>
  </si>
  <si>
    <t>med</t>
  </si>
  <si>
    <t>ti</t>
  </si>
  <si>
    <t>eij</t>
  </si>
  <si>
    <t>ti2</t>
  </si>
  <si>
    <t>eij2</t>
  </si>
  <si>
    <t>AF_M2</t>
  </si>
  <si>
    <t>yi.</t>
  </si>
  <si>
    <t>y.j</t>
  </si>
  <si>
    <t>SQTOTAL</t>
  </si>
  <si>
    <t>SQTRAT</t>
  </si>
  <si>
    <t>SQBLOCO</t>
  </si>
  <si>
    <t>SQERRO</t>
  </si>
  <si>
    <t>ENX</t>
  </si>
  <si>
    <t>NIT</t>
  </si>
  <si>
    <t>L</t>
  </si>
  <si>
    <t>DA</t>
  </si>
  <si>
    <t>AF+DA</t>
  </si>
  <si>
    <t>DA+ES</t>
  </si>
  <si>
    <t>S+</t>
  </si>
  <si>
    <t>S-</t>
  </si>
  <si>
    <t>FATOR A</t>
  </si>
  <si>
    <t>Enxofre</t>
  </si>
  <si>
    <t>FATOR B</t>
  </si>
  <si>
    <t>Nitrogênio</t>
  </si>
  <si>
    <t>Blocos</t>
  </si>
  <si>
    <t>IV</t>
  </si>
  <si>
    <t>Total (Y.j.)</t>
  </si>
  <si>
    <t>Total (Yi..)</t>
  </si>
  <si>
    <t>(Y..k)</t>
  </si>
  <si>
    <t>SQTOT</t>
  </si>
  <si>
    <t>Sqbloco</t>
  </si>
  <si>
    <t>Sqa</t>
  </si>
  <si>
    <t>SQB</t>
  </si>
  <si>
    <t>Sqint</t>
  </si>
  <si>
    <t>Sqerro</t>
  </si>
  <si>
    <t>row_sums</t>
  </si>
  <si>
    <t>B1</t>
  </si>
  <si>
    <t>B2</t>
  </si>
  <si>
    <t>B3</t>
  </si>
  <si>
    <t>B4</t>
  </si>
  <si>
    <t>y..k</t>
  </si>
  <si>
    <t>Erro</t>
  </si>
  <si>
    <t>Pr&gt;Fc</t>
  </si>
  <si>
    <t>Médias</t>
  </si>
  <si>
    <t>50-70</t>
  </si>
  <si>
    <t>50-100</t>
  </si>
  <si>
    <t>70-100</t>
  </si>
  <si>
    <t>diferença ||</t>
  </si>
  <si>
    <t>DMS</t>
  </si>
  <si>
    <t>DAP*RAD</t>
  </si>
  <si>
    <t>DAP/RAD 50</t>
  </si>
  <si>
    <t>RAD/DAP 21</t>
  </si>
  <si>
    <t>RAD/DAP 28</t>
  </si>
  <si>
    <t>RAD/DAP 35</t>
  </si>
  <si>
    <t>DAP/RAD 70</t>
  </si>
  <si>
    <t>DAP/RAD 100</t>
  </si>
  <si>
    <t>21-28</t>
  </si>
  <si>
    <t>21-35</t>
  </si>
  <si>
    <t>28-35</t>
  </si>
  <si>
    <t>I=3</t>
  </si>
  <si>
    <t>J=3</t>
  </si>
  <si>
    <t>K=4</t>
  </si>
  <si>
    <t>x^2</t>
  </si>
  <si>
    <t>y^2</t>
  </si>
  <si>
    <t>xy</t>
  </si>
  <si>
    <t>yi</t>
  </si>
  <si>
    <t>di</t>
  </si>
  <si>
    <t>di2</t>
  </si>
  <si>
    <t>sxy</t>
  </si>
  <si>
    <t>t</t>
  </si>
  <si>
    <t>Pr(&gt;|t|)</t>
  </si>
  <si>
    <t>sxx</t>
  </si>
  <si>
    <t>syy</t>
  </si>
  <si>
    <t>b</t>
  </si>
  <si>
    <t>a</t>
  </si>
  <si>
    <t>sqtot</t>
  </si>
  <si>
    <t>sqreg</t>
  </si>
  <si>
    <t>sqres</t>
  </si>
  <si>
    <t>total</t>
  </si>
  <si>
    <t>r2</t>
  </si>
  <si>
    <t>media</t>
  </si>
  <si>
    <t>sigmae</t>
  </si>
  <si>
    <t>s2b</t>
  </si>
  <si>
    <t>s2a</t>
  </si>
  <si>
    <t xml:space="preserve">r  </t>
  </si>
  <si>
    <t>totais (y)</t>
  </si>
  <si>
    <t>x.y</t>
  </si>
  <si>
    <t>x2</t>
  </si>
  <si>
    <t>y2</t>
  </si>
  <si>
    <t>p-valor</t>
  </si>
  <si>
    <t>Regressão</t>
  </si>
  <si>
    <t>Desvios</t>
  </si>
  <si>
    <t>Residuals</t>
  </si>
  <si>
    <t>Planta</t>
  </si>
  <si>
    <t>X</t>
  </si>
  <si>
    <t>Y</t>
  </si>
  <si>
    <t>XY</t>
  </si>
  <si>
    <t>X2</t>
  </si>
  <si>
    <t>Y2</t>
  </si>
  <si>
    <t>r</t>
  </si>
  <si>
    <t>tcal</t>
  </si>
  <si>
    <t>Soma</t>
  </si>
  <si>
    <t>AP</t>
  </si>
  <si>
    <t>AE</t>
  </si>
  <si>
    <t>NITROGENIO</t>
  </si>
  <si>
    <t>ESPECIE</t>
  </si>
  <si>
    <t>MV</t>
  </si>
  <si>
    <t>MS</t>
  </si>
  <si>
    <t>MSR</t>
  </si>
  <si>
    <t>Sem N</t>
  </si>
  <si>
    <t>Aveia Preta</t>
  </si>
  <si>
    <t>Centeio</t>
  </si>
  <si>
    <t>Triticale</t>
  </si>
  <si>
    <t>Pousio</t>
  </si>
  <si>
    <t>Com N</t>
  </si>
  <si>
    <t xml:space="preserve">Aveia Preta </t>
  </si>
  <si>
    <t>NL</t>
  </si>
  <si>
    <t>NGL</t>
  </si>
  <si>
    <t>SPxy</t>
  </si>
  <si>
    <t>SQx</t>
  </si>
  <si>
    <t>SQy</t>
  </si>
  <si>
    <t>b1</t>
  </si>
  <si>
    <t>b0</t>
  </si>
  <si>
    <t>Sqtotal</t>
  </si>
  <si>
    <t>Sqreg</t>
  </si>
  <si>
    <t>x</t>
  </si>
  <si>
    <t>y</t>
  </si>
  <si>
    <t>Arvore</t>
  </si>
  <si>
    <t>DOSE</t>
  </si>
  <si>
    <t>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</si>
</sst>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0.000"/>
    <numFmt numFmtId="166" formatCode="0.0000"/>
    <numFmt numFmtId="167" formatCode="0.00000000000000"/>
    <numFmt numFmtId="168" formatCode="0.000E+00"/>
    <numFmt numFmtId="169" formatCode="0.000000"/>
  </numFmts>
  <fonts count="1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70C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0" fillId="0" borderId="0" xfId="0" applyNumberFormat="1"/>
    <xf numFmtId="2" fontId="4" fillId="0" borderId="0" xfId="0" applyNumberFormat="1" applyFont="1" applyAlignment="1">
      <alignment horizontal="center" vertical="center"/>
    </xf>
    <xf numFmtId="167" fontId="0" fillId="0" borderId="0" xfId="0" applyNumberFormat="1"/>
    <xf numFmtId="0" fontId="7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Border="1"/>
    <xf numFmtId="1" fontId="8" fillId="4" borderId="3" xfId="0" applyNumberFormat="1" applyFont="1" applyFill="1" applyBorder="1"/>
    <xf numFmtId="1" fontId="8" fillId="5" borderId="3" xfId="0" applyNumberFormat="1" applyFont="1" applyFill="1" applyBorder="1" applyAlignment="1">
      <alignment horizontal="center" vertical="center"/>
    </xf>
    <xf numFmtId="0" fontId="9" fillId="0" borderId="3" xfId="0" applyFont="1" applyBorder="1"/>
    <xf numFmtId="0" fontId="7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Border="1"/>
    <xf numFmtId="2" fontId="0" fillId="0" borderId="0" xfId="0" applyNumberFormat="1" applyBorder="1"/>
    <xf numFmtId="165" fontId="0" fillId="0" borderId="1" xfId="0" applyNumberFormat="1" applyBorder="1"/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5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Fill="1" applyBorder="1"/>
    <xf numFmtId="2" fontId="3" fillId="0" borderId="0" xfId="0" applyNumberFormat="1" applyFont="1" applyBorder="1"/>
    <xf numFmtId="168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13" fillId="0" borderId="0" xfId="0" applyNumberFormat="1" applyFont="1" applyAlignment="1">
      <alignment horizontal="center" vertical="center" wrapText="1" readingOrder="1"/>
    </xf>
    <xf numFmtId="2" fontId="7" fillId="0" borderId="0" xfId="0" applyNumberFormat="1" applyFont="1"/>
    <xf numFmtId="165" fontId="0" fillId="0" borderId="0" xfId="0" applyNumberFormat="1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4" fillId="0" borderId="0" xfId="0" applyNumberFormat="1" applyFont="1"/>
    <xf numFmtId="169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1" fontId="16" fillId="0" borderId="0" xfId="0" applyNumberFormat="1" applyFont="1" applyAlignment="1">
      <alignment horizontal="center" vertical="center" wrapText="1" readingOrder="1"/>
    </xf>
    <xf numFmtId="165" fontId="16" fillId="0" borderId="0" xfId="0" applyNumberFormat="1" applyFont="1" applyAlignment="1">
      <alignment horizontal="center" vertical="center" wrapText="1" readingOrder="1"/>
    </xf>
    <xf numFmtId="2" fontId="15" fillId="0" borderId="0" xfId="0" applyNumberFormat="1" applyFont="1"/>
    <xf numFmtId="165" fontId="15" fillId="0" borderId="0" xfId="0" applyNumberFormat="1" applyFont="1"/>
    <xf numFmtId="169" fontId="15" fillId="0" borderId="0" xfId="0" applyNumberFormat="1" applyFont="1"/>
    <xf numFmtId="169" fontId="15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106440</xdr:colOff>
      <xdr:row>15</xdr:row>
      <xdr:rowOff>124865</xdr:rowOff>
    </xdr:from>
    <xdr:to>
      <xdr:col>4</xdr:col>
      <xdr:colOff>117960</xdr:colOff>
      <xdr:row>15</xdr:row>
      <xdr:rowOff>128105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0000000-0008-0000-1000-000002000000}"/>
                </a:ext>
              </a:extLst>
            </xdr14:cNvPr>
            <xdr14:cNvContentPartPr/>
          </xdr14:nvContentPartPr>
          <xdr14:nvPr macro=""/>
          <xdr14:xfrm>
            <a:off x="2544840" y="2850480"/>
            <a:ext cx="11520" cy="324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D38E616A-5F45-484E-A47C-861736903E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6200" y="2841480"/>
              <a:ext cx="2916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639240</xdr:colOff>
      <xdr:row>4</xdr:row>
      <xdr:rowOff>151929</xdr:rowOff>
    </xdr:from>
    <xdr:to>
      <xdr:col>8</xdr:col>
      <xdr:colOff>651120</xdr:colOff>
      <xdr:row>4</xdr:row>
      <xdr:rowOff>170649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0000000-0008-0000-1000-000003000000}"/>
                </a:ext>
              </a:extLst>
            </xdr14:cNvPr>
            <xdr14:cNvContentPartPr/>
          </xdr14:nvContentPartPr>
          <xdr14:nvPr macro=""/>
          <xdr14:xfrm>
            <a:off x="4906440" y="878760"/>
            <a:ext cx="11880" cy="1872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20E32F0C-394E-4CBF-B16B-DBE585DC10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97440" y="870120"/>
              <a:ext cx="29520" cy="3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61126</xdr:colOff>
      <xdr:row>14</xdr:row>
      <xdr:rowOff>94085</xdr:rowOff>
    </xdr:from>
    <xdr:to>
      <xdr:col>2</xdr:col>
      <xdr:colOff>390940</xdr:colOff>
      <xdr:row>17</xdr:row>
      <xdr:rowOff>160887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26" y="2669119"/>
          <a:ext cx="1549014" cy="6185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44723</xdr:rowOff>
    </xdr:from>
    <xdr:to>
      <xdr:col>1</xdr:col>
      <xdr:colOff>169198</xdr:colOff>
      <xdr:row>29</xdr:row>
      <xdr:rowOff>79513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68514"/>
          <a:ext cx="778798" cy="591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6369</xdr:rowOff>
    </xdr:from>
    <xdr:to>
      <xdr:col>3</xdr:col>
      <xdr:colOff>228204</xdr:colOff>
      <xdr:row>14</xdr:row>
      <xdr:rowOff>112511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13541"/>
          <a:ext cx="2057004" cy="47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37686</xdr:rowOff>
    </xdr:from>
    <xdr:to>
      <xdr:col>2</xdr:col>
      <xdr:colOff>303982</xdr:colOff>
      <xdr:row>23</xdr:row>
      <xdr:rowOff>6626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48295"/>
          <a:ext cx="1523182" cy="525531"/>
        </a:xfrm>
        <a:prstGeom prst="rect">
          <a:avLst/>
        </a:prstGeom>
      </xdr:spPr>
    </xdr:pic>
    <xdr:clientData/>
  </xdr:twoCellAnchor>
  <xdr:twoCellAnchor editAs="oneCell">
    <xdr:from>
      <xdr:col>0</xdr:col>
      <xdr:colOff>20376</xdr:colOff>
      <xdr:row>17</xdr:row>
      <xdr:rowOff>86973</xdr:rowOff>
    </xdr:from>
    <xdr:to>
      <xdr:col>2</xdr:col>
      <xdr:colOff>192158</xdr:colOff>
      <xdr:row>20</xdr:row>
      <xdr:rowOff>114012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76" y="3240990"/>
          <a:ext cx="1390982" cy="5836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</xdr:row>
          <xdr:rowOff>15240</xdr:rowOff>
        </xdr:from>
        <xdr:to>
          <xdr:col>4</xdr:col>
          <xdr:colOff>15240</xdr:colOff>
          <xdr:row>26</xdr:row>
          <xdr:rowOff>38100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19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C00-00000138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C00-00000238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3:28:03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8 960,'0'-8'721,"-15"8"-1,0 0-800,30 4-880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6:58:32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 80,'0'-1'22,"0"0"0,1-1 0,-1 1 0,0-1 0,1 1 0,-1-1 0,0 1 0,1 0 0,0-1 0,-1 1 0,1 0 0,0-1 0,0 1 0,0 0 0,-1 0 0,1 0 0,0 0 0,1 0 0,-1 0 0,0 0 0,0 0 0,0 0 0,1 1 0,-1-1 0,0 0 0,0 1 0,3-1 0,0-1 109,-4 2-117,0 0-1,0 0 1,0-1-1,0 1 1,1 0-1,-1 0 1,0 0-1,0 0 1,0 0-1,0 0 1,1-1 0,-1 1-1,0 0 1,0 0-1,0 0 1,0 0-1,0-1 1,0 1-1,1 0 1,-1 0-1,0 0 1,0-1-1,0 1 1,0 0 0,0 0-1,0 0 1,0-1-1,0 1 1,0 0-1,0 0 1,0 0-1,0-1 1,0 1-1,0 0 1,0 0 0,0 0-1,-1-1 1,1-8 378,0 8-312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D233-2DD2-426F-9E3B-9D43ABB447EA}">
  <dimension ref="A1:B13"/>
  <sheetViews>
    <sheetView workbookViewId="0">
      <selection sqref="A1:B8"/>
    </sheetView>
  </sheetViews>
  <sheetFormatPr defaultRowHeight="14.4" x14ac:dyDescent="0.3"/>
  <sheetData>
    <row r="1" spans="1:2" x14ac:dyDescent="0.3">
      <c r="A1" s="41" t="s">
        <v>36</v>
      </c>
      <c r="B1" s="41" t="s">
        <v>31</v>
      </c>
    </row>
    <row r="2" spans="1:2" x14ac:dyDescent="0.3">
      <c r="A2" s="41">
        <v>0</v>
      </c>
      <c r="B2" s="41">
        <v>8.6</v>
      </c>
    </row>
    <row r="3" spans="1:2" x14ac:dyDescent="0.3">
      <c r="A3" s="41">
        <v>25</v>
      </c>
      <c r="B3" s="41">
        <v>8.9</v>
      </c>
    </row>
    <row r="4" spans="1:2" x14ac:dyDescent="0.3">
      <c r="A4" s="41">
        <v>50</v>
      </c>
      <c r="B4" s="41">
        <v>9.5</v>
      </c>
    </row>
    <row r="5" spans="1:2" x14ac:dyDescent="0.3">
      <c r="A5" s="41">
        <v>75</v>
      </c>
      <c r="B5" s="41">
        <v>9.9</v>
      </c>
    </row>
    <row r="6" spans="1:2" x14ac:dyDescent="0.3">
      <c r="A6" s="41">
        <v>100</v>
      </c>
      <c r="B6" s="41">
        <v>10</v>
      </c>
    </row>
    <row r="7" spans="1:2" x14ac:dyDescent="0.3">
      <c r="A7" s="41">
        <v>125</v>
      </c>
      <c r="B7" s="41">
        <v>10.199999999999999</v>
      </c>
    </row>
    <row r="8" spans="1:2" x14ac:dyDescent="0.3">
      <c r="A8" s="41">
        <v>150</v>
      </c>
      <c r="B8" s="41">
        <v>10.5</v>
      </c>
    </row>
    <row r="9" spans="1:2" x14ac:dyDescent="0.3">
      <c r="A9" s="41"/>
      <c r="B9" s="41"/>
    </row>
    <row r="10" spans="1:2" x14ac:dyDescent="0.3">
      <c r="A10" s="41"/>
      <c r="B10" s="11"/>
    </row>
    <row r="11" spans="1:2" x14ac:dyDescent="0.3">
      <c r="A11" s="41"/>
      <c r="B11" s="41"/>
    </row>
    <row r="12" spans="1:2" x14ac:dyDescent="0.3">
      <c r="A12" s="41"/>
      <c r="B12" s="41"/>
    </row>
    <row r="13" spans="1:2" x14ac:dyDescent="0.3">
      <c r="A13" s="41"/>
      <c r="B13" s="4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BC9F-3410-4F9E-80FE-AF662158432D}">
  <dimension ref="A1:J12"/>
  <sheetViews>
    <sheetView workbookViewId="0">
      <selection activeCell="K35" sqref="K35"/>
    </sheetView>
  </sheetViews>
  <sheetFormatPr defaultRowHeight="15" x14ac:dyDescent="0.25"/>
  <cols>
    <col min="1" max="1" width="8.88671875" style="27"/>
    <col min="2" max="2" width="9" style="27" bestFit="1" customWidth="1"/>
    <col min="3" max="4" width="9.77734375" style="27" bestFit="1" customWidth="1"/>
    <col min="5" max="9" width="8.88671875" style="27"/>
    <col min="10" max="10" width="15.109375" style="27" bestFit="1" customWidth="1"/>
    <col min="11" max="16384" width="8.88671875" style="27"/>
  </cols>
  <sheetData>
    <row r="1" spans="1:10" x14ac:dyDescent="0.25">
      <c r="B1" s="27" t="s">
        <v>173</v>
      </c>
      <c r="C1" s="27" t="s">
        <v>174</v>
      </c>
      <c r="D1" s="27" t="s">
        <v>175</v>
      </c>
      <c r="E1" s="27" t="s">
        <v>176</v>
      </c>
      <c r="F1" s="27" t="s">
        <v>177</v>
      </c>
      <c r="G1" s="27" t="s">
        <v>178</v>
      </c>
      <c r="I1" s="27" t="s">
        <v>148</v>
      </c>
      <c r="J1" s="27">
        <f>E12-(C12*D12)/10</f>
        <v>0.36692000000000036</v>
      </c>
    </row>
    <row r="2" spans="1:10" x14ac:dyDescent="0.25">
      <c r="B2" s="75">
        <v>1</v>
      </c>
      <c r="C2" s="75">
        <v>2.4500000000000002</v>
      </c>
      <c r="D2" s="75">
        <v>1.4</v>
      </c>
      <c r="E2" s="76">
        <f>C2*D2</f>
        <v>3.43</v>
      </c>
      <c r="F2" s="76">
        <f>C2^2</f>
        <v>6.0025000000000013</v>
      </c>
      <c r="G2" s="76">
        <f>D2^2</f>
        <v>1.9599999999999997</v>
      </c>
      <c r="I2" s="27" t="s">
        <v>151</v>
      </c>
      <c r="J2" s="27">
        <f>F12-(C12^2)/10</f>
        <v>0.97556000000000154</v>
      </c>
    </row>
    <row r="3" spans="1:10" x14ac:dyDescent="0.25">
      <c r="B3" s="75">
        <v>2</v>
      </c>
      <c r="C3" s="75">
        <v>2.5</v>
      </c>
      <c r="D3" s="75">
        <v>1.43</v>
      </c>
      <c r="E3" s="76">
        <f t="shared" ref="E3:E11" si="0">C3*D3</f>
        <v>3.5749999999999997</v>
      </c>
      <c r="F3" s="76">
        <f t="shared" ref="F3:G11" si="1">C3^2</f>
        <v>6.25</v>
      </c>
      <c r="G3" s="76">
        <f t="shared" si="1"/>
        <v>2.0448999999999997</v>
      </c>
      <c r="I3" s="27" t="s">
        <v>152</v>
      </c>
      <c r="J3" s="27">
        <f>G12-(D12^2)/10</f>
        <v>0.21164000000000982</v>
      </c>
    </row>
    <row r="4" spans="1:10" x14ac:dyDescent="0.25">
      <c r="B4" s="75">
        <v>3</v>
      </c>
      <c r="C4" s="75">
        <v>2.69</v>
      </c>
      <c r="D4" s="75">
        <v>1.52</v>
      </c>
      <c r="E4" s="76">
        <f t="shared" si="0"/>
        <v>4.0888</v>
      </c>
      <c r="F4" s="76">
        <f t="shared" si="1"/>
        <v>7.2360999999999995</v>
      </c>
      <c r="G4" s="76">
        <f t="shared" si="1"/>
        <v>2.3104</v>
      </c>
      <c r="I4" s="27" t="s">
        <v>179</v>
      </c>
      <c r="J4" s="27">
        <f>J1/SQRT(J2*J3)</f>
        <v>0.80750554993684098</v>
      </c>
    </row>
    <row r="5" spans="1:10" x14ac:dyDescent="0.25">
      <c r="B5" s="75">
        <v>4</v>
      </c>
      <c r="C5" s="75">
        <v>2.8</v>
      </c>
      <c r="D5" s="75">
        <v>1.64</v>
      </c>
      <c r="E5" s="76">
        <f t="shared" si="0"/>
        <v>4.5919999999999996</v>
      </c>
      <c r="F5" s="76">
        <f t="shared" si="1"/>
        <v>7.839999999999999</v>
      </c>
      <c r="G5" s="76">
        <f t="shared" si="1"/>
        <v>2.6895999999999995</v>
      </c>
      <c r="I5" s="27" t="s">
        <v>149</v>
      </c>
      <c r="J5" s="27">
        <f>SQRT(8 /(1-J4^2) ) * J4</f>
        <v>3.8720555867670892</v>
      </c>
    </row>
    <row r="6" spans="1:10" x14ac:dyDescent="0.25">
      <c r="B6" s="75">
        <v>5</v>
      </c>
      <c r="C6" s="75">
        <v>2.62</v>
      </c>
      <c r="D6" s="75">
        <v>1.55</v>
      </c>
      <c r="E6" s="76">
        <f t="shared" si="0"/>
        <v>4.0609999999999999</v>
      </c>
      <c r="F6" s="76">
        <f t="shared" si="1"/>
        <v>6.8644000000000007</v>
      </c>
      <c r="G6" s="76">
        <f t="shared" si="1"/>
        <v>2.4025000000000003</v>
      </c>
      <c r="I6" s="27" t="s">
        <v>180</v>
      </c>
      <c r="J6" s="27">
        <f>_xlfn.T.INV.2T(0.05, 8)</f>
        <v>2.3060041352041671</v>
      </c>
    </row>
    <row r="7" spans="1:10" x14ac:dyDescent="0.25">
      <c r="B7" s="75">
        <v>6</v>
      </c>
      <c r="C7" s="75">
        <v>2.12</v>
      </c>
      <c r="D7" s="75">
        <v>1.5</v>
      </c>
      <c r="E7" s="76">
        <f t="shared" si="0"/>
        <v>3.18</v>
      </c>
      <c r="F7" s="76">
        <f t="shared" si="1"/>
        <v>4.4944000000000006</v>
      </c>
      <c r="G7" s="76">
        <f t="shared" si="1"/>
        <v>2.25</v>
      </c>
    </row>
    <row r="8" spans="1:10" x14ac:dyDescent="0.25">
      <c r="B8" s="75">
        <v>7</v>
      </c>
      <c r="C8" s="75">
        <v>3.15</v>
      </c>
      <c r="D8" s="75">
        <v>1.78</v>
      </c>
      <c r="E8" s="76">
        <f t="shared" si="0"/>
        <v>5.6070000000000002</v>
      </c>
      <c r="F8" s="76">
        <f t="shared" si="1"/>
        <v>9.9224999999999994</v>
      </c>
      <c r="G8" s="76">
        <f t="shared" si="1"/>
        <v>3.1684000000000001</v>
      </c>
    </row>
    <row r="9" spans="1:10" x14ac:dyDescent="0.25">
      <c r="B9" s="75">
        <v>8</v>
      </c>
      <c r="C9" s="75">
        <v>2.97</v>
      </c>
      <c r="D9" s="75">
        <v>1.84</v>
      </c>
      <c r="E9" s="76">
        <f t="shared" si="0"/>
        <v>5.4648000000000003</v>
      </c>
      <c r="F9" s="76">
        <f t="shared" si="1"/>
        <v>8.8209000000000017</v>
      </c>
      <c r="G9" s="76">
        <f t="shared" si="1"/>
        <v>3.3856000000000002</v>
      </c>
    </row>
    <row r="10" spans="1:10" x14ac:dyDescent="0.25">
      <c r="B10" s="75">
        <v>9</v>
      </c>
      <c r="C10" s="75">
        <v>3.1</v>
      </c>
      <c r="D10" s="75">
        <v>1.78</v>
      </c>
      <c r="E10" s="76">
        <f t="shared" si="0"/>
        <v>5.5180000000000007</v>
      </c>
      <c r="F10" s="76">
        <f t="shared" si="1"/>
        <v>9.6100000000000012</v>
      </c>
      <c r="G10" s="76">
        <f t="shared" si="1"/>
        <v>3.1684000000000001</v>
      </c>
    </row>
    <row r="11" spans="1:10" x14ac:dyDescent="0.25">
      <c r="B11" s="75">
        <v>10</v>
      </c>
      <c r="C11" s="75">
        <v>3.02</v>
      </c>
      <c r="D11" s="75">
        <v>1.6</v>
      </c>
      <c r="E11" s="76">
        <f t="shared" si="0"/>
        <v>4.8320000000000007</v>
      </c>
      <c r="F11" s="76">
        <f t="shared" si="1"/>
        <v>9.1204000000000001</v>
      </c>
      <c r="G11" s="76">
        <f t="shared" si="1"/>
        <v>2.5600000000000005</v>
      </c>
    </row>
    <row r="12" spans="1:10" x14ac:dyDescent="0.25">
      <c r="A12" s="27" t="s">
        <v>181</v>
      </c>
      <c r="C12" s="76">
        <f>SUM(C2:C11)</f>
        <v>27.42</v>
      </c>
      <c r="D12" s="76">
        <f>SUM(D2:D11)</f>
        <v>16.04</v>
      </c>
      <c r="E12" s="76">
        <f>SUM(E2:E11)</f>
        <v>44.348599999999998</v>
      </c>
      <c r="F12" s="76">
        <f t="shared" ref="F12:G12" si="2">SUM(F2:F11)</f>
        <v>76.161200000000008</v>
      </c>
      <c r="G12" s="76">
        <f t="shared" si="2"/>
        <v>25.939800000000005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8488-3ABB-4E4D-8BAA-65847B8164CA}">
  <dimension ref="A1:G16"/>
  <sheetViews>
    <sheetView workbookViewId="0">
      <selection activeCell="H26" sqref="H26"/>
    </sheetView>
  </sheetViews>
  <sheetFormatPr defaultRowHeight="15" x14ac:dyDescent="0.25"/>
  <cols>
    <col min="1" max="1" width="8.88671875" style="27"/>
    <col min="2" max="2" width="9" style="27" bestFit="1" customWidth="1"/>
    <col min="3" max="4" width="9.77734375" style="27" bestFit="1" customWidth="1"/>
    <col min="5" max="9" width="8.88671875" style="27"/>
    <col min="10" max="10" width="15.109375" style="27" bestFit="1" customWidth="1"/>
    <col min="11" max="16384" width="8.88671875" style="27"/>
  </cols>
  <sheetData>
    <row r="1" spans="1:7" ht="15.6" thickBot="1" x14ac:dyDescent="0.3">
      <c r="A1" s="101" t="s">
        <v>9</v>
      </c>
      <c r="B1" s="102" t="s">
        <v>7</v>
      </c>
    </row>
    <row r="2" spans="1:7" ht="15.6" thickBot="1" x14ac:dyDescent="0.3">
      <c r="A2" s="103">
        <v>519</v>
      </c>
      <c r="B2" s="104">
        <v>173.5</v>
      </c>
      <c r="C2" s="75"/>
      <c r="D2" s="75"/>
      <c r="E2" s="76"/>
      <c r="F2" s="76"/>
      <c r="G2" s="76"/>
    </row>
    <row r="3" spans="1:7" ht="15.6" thickBot="1" x14ac:dyDescent="0.3">
      <c r="A3" s="103">
        <v>522</v>
      </c>
      <c r="B3" s="104">
        <v>213.5</v>
      </c>
      <c r="C3" s="75"/>
      <c r="D3" s="75"/>
      <c r="E3" s="76"/>
      <c r="F3" s="76"/>
      <c r="G3" s="76"/>
    </row>
    <row r="4" spans="1:7" ht="15.6" thickBot="1" x14ac:dyDescent="0.3">
      <c r="A4" s="103">
        <v>624</v>
      </c>
      <c r="B4" s="104">
        <v>221.1</v>
      </c>
      <c r="C4" s="75"/>
      <c r="D4" s="75"/>
      <c r="E4" s="76"/>
      <c r="F4" s="76"/>
      <c r="G4" s="76"/>
    </row>
    <row r="5" spans="1:7" ht="15.6" thickBot="1" x14ac:dyDescent="0.3">
      <c r="A5" s="103">
        <v>670</v>
      </c>
      <c r="B5" s="104">
        <v>261.5</v>
      </c>
      <c r="C5" s="75"/>
      <c r="D5" s="75"/>
      <c r="E5" s="76"/>
      <c r="F5" s="76"/>
      <c r="G5" s="76"/>
    </row>
    <row r="6" spans="1:7" ht="15.6" thickBot="1" x14ac:dyDescent="0.3">
      <c r="A6" s="103">
        <v>518</v>
      </c>
      <c r="B6" s="104">
        <v>220.1</v>
      </c>
      <c r="C6" s="75"/>
      <c r="D6" s="75"/>
      <c r="E6" s="76"/>
      <c r="F6" s="76"/>
      <c r="G6" s="76"/>
    </row>
    <row r="7" spans="1:7" ht="15.6" thickBot="1" x14ac:dyDescent="0.3">
      <c r="A7" s="103">
        <v>547</v>
      </c>
      <c r="B7" s="104">
        <v>177.8</v>
      </c>
      <c r="C7" s="75"/>
      <c r="D7" s="75"/>
      <c r="E7" s="76"/>
      <c r="F7" s="76"/>
      <c r="G7" s="76"/>
    </row>
    <row r="8" spans="1:7" ht="15.6" thickBot="1" x14ac:dyDescent="0.3">
      <c r="A8" s="103">
        <v>670</v>
      </c>
      <c r="B8" s="104">
        <v>250.8</v>
      </c>
      <c r="C8" s="75"/>
      <c r="D8" s="75"/>
      <c r="E8" s="76"/>
      <c r="F8" s="76"/>
      <c r="G8" s="76"/>
    </row>
    <row r="9" spans="1:7" ht="15.6" thickBot="1" x14ac:dyDescent="0.3">
      <c r="A9" s="103">
        <v>546</v>
      </c>
      <c r="B9" s="104">
        <v>192</v>
      </c>
      <c r="C9" s="75"/>
      <c r="D9" s="75"/>
      <c r="E9" s="76"/>
      <c r="F9" s="76"/>
      <c r="G9" s="76"/>
    </row>
    <row r="10" spans="1:7" ht="15.6" thickBot="1" x14ac:dyDescent="0.3">
      <c r="A10" s="103">
        <v>444</v>
      </c>
      <c r="B10" s="104">
        <v>193.5</v>
      </c>
      <c r="C10" s="75"/>
      <c r="D10" s="75"/>
      <c r="E10" s="76"/>
      <c r="F10" s="76"/>
      <c r="G10" s="76"/>
    </row>
    <row r="11" spans="1:7" ht="15.6" thickBot="1" x14ac:dyDescent="0.3">
      <c r="A11" s="103">
        <v>611</v>
      </c>
      <c r="B11" s="104">
        <v>255.6</v>
      </c>
      <c r="C11" s="75"/>
      <c r="D11" s="75"/>
      <c r="E11" s="76"/>
      <c r="F11" s="76"/>
      <c r="G11" s="76"/>
    </row>
    <row r="12" spans="1:7" ht="15.6" thickBot="1" x14ac:dyDescent="0.3">
      <c r="A12" s="103">
        <v>557</v>
      </c>
      <c r="B12" s="104">
        <v>245.9</v>
      </c>
      <c r="C12" s="76"/>
      <c r="D12" s="76"/>
      <c r="E12" s="76"/>
      <c r="F12" s="76"/>
      <c r="G12" s="76"/>
    </row>
    <row r="13" spans="1:7" ht="15.6" thickBot="1" x14ac:dyDescent="0.3">
      <c r="A13" s="103">
        <v>702</v>
      </c>
      <c r="B13" s="104">
        <v>207.4</v>
      </c>
    </row>
    <row r="14" spans="1:7" ht="15.6" thickBot="1" x14ac:dyDescent="0.3">
      <c r="A14" s="103">
        <v>443</v>
      </c>
      <c r="B14" s="104">
        <v>185.3</v>
      </c>
    </row>
    <row r="15" spans="1:7" ht="15.6" thickBot="1" x14ac:dyDescent="0.3">
      <c r="A15" s="103">
        <v>430</v>
      </c>
      <c r="B15" s="104">
        <v>166.6</v>
      </c>
    </row>
    <row r="16" spans="1:7" ht="15.6" thickBot="1" x14ac:dyDescent="0.3">
      <c r="A16" s="103">
        <v>481</v>
      </c>
      <c r="B16" s="104">
        <v>202.4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63DB-4655-4EB1-A693-AD3FA00C72AD}">
  <dimension ref="A1:B5"/>
  <sheetViews>
    <sheetView tabSelected="1" workbookViewId="0">
      <selection activeCell="F10" sqref="F10"/>
    </sheetView>
  </sheetViews>
  <sheetFormatPr defaultRowHeight="15" x14ac:dyDescent="0.25"/>
  <cols>
    <col min="1" max="1" width="8.88671875" style="27"/>
    <col min="2" max="2" width="9" style="27" bestFit="1" customWidth="1"/>
    <col min="3" max="16384" width="8.88671875" style="27"/>
  </cols>
  <sheetData>
    <row r="1" spans="1:2" ht="15.6" thickBot="1" x14ac:dyDescent="0.3">
      <c r="A1" s="27" t="s">
        <v>208</v>
      </c>
      <c r="B1" s="27" t="s">
        <v>31</v>
      </c>
    </row>
    <row r="2" spans="1:2" ht="15.6" thickBot="1" x14ac:dyDescent="0.3">
      <c r="A2" s="101">
        <v>20</v>
      </c>
      <c r="B2" s="102">
        <v>7.09</v>
      </c>
    </row>
    <row r="3" spans="1:2" ht="15.6" thickBot="1" x14ac:dyDescent="0.3">
      <c r="A3" s="103">
        <v>30</v>
      </c>
      <c r="B3" s="104">
        <v>7.37</v>
      </c>
    </row>
    <row r="4" spans="1:2" ht="15.6" thickBot="1" x14ac:dyDescent="0.3">
      <c r="A4" s="103">
        <v>40</v>
      </c>
      <c r="B4" s="104">
        <v>8.2799999999999994</v>
      </c>
    </row>
    <row r="5" spans="1:2" ht="15.6" thickBot="1" x14ac:dyDescent="0.3">
      <c r="A5" s="103">
        <v>50</v>
      </c>
      <c r="B5" s="104">
        <v>8.32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5892-965F-431E-B5BF-049795D175A8}">
  <dimension ref="A1:F33"/>
  <sheetViews>
    <sheetView workbookViewId="0">
      <selection sqref="A1:F33"/>
    </sheetView>
  </sheetViews>
  <sheetFormatPr defaultRowHeight="14.4" x14ac:dyDescent="0.3"/>
  <cols>
    <col min="1" max="1" width="11.77734375" bestFit="1" customWidth="1"/>
    <col min="2" max="2" width="10.6640625" bestFit="1" customWidth="1"/>
    <col min="3" max="3" width="4.5546875" bestFit="1" customWidth="1"/>
    <col min="4" max="4" width="8" bestFit="1" customWidth="1"/>
    <col min="5" max="5" width="7" bestFit="1" customWidth="1"/>
    <col min="6" max="6" width="6" bestFit="1" customWidth="1"/>
  </cols>
  <sheetData>
    <row r="1" spans="1:6" ht="15.6" x14ac:dyDescent="0.3">
      <c r="A1" s="82" t="s">
        <v>184</v>
      </c>
      <c r="B1" s="81" t="s">
        <v>185</v>
      </c>
      <c r="C1" s="81" t="s">
        <v>2</v>
      </c>
      <c r="D1" s="81" t="s">
        <v>186</v>
      </c>
      <c r="E1" s="81" t="s">
        <v>187</v>
      </c>
      <c r="F1" s="81" t="s">
        <v>188</v>
      </c>
    </row>
    <row r="2" spans="1:6" x14ac:dyDescent="0.3">
      <c r="A2" s="78" t="s">
        <v>189</v>
      </c>
      <c r="B2" s="78" t="s">
        <v>190</v>
      </c>
      <c r="C2" s="79">
        <v>1</v>
      </c>
      <c r="D2" s="80">
        <v>17938.800000000003</v>
      </c>
      <c r="E2" s="80">
        <v>3640.4</v>
      </c>
      <c r="F2" s="80">
        <v>53.2</v>
      </c>
    </row>
    <row r="3" spans="1:6" x14ac:dyDescent="0.3">
      <c r="A3" s="78" t="s">
        <v>189</v>
      </c>
      <c r="B3" s="78" t="s">
        <v>190</v>
      </c>
      <c r="C3" s="79">
        <v>2</v>
      </c>
      <c r="D3" s="80">
        <v>20737.600000000002</v>
      </c>
      <c r="E3" s="80">
        <v>4190.4000000000005</v>
      </c>
      <c r="F3" s="80">
        <v>708.8</v>
      </c>
    </row>
    <row r="4" spans="1:6" x14ac:dyDescent="0.3">
      <c r="A4" s="78" t="s">
        <v>189</v>
      </c>
      <c r="B4" s="78" t="s">
        <v>190</v>
      </c>
      <c r="C4" s="79">
        <v>3</v>
      </c>
      <c r="D4" s="80">
        <v>37780</v>
      </c>
      <c r="E4" s="80">
        <v>6958.4000000000005</v>
      </c>
      <c r="F4" s="80">
        <v>688</v>
      </c>
    </row>
    <row r="5" spans="1:6" x14ac:dyDescent="0.3">
      <c r="A5" s="78" t="s">
        <v>189</v>
      </c>
      <c r="B5" s="78" t="s">
        <v>190</v>
      </c>
      <c r="C5" s="79">
        <v>4</v>
      </c>
      <c r="D5" s="80">
        <v>15448</v>
      </c>
      <c r="E5" s="80">
        <v>3055.2</v>
      </c>
      <c r="F5" s="80">
        <v>98</v>
      </c>
    </row>
    <row r="6" spans="1:6" x14ac:dyDescent="0.3">
      <c r="A6" s="78" t="s">
        <v>189</v>
      </c>
      <c r="B6" s="78" t="s">
        <v>191</v>
      </c>
      <c r="C6" s="79">
        <v>1</v>
      </c>
      <c r="D6" s="80">
        <v>30835.599999999999</v>
      </c>
      <c r="E6" s="80">
        <v>7000.8</v>
      </c>
      <c r="F6" s="80">
        <v>347.2</v>
      </c>
    </row>
    <row r="7" spans="1:6" x14ac:dyDescent="0.3">
      <c r="A7" s="78" t="s">
        <v>189</v>
      </c>
      <c r="B7" s="78" t="s">
        <v>191</v>
      </c>
      <c r="C7" s="79">
        <v>2</v>
      </c>
      <c r="D7" s="80">
        <v>22246</v>
      </c>
      <c r="E7" s="80">
        <v>5540</v>
      </c>
      <c r="F7" s="80">
        <v>245.6</v>
      </c>
    </row>
    <row r="8" spans="1:6" x14ac:dyDescent="0.3">
      <c r="A8" s="78" t="s">
        <v>189</v>
      </c>
      <c r="B8" s="78" t="s">
        <v>191</v>
      </c>
      <c r="C8" s="79">
        <v>3</v>
      </c>
      <c r="D8" s="80">
        <v>12422</v>
      </c>
      <c r="E8" s="80">
        <v>3330.4</v>
      </c>
      <c r="F8" s="80">
        <v>169.20000000000002</v>
      </c>
    </row>
    <row r="9" spans="1:6" x14ac:dyDescent="0.3">
      <c r="A9" s="78" t="s">
        <v>189</v>
      </c>
      <c r="B9" s="78" t="s">
        <v>191</v>
      </c>
      <c r="C9" s="79">
        <v>4</v>
      </c>
      <c r="D9" s="80">
        <v>15219.6</v>
      </c>
      <c r="E9" s="80">
        <v>3796.8</v>
      </c>
      <c r="F9" s="80">
        <v>212.8</v>
      </c>
    </row>
    <row r="10" spans="1:6" x14ac:dyDescent="0.3">
      <c r="A10" s="78" t="s">
        <v>189</v>
      </c>
      <c r="B10" s="78" t="s">
        <v>192</v>
      </c>
      <c r="C10" s="79">
        <v>1</v>
      </c>
      <c r="D10" s="80">
        <v>14700.4</v>
      </c>
      <c r="E10" s="80">
        <v>2989.2000000000003</v>
      </c>
      <c r="F10" s="80">
        <v>267.60000000000002</v>
      </c>
    </row>
    <row r="11" spans="1:6" x14ac:dyDescent="0.3">
      <c r="A11" s="78" t="s">
        <v>189</v>
      </c>
      <c r="B11" s="78" t="s">
        <v>192</v>
      </c>
      <c r="C11" s="79">
        <v>2</v>
      </c>
      <c r="D11" s="80">
        <v>19146.400000000001</v>
      </c>
      <c r="E11" s="80">
        <v>3652.4</v>
      </c>
      <c r="F11" s="80">
        <v>399.20000000000005</v>
      </c>
    </row>
    <row r="12" spans="1:6" x14ac:dyDescent="0.3">
      <c r="A12" s="78" t="s">
        <v>189</v>
      </c>
      <c r="B12" s="78" t="s">
        <v>192</v>
      </c>
      <c r="C12" s="79">
        <v>3</v>
      </c>
      <c r="D12" s="80">
        <v>33226.400000000001</v>
      </c>
      <c r="E12" s="80">
        <v>6418.8</v>
      </c>
      <c r="F12" s="80">
        <v>523.20000000000005</v>
      </c>
    </row>
    <row r="13" spans="1:6" x14ac:dyDescent="0.3">
      <c r="A13" s="78" t="s">
        <v>189</v>
      </c>
      <c r="B13" s="78" t="s">
        <v>192</v>
      </c>
      <c r="C13" s="79">
        <v>4</v>
      </c>
      <c r="D13" s="80">
        <v>17372.8</v>
      </c>
      <c r="E13" s="80">
        <v>4747.2000000000007</v>
      </c>
      <c r="F13" s="80">
        <v>349.6</v>
      </c>
    </row>
    <row r="14" spans="1:6" x14ac:dyDescent="0.3">
      <c r="A14" s="78" t="s">
        <v>189</v>
      </c>
      <c r="B14" s="78" t="s">
        <v>193</v>
      </c>
      <c r="C14" s="79">
        <v>1</v>
      </c>
      <c r="D14" s="80">
        <v>17760</v>
      </c>
      <c r="E14" s="80">
        <v>3728.3999999999996</v>
      </c>
      <c r="F14" s="80">
        <v>210</v>
      </c>
    </row>
    <row r="15" spans="1:6" x14ac:dyDescent="0.3">
      <c r="A15" s="78" t="s">
        <v>189</v>
      </c>
      <c r="B15" s="78" t="s">
        <v>193</v>
      </c>
      <c r="C15" s="79">
        <v>2</v>
      </c>
      <c r="D15" s="80">
        <v>19689.599999999999</v>
      </c>
      <c r="E15" s="80">
        <v>3909.2000000000003</v>
      </c>
      <c r="F15" s="80">
        <v>254.8</v>
      </c>
    </row>
    <row r="16" spans="1:6" x14ac:dyDescent="0.3">
      <c r="A16" s="78" t="s">
        <v>189</v>
      </c>
      <c r="B16" s="78" t="s">
        <v>193</v>
      </c>
      <c r="C16" s="79">
        <v>3</v>
      </c>
      <c r="D16" s="80">
        <v>6413.2000000000007</v>
      </c>
      <c r="E16" s="80">
        <v>1576.3999999999999</v>
      </c>
      <c r="F16" s="80">
        <v>70</v>
      </c>
    </row>
    <row r="17" spans="1:6" x14ac:dyDescent="0.3">
      <c r="A17" s="78" t="s">
        <v>189</v>
      </c>
      <c r="B17" s="78" t="s">
        <v>193</v>
      </c>
      <c r="C17" s="79">
        <v>4</v>
      </c>
      <c r="D17" s="80">
        <v>25316.799999999999</v>
      </c>
      <c r="E17" s="80">
        <v>5676.4</v>
      </c>
      <c r="F17" s="80">
        <v>312.8</v>
      </c>
    </row>
    <row r="18" spans="1:6" x14ac:dyDescent="0.3">
      <c r="A18" s="78" t="s">
        <v>194</v>
      </c>
      <c r="B18" s="78" t="s">
        <v>195</v>
      </c>
      <c r="C18" s="79">
        <v>1</v>
      </c>
      <c r="D18" s="80">
        <v>44237.600000000006</v>
      </c>
      <c r="E18" s="80">
        <v>7444.8</v>
      </c>
      <c r="F18" s="80">
        <v>214.4</v>
      </c>
    </row>
    <row r="19" spans="1:6" x14ac:dyDescent="0.3">
      <c r="A19" s="78" t="s">
        <v>194</v>
      </c>
      <c r="B19" s="78" t="s">
        <v>195</v>
      </c>
      <c r="C19" s="79">
        <v>2</v>
      </c>
      <c r="D19" s="80">
        <v>26322.800000000003</v>
      </c>
      <c r="E19" s="80">
        <v>4369.2</v>
      </c>
      <c r="F19" s="80">
        <v>538</v>
      </c>
    </row>
    <row r="20" spans="1:6" x14ac:dyDescent="0.3">
      <c r="A20" s="78" t="s">
        <v>194</v>
      </c>
      <c r="B20" s="78" t="s">
        <v>190</v>
      </c>
      <c r="C20" s="79">
        <v>3</v>
      </c>
      <c r="D20" s="80">
        <v>45075.600000000006</v>
      </c>
      <c r="E20" s="80">
        <v>7343.6</v>
      </c>
      <c r="F20" s="80">
        <v>738</v>
      </c>
    </row>
    <row r="21" spans="1:6" x14ac:dyDescent="0.3">
      <c r="A21" s="78" t="s">
        <v>194</v>
      </c>
      <c r="B21" s="78" t="s">
        <v>190</v>
      </c>
      <c r="C21" s="79">
        <v>4</v>
      </c>
      <c r="D21" s="80">
        <v>36212.800000000003</v>
      </c>
      <c r="E21" s="80">
        <v>6216</v>
      </c>
      <c r="F21" s="80">
        <v>207.2</v>
      </c>
    </row>
    <row r="22" spans="1:6" x14ac:dyDescent="0.3">
      <c r="A22" s="78" t="s">
        <v>194</v>
      </c>
      <c r="B22" s="78" t="s">
        <v>191</v>
      </c>
      <c r="C22" s="79">
        <v>1</v>
      </c>
      <c r="D22" s="80">
        <v>32367.199999999997</v>
      </c>
      <c r="E22" s="80">
        <v>7124.4000000000005</v>
      </c>
      <c r="F22" s="80">
        <v>583.6</v>
      </c>
    </row>
    <row r="23" spans="1:6" x14ac:dyDescent="0.3">
      <c r="A23" s="78" t="s">
        <v>194</v>
      </c>
      <c r="B23" s="78" t="s">
        <v>191</v>
      </c>
      <c r="C23" s="79">
        <v>2</v>
      </c>
      <c r="D23" s="80">
        <v>27846.399999999998</v>
      </c>
      <c r="E23" s="80">
        <v>6886.4</v>
      </c>
      <c r="F23" s="80">
        <v>517.6</v>
      </c>
    </row>
    <row r="24" spans="1:6" x14ac:dyDescent="0.3">
      <c r="A24" s="78" t="s">
        <v>194</v>
      </c>
      <c r="B24" s="78" t="s">
        <v>191</v>
      </c>
      <c r="C24" s="79">
        <v>3</v>
      </c>
      <c r="D24" s="80">
        <v>23167.600000000002</v>
      </c>
      <c r="E24" s="80">
        <v>5132.7999999999993</v>
      </c>
      <c r="F24" s="80">
        <v>401.59999999999997</v>
      </c>
    </row>
    <row r="25" spans="1:6" x14ac:dyDescent="0.3">
      <c r="A25" s="78" t="s">
        <v>194</v>
      </c>
      <c r="B25" s="78" t="s">
        <v>191</v>
      </c>
      <c r="C25" s="79">
        <v>4</v>
      </c>
      <c r="D25" s="80">
        <v>28570.400000000001</v>
      </c>
      <c r="E25" s="80">
        <v>6368.8</v>
      </c>
      <c r="F25" s="80">
        <v>447.2</v>
      </c>
    </row>
    <row r="26" spans="1:6" x14ac:dyDescent="0.3">
      <c r="A26" s="78" t="s">
        <v>194</v>
      </c>
      <c r="B26" s="78" t="s">
        <v>192</v>
      </c>
      <c r="C26" s="79">
        <v>1</v>
      </c>
      <c r="D26" s="80">
        <v>25033.200000000001</v>
      </c>
      <c r="E26" s="80">
        <v>4857.2000000000007</v>
      </c>
      <c r="F26" s="80">
        <v>374</v>
      </c>
    </row>
    <row r="27" spans="1:6" x14ac:dyDescent="0.3">
      <c r="A27" s="78" t="s">
        <v>194</v>
      </c>
      <c r="B27" s="78" t="s">
        <v>192</v>
      </c>
      <c r="C27" s="79">
        <v>2</v>
      </c>
      <c r="D27" s="80">
        <v>39969.599999999999</v>
      </c>
      <c r="E27" s="80">
        <v>7573.2000000000007</v>
      </c>
      <c r="F27" s="80">
        <v>684.80000000000007</v>
      </c>
    </row>
    <row r="28" spans="1:6" x14ac:dyDescent="0.3">
      <c r="A28" s="78" t="s">
        <v>194</v>
      </c>
      <c r="B28" s="78" t="s">
        <v>192</v>
      </c>
      <c r="C28" s="79">
        <v>3</v>
      </c>
      <c r="D28" s="80">
        <v>36924.800000000003</v>
      </c>
      <c r="E28" s="80">
        <v>7040</v>
      </c>
      <c r="F28" s="80">
        <v>616.4</v>
      </c>
    </row>
    <row r="29" spans="1:6" x14ac:dyDescent="0.3">
      <c r="A29" s="78" t="s">
        <v>194</v>
      </c>
      <c r="B29" s="78" t="s">
        <v>192</v>
      </c>
      <c r="C29" s="79">
        <v>4</v>
      </c>
      <c r="D29" s="80">
        <v>20400.8</v>
      </c>
      <c r="E29" s="80">
        <v>3488.8</v>
      </c>
      <c r="F29" s="80">
        <v>447.59999999999997</v>
      </c>
    </row>
    <row r="30" spans="1:6" x14ac:dyDescent="0.3">
      <c r="A30" s="78" t="s">
        <v>194</v>
      </c>
      <c r="B30" s="78" t="s">
        <v>193</v>
      </c>
      <c r="C30" s="79">
        <v>1</v>
      </c>
      <c r="D30" s="80">
        <v>15811.6</v>
      </c>
      <c r="E30" s="80">
        <v>2684</v>
      </c>
      <c r="F30" s="80">
        <v>136</v>
      </c>
    </row>
    <row r="31" spans="1:6" x14ac:dyDescent="0.3">
      <c r="A31" s="78" t="s">
        <v>194</v>
      </c>
      <c r="B31" s="78" t="s">
        <v>193</v>
      </c>
      <c r="C31" s="79">
        <v>2</v>
      </c>
      <c r="D31" s="80">
        <v>24537.199999999997</v>
      </c>
      <c r="E31" s="80">
        <v>4491.2</v>
      </c>
      <c r="F31" s="80">
        <v>354.79999999999995</v>
      </c>
    </row>
    <row r="32" spans="1:6" x14ac:dyDescent="0.3">
      <c r="A32" s="78" t="s">
        <v>194</v>
      </c>
      <c r="B32" s="78" t="s">
        <v>193</v>
      </c>
      <c r="C32" s="79">
        <v>3</v>
      </c>
      <c r="D32" s="80">
        <v>26057.199999999997</v>
      </c>
      <c r="E32" s="80">
        <v>5295.5999999999995</v>
      </c>
      <c r="F32" s="80">
        <v>362.8</v>
      </c>
    </row>
    <row r="33" spans="1:6" x14ac:dyDescent="0.3">
      <c r="A33" s="78" t="s">
        <v>194</v>
      </c>
      <c r="B33" s="78" t="s">
        <v>193</v>
      </c>
      <c r="C33" s="79">
        <v>4</v>
      </c>
      <c r="D33" s="80">
        <v>27948</v>
      </c>
      <c r="E33" s="80">
        <v>5165.5999999999995</v>
      </c>
      <c r="F33" s="80">
        <v>414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5377-163A-4B20-8400-2B183BDC37F4}">
  <dimension ref="A1:G33"/>
  <sheetViews>
    <sheetView workbookViewId="0">
      <selection sqref="A1:G33"/>
    </sheetView>
  </sheetViews>
  <sheetFormatPr defaultRowHeight="14.4" x14ac:dyDescent="0.3"/>
  <cols>
    <col min="1" max="1" width="10.77734375" style="78" bestFit="1" customWidth="1"/>
    <col min="2" max="2" width="11.88671875" style="78" bestFit="1" customWidth="1"/>
    <col min="3" max="3" width="4.109375" style="78" bestFit="1" customWidth="1"/>
    <col min="4" max="5" width="5" style="78" bestFit="1" customWidth="1"/>
    <col min="6" max="6" width="5.5546875" style="78" bestFit="1" customWidth="1"/>
    <col min="7" max="7" width="7.5546875" style="78" bestFit="1" customWidth="1"/>
    <col min="8" max="16384" width="8.88671875" style="78"/>
  </cols>
  <sheetData>
    <row r="1" spans="1:7" x14ac:dyDescent="0.3">
      <c r="A1" s="83" t="s">
        <v>185</v>
      </c>
      <c r="B1" s="83" t="s">
        <v>184</v>
      </c>
      <c r="C1" s="83" t="s">
        <v>2</v>
      </c>
      <c r="D1" s="83" t="s">
        <v>196</v>
      </c>
      <c r="E1" s="83" t="s">
        <v>197</v>
      </c>
      <c r="F1" s="84" t="s">
        <v>8</v>
      </c>
      <c r="G1" s="83" t="s">
        <v>31</v>
      </c>
    </row>
    <row r="2" spans="1:7" x14ac:dyDescent="0.3">
      <c r="A2" s="83" t="s">
        <v>190</v>
      </c>
      <c r="B2" s="83" t="s">
        <v>189</v>
      </c>
      <c r="C2" s="83" t="s">
        <v>54</v>
      </c>
      <c r="D2" s="83">
        <v>30</v>
      </c>
      <c r="E2" s="83">
        <v>2.25</v>
      </c>
      <c r="F2" s="84">
        <v>180</v>
      </c>
      <c r="G2" s="4">
        <v>3547.2222222222222</v>
      </c>
    </row>
    <row r="3" spans="1:7" x14ac:dyDescent="0.3">
      <c r="A3" s="83" t="s">
        <v>190</v>
      </c>
      <c r="B3" s="83" t="s">
        <v>189</v>
      </c>
      <c r="C3" s="83" t="s">
        <v>55</v>
      </c>
      <c r="D3" s="83">
        <v>40.799999999999997</v>
      </c>
      <c r="E3" s="83">
        <v>2.5499999999999998</v>
      </c>
      <c r="F3" s="84">
        <v>190</v>
      </c>
      <c r="G3" s="4">
        <v>4116.666666666667</v>
      </c>
    </row>
    <row r="4" spans="1:7" x14ac:dyDescent="0.3">
      <c r="A4" s="83" t="s">
        <v>190</v>
      </c>
      <c r="B4" s="83" t="s">
        <v>189</v>
      </c>
      <c r="C4" s="83" t="s">
        <v>56</v>
      </c>
      <c r="D4" s="83">
        <v>34.6</v>
      </c>
      <c r="E4" s="83">
        <v>2.6</v>
      </c>
      <c r="F4" s="84">
        <v>170</v>
      </c>
      <c r="G4" s="4">
        <v>3380.5555555555557</v>
      </c>
    </row>
    <row r="5" spans="1:7" x14ac:dyDescent="0.3">
      <c r="A5" s="83" t="s">
        <v>190</v>
      </c>
      <c r="B5" s="83" t="s">
        <v>189</v>
      </c>
      <c r="C5" s="83" t="s">
        <v>77</v>
      </c>
      <c r="D5" s="83">
        <v>37.6</v>
      </c>
      <c r="E5" s="83">
        <v>2.52</v>
      </c>
      <c r="F5" s="84">
        <v>160</v>
      </c>
      <c r="G5" s="4">
        <v>3733.333333333333</v>
      </c>
    </row>
    <row r="6" spans="1:7" x14ac:dyDescent="0.3">
      <c r="A6" s="83" t="s">
        <v>191</v>
      </c>
      <c r="B6" s="83" t="s">
        <v>189</v>
      </c>
      <c r="C6" s="83" t="s">
        <v>54</v>
      </c>
      <c r="D6" s="83">
        <v>38.6</v>
      </c>
      <c r="E6" s="83">
        <v>2.15</v>
      </c>
      <c r="F6" s="84">
        <v>180</v>
      </c>
      <c r="G6" s="4">
        <v>3819.4444444444443</v>
      </c>
    </row>
    <row r="7" spans="1:7" x14ac:dyDescent="0.3">
      <c r="A7" s="83" t="s">
        <v>191</v>
      </c>
      <c r="B7" s="83" t="s">
        <v>189</v>
      </c>
      <c r="C7" s="83" t="s">
        <v>55</v>
      </c>
      <c r="D7" s="83">
        <v>40.6</v>
      </c>
      <c r="E7" s="83">
        <v>2.1</v>
      </c>
      <c r="F7" s="84">
        <v>170</v>
      </c>
      <c r="G7" s="4">
        <v>1738.8888888888889</v>
      </c>
    </row>
    <row r="8" spans="1:7" x14ac:dyDescent="0.3">
      <c r="A8" s="83" t="s">
        <v>191</v>
      </c>
      <c r="B8" s="83" t="s">
        <v>189</v>
      </c>
      <c r="C8" s="83" t="s">
        <v>56</v>
      </c>
      <c r="D8" s="83">
        <v>37.6</v>
      </c>
      <c r="E8" s="83">
        <v>2.48</v>
      </c>
      <c r="F8" s="84">
        <v>180</v>
      </c>
      <c r="G8" s="4">
        <v>3927.7777777777778</v>
      </c>
    </row>
    <row r="9" spans="1:7" x14ac:dyDescent="0.3">
      <c r="A9" s="83" t="s">
        <v>191</v>
      </c>
      <c r="B9" s="83" t="s">
        <v>189</v>
      </c>
      <c r="C9" s="83" t="s">
        <v>77</v>
      </c>
      <c r="D9" s="83">
        <v>38</v>
      </c>
      <c r="E9" s="83">
        <v>2.39</v>
      </c>
      <c r="F9" s="84">
        <v>150</v>
      </c>
      <c r="G9" s="4">
        <v>3338.8888888888887</v>
      </c>
    </row>
    <row r="10" spans="1:7" x14ac:dyDescent="0.3">
      <c r="A10" s="83" t="s">
        <v>192</v>
      </c>
      <c r="B10" s="83" t="s">
        <v>189</v>
      </c>
      <c r="C10" s="83" t="s">
        <v>54</v>
      </c>
      <c r="D10" s="83">
        <v>35.6</v>
      </c>
      <c r="E10" s="83">
        <v>2.46</v>
      </c>
      <c r="F10" s="84">
        <v>210</v>
      </c>
      <c r="G10" s="4">
        <v>4400</v>
      </c>
    </row>
    <row r="11" spans="1:7" x14ac:dyDescent="0.3">
      <c r="A11" s="83" t="s">
        <v>192</v>
      </c>
      <c r="B11" s="83" t="s">
        <v>189</v>
      </c>
      <c r="C11" s="83" t="s">
        <v>55</v>
      </c>
      <c r="D11" s="83">
        <v>32.200000000000003</v>
      </c>
      <c r="E11" s="83">
        <v>2.42</v>
      </c>
      <c r="F11" s="84">
        <v>200</v>
      </c>
      <c r="G11" s="4">
        <v>4377.7777777777774</v>
      </c>
    </row>
    <row r="12" spans="1:7" x14ac:dyDescent="0.3">
      <c r="A12" s="83" t="s">
        <v>192</v>
      </c>
      <c r="B12" s="83" t="s">
        <v>189</v>
      </c>
      <c r="C12" s="83" t="s">
        <v>56</v>
      </c>
      <c r="D12" s="83">
        <v>39.6</v>
      </c>
      <c r="E12" s="83">
        <v>2.3199999999999998</v>
      </c>
      <c r="F12" s="84">
        <v>160</v>
      </c>
      <c r="G12" s="4">
        <v>3761.1111111111113</v>
      </c>
    </row>
    <row r="13" spans="1:7" x14ac:dyDescent="0.3">
      <c r="A13" s="83" t="s">
        <v>192</v>
      </c>
      <c r="B13" s="83" t="s">
        <v>189</v>
      </c>
      <c r="C13" s="83" t="s">
        <v>77</v>
      </c>
      <c r="D13" s="83">
        <v>41.8</v>
      </c>
      <c r="E13" s="83">
        <v>2.52</v>
      </c>
      <c r="F13" s="84">
        <v>160</v>
      </c>
      <c r="G13" s="4">
        <v>3075</v>
      </c>
    </row>
    <row r="14" spans="1:7" x14ac:dyDescent="0.3">
      <c r="A14" s="83" t="s">
        <v>193</v>
      </c>
      <c r="B14" s="83" t="s">
        <v>189</v>
      </c>
      <c r="C14" s="83" t="s">
        <v>54</v>
      </c>
      <c r="D14" s="83">
        <v>39.799999999999997</v>
      </c>
      <c r="E14" s="83">
        <v>2.25</v>
      </c>
      <c r="F14" s="84">
        <v>210</v>
      </c>
      <c r="G14" s="4">
        <v>4297.2222222222217</v>
      </c>
    </row>
    <row r="15" spans="1:7" x14ac:dyDescent="0.3">
      <c r="A15" s="83" t="s">
        <v>193</v>
      </c>
      <c r="B15" s="83" t="s">
        <v>189</v>
      </c>
      <c r="C15" s="83" t="s">
        <v>55</v>
      </c>
      <c r="D15" s="83">
        <v>50</v>
      </c>
      <c r="E15" s="83">
        <v>2.35</v>
      </c>
      <c r="F15" s="84">
        <v>210</v>
      </c>
      <c r="G15" s="4">
        <v>4694.4444444444443</v>
      </c>
    </row>
    <row r="16" spans="1:7" x14ac:dyDescent="0.3">
      <c r="A16" s="83" t="s">
        <v>193</v>
      </c>
      <c r="B16" s="83" t="s">
        <v>189</v>
      </c>
      <c r="C16" s="83" t="s">
        <v>56</v>
      </c>
      <c r="D16" s="83">
        <v>43.2</v>
      </c>
      <c r="E16" s="83">
        <v>2.42</v>
      </c>
      <c r="F16" s="84">
        <v>170</v>
      </c>
      <c r="G16" s="4">
        <v>675</v>
      </c>
    </row>
    <row r="17" spans="1:7" x14ac:dyDescent="0.3">
      <c r="A17" s="83" t="s">
        <v>193</v>
      </c>
      <c r="B17" s="83" t="s">
        <v>189</v>
      </c>
      <c r="C17" s="83" t="s">
        <v>77</v>
      </c>
      <c r="D17" s="83">
        <v>32.200000000000003</v>
      </c>
      <c r="E17" s="83">
        <v>2.2599999999999998</v>
      </c>
      <c r="F17" s="84">
        <v>170</v>
      </c>
      <c r="G17" s="4">
        <v>1644.4444444444443</v>
      </c>
    </row>
    <row r="18" spans="1:7" x14ac:dyDescent="0.3">
      <c r="A18" s="83" t="s">
        <v>190</v>
      </c>
      <c r="B18" s="83" t="s">
        <v>194</v>
      </c>
      <c r="C18" s="83" t="s">
        <v>54</v>
      </c>
      <c r="D18" s="83">
        <v>50.6</v>
      </c>
      <c r="E18" s="83">
        <v>2.25</v>
      </c>
      <c r="F18" s="84">
        <v>180</v>
      </c>
      <c r="G18" s="4">
        <v>4227.7777777777774</v>
      </c>
    </row>
    <row r="19" spans="1:7" x14ac:dyDescent="0.3">
      <c r="A19" s="83" t="s">
        <v>190</v>
      </c>
      <c r="B19" s="83" t="s">
        <v>194</v>
      </c>
      <c r="C19" s="83" t="s">
        <v>55</v>
      </c>
      <c r="D19" s="83">
        <v>42.6</v>
      </c>
      <c r="E19" s="83">
        <v>2.46</v>
      </c>
      <c r="F19" s="84">
        <v>200</v>
      </c>
      <c r="G19" s="4">
        <v>3047.2222222222222</v>
      </c>
    </row>
    <row r="20" spans="1:7" x14ac:dyDescent="0.3">
      <c r="A20" s="83" t="s">
        <v>190</v>
      </c>
      <c r="B20" s="83" t="s">
        <v>194</v>
      </c>
      <c r="C20" s="83" t="s">
        <v>56</v>
      </c>
      <c r="D20" s="83">
        <v>43.4</v>
      </c>
      <c r="E20" s="83">
        <v>2.78</v>
      </c>
      <c r="F20" s="84">
        <v>160</v>
      </c>
      <c r="G20" s="4">
        <v>3836.1111111111109</v>
      </c>
    </row>
    <row r="21" spans="1:7" x14ac:dyDescent="0.3">
      <c r="A21" s="83" t="s">
        <v>190</v>
      </c>
      <c r="B21" s="83" t="s">
        <v>194</v>
      </c>
      <c r="C21" s="83" t="s">
        <v>77</v>
      </c>
      <c r="D21" s="83">
        <v>42</v>
      </c>
      <c r="E21" s="83">
        <v>1.97</v>
      </c>
      <c r="F21" s="84">
        <v>170</v>
      </c>
      <c r="G21" s="4">
        <v>1058.3333333333333</v>
      </c>
    </row>
    <row r="22" spans="1:7" x14ac:dyDescent="0.3">
      <c r="A22" s="83" t="s">
        <v>191</v>
      </c>
      <c r="B22" s="83" t="s">
        <v>194</v>
      </c>
      <c r="C22" s="83" t="s">
        <v>54</v>
      </c>
      <c r="D22" s="83">
        <v>42.8</v>
      </c>
      <c r="E22" s="83">
        <v>2.35</v>
      </c>
      <c r="F22" s="84">
        <v>180</v>
      </c>
      <c r="G22" s="4">
        <v>4316.666666666667</v>
      </c>
    </row>
    <row r="23" spans="1:7" x14ac:dyDescent="0.3">
      <c r="A23" s="83" t="s">
        <v>191</v>
      </c>
      <c r="B23" s="83" t="s">
        <v>194</v>
      </c>
      <c r="C23" s="83" t="s">
        <v>55</v>
      </c>
      <c r="D23" s="83">
        <v>43.6</v>
      </c>
      <c r="E23" s="83">
        <v>2.4700000000000002</v>
      </c>
      <c r="F23" s="84">
        <v>180</v>
      </c>
      <c r="G23" s="4">
        <v>3677.7777777777778</v>
      </c>
    </row>
    <row r="24" spans="1:7" x14ac:dyDescent="0.3">
      <c r="A24" s="83" t="s">
        <v>191</v>
      </c>
      <c r="B24" s="83" t="s">
        <v>194</v>
      </c>
      <c r="C24" s="83" t="s">
        <v>56</v>
      </c>
      <c r="D24" s="83">
        <v>34.6</v>
      </c>
      <c r="E24" s="83">
        <v>2.54</v>
      </c>
      <c r="F24" s="84">
        <v>170</v>
      </c>
      <c r="G24" s="4">
        <v>4619.4444444444443</v>
      </c>
    </row>
    <row r="25" spans="1:7" x14ac:dyDescent="0.3">
      <c r="A25" s="83" t="s">
        <v>191</v>
      </c>
      <c r="B25" s="83" t="s">
        <v>194</v>
      </c>
      <c r="C25" s="83" t="s">
        <v>77</v>
      </c>
      <c r="D25" s="83">
        <v>53.2</v>
      </c>
      <c r="E25" s="83">
        <v>2.15</v>
      </c>
      <c r="F25" s="84">
        <v>160</v>
      </c>
      <c r="G25" s="4">
        <v>1005.5555555555555</v>
      </c>
    </row>
    <row r="26" spans="1:7" x14ac:dyDescent="0.3">
      <c r="A26" s="83" t="s">
        <v>192</v>
      </c>
      <c r="B26" s="83" t="s">
        <v>194</v>
      </c>
      <c r="C26" s="83" t="s">
        <v>54</v>
      </c>
      <c r="D26" s="83">
        <v>37.200000000000003</v>
      </c>
      <c r="E26" s="83">
        <v>2.38</v>
      </c>
      <c r="F26" s="84">
        <v>190</v>
      </c>
      <c r="G26" s="4">
        <v>4444.4444444444443</v>
      </c>
    </row>
    <row r="27" spans="1:7" x14ac:dyDescent="0.3">
      <c r="A27" s="83" t="s">
        <v>192</v>
      </c>
      <c r="B27" s="83" t="s">
        <v>194</v>
      </c>
      <c r="C27" s="83" t="s">
        <v>55</v>
      </c>
      <c r="D27" s="83">
        <v>34.799999999999997</v>
      </c>
      <c r="E27" s="83">
        <v>2.58</v>
      </c>
      <c r="F27" s="84">
        <v>160</v>
      </c>
      <c r="G27" s="4">
        <v>1008.3333333333333</v>
      </c>
    </row>
    <row r="28" spans="1:7" x14ac:dyDescent="0.3">
      <c r="A28" s="83" t="s">
        <v>192</v>
      </c>
      <c r="B28" s="83" t="s">
        <v>194</v>
      </c>
      <c r="C28" s="83" t="s">
        <v>56</v>
      </c>
      <c r="D28" s="83">
        <v>47.4</v>
      </c>
      <c r="E28" s="83">
        <v>2.82</v>
      </c>
      <c r="F28" s="84">
        <v>170</v>
      </c>
      <c r="G28" s="4">
        <v>3138.8888888888882</v>
      </c>
    </row>
    <row r="29" spans="1:7" x14ac:dyDescent="0.3">
      <c r="A29" s="83" t="s">
        <v>192</v>
      </c>
      <c r="B29" s="83" t="s">
        <v>194</v>
      </c>
      <c r="C29" s="83" t="s">
        <v>77</v>
      </c>
      <c r="D29" s="83">
        <v>26.8</v>
      </c>
      <c r="E29" s="83">
        <v>2.66</v>
      </c>
      <c r="F29" s="84">
        <v>170</v>
      </c>
      <c r="G29" s="4">
        <v>2416.6666666666665</v>
      </c>
    </row>
    <row r="30" spans="1:7" x14ac:dyDescent="0.3">
      <c r="A30" s="83" t="s">
        <v>193</v>
      </c>
      <c r="B30" s="83" t="s">
        <v>194</v>
      </c>
      <c r="C30" s="83" t="s">
        <v>54</v>
      </c>
      <c r="D30" s="83">
        <v>35</v>
      </c>
      <c r="E30" s="83">
        <v>2.7</v>
      </c>
      <c r="F30" s="84">
        <v>180</v>
      </c>
      <c r="G30" s="4">
        <v>4130.5555555555557</v>
      </c>
    </row>
    <row r="31" spans="1:7" x14ac:dyDescent="0.3">
      <c r="A31" s="83" t="s">
        <v>193</v>
      </c>
      <c r="B31" s="83" t="s">
        <v>194</v>
      </c>
      <c r="C31" s="83" t="s">
        <v>55</v>
      </c>
      <c r="D31" s="83">
        <v>33.4</v>
      </c>
      <c r="E31" s="83">
        <v>2.54</v>
      </c>
      <c r="F31" s="84">
        <v>200</v>
      </c>
      <c r="G31" s="4">
        <v>3591.6666666666665</v>
      </c>
    </row>
    <row r="32" spans="1:7" x14ac:dyDescent="0.3">
      <c r="A32" s="83" t="s">
        <v>193</v>
      </c>
      <c r="B32" s="83" t="s">
        <v>194</v>
      </c>
      <c r="C32" s="83" t="s">
        <v>56</v>
      </c>
      <c r="D32" s="83">
        <v>22.6</v>
      </c>
      <c r="E32" s="83">
        <v>2.4700000000000002</v>
      </c>
      <c r="F32" s="84">
        <v>170</v>
      </c>
      <c r="G32" s="4">
        <v>1305.5555555555554</v>
      </c>
    </row>
    <row r="33" spans="1:7" x14ac:dyDescent="0.3">
      <c r="A33" s="83" t="s">
        <v>193</v>
      </c>
      <c r="B33" s="83" t="s">
        <v>194</v>
      </c>
      <c r="C33" s="83" t="s">
        <v>77</v>
      </c>
      <c r="D33" s="83">
        <v>31.6</v>
      </c>
      <c r="E33" s="83">
        <v>2.56</v>
      </c>
      <c r="F33" s="84">
        <v>200</v>
      </c>
      <c r="G33" s="4">
        <v>4861.1111111111113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sheetPr codeName="Planilha1"/>
  <dimension ref="A1:F21"/>
  <sheetViews>
    <sheetView zoomScale="115" zoomScaleNormal="115" workbookViewId="0">
      <selection activeCell="C3" sqref="C3"/>
    </sheetView>
  </sheetViews>
  <sheetFormatPr defaultRowHeight="14.4" x14ac:dyDescent="0.3"/>
  <cols>
    <col min="1" max="1" width="4.44140625" bestFit="1" customWidth="1"/>
    <col min="2" max="2" width="4.109375" bestFit="1" customWidth="1"/>
    <col min="3" max="3" width="9" bestFit="1" customWidth="1"/>
    <col min="4" max="4" width="8.77734375" bestFit="1" customWidth="1"/>
  </cols>
  <sheetData>
    <row r="1" spans="1:6" x14ac:dyDescent="0.3">
      <c r="A1" t="s">
        <v>74</v>
      </c>
      <c r="B1" t="s">
        <v>2</v>
      </c>
      <c r="C1" t="s">
        <v>85</v>
      </c>
      <c r="D1" t="s">
        <v>72</v>
      </c>
      <c r="E1" t="s">
        <v>73</v>
      </c>
    </row>
    <row r="2" spans="1:6" x14ac:dyDescent="0.3">
      <c r="A2">
        <v>50</v>
      </c>
      <c r="B2">
        <v>1</v>
      </c>
      <c r="C2" s="17">
        <v>5.0199999999999996</v>
      </c>
      <c r="D2" s="17">
        <v>5016.42875</v>
      </c>
      <c r="E2">
        <v>12.30785</v>
      </c>
    </row>
    <row r="3" spans="1:6" x14ac:dyDescent="0.3">
      <c r="A3">
        <v>50</v>
      </c>
      <c r="B3">
        <v>2</v>
      </c>
      <c r="C3" s="17">
        <v>3.65</v>
      </c>
      <c r="D3" s="17">
        <v>3648.3589000000002</v>
      </c>
      <c r="E3">
        <v>10.73315</v>
      </c>
    </row>
    <row r="4" spans="1:6" x14ac:dyDescent="0.3">
      <c r="A4">
        <v>50</v>
      </c>
      <c r="B4">
        <v>3</v>
      </c>
      <c r="C4" s="17">
        <v>3.93</v>
      </c>
      <c r="D4" s="17">
        <v>3925.3332500000001</v>
      </c>
      <c r="E4">
        <v>10.8614</v>
      </c>
    </row>
    <row r="5" spans="1:6" x14ac:dyDescent="0.3">
      <c r="A5">
        <v>50</v>
      </c>
      <c r="B5">
        <v>4</v>
      </c>
      <c r="C5" s="17">
        <v>4.71</v>
      </c>
      <c r="D5" s="17">
        <v>4705.2685000000001</v>
      </c>
      <c r="E5">
        <v>10.9785</v>
      </c>
    </row>
    <row r="6" spans="1:6" x14ac:dyDescent="0.3">
      <c r="A6">
        <v>70</v>
      </c>
      <c r="B6">
        <v>1</v>
      </c>
      <c r="C6" s="17">
        <v>6.12</v>
      </c>
      <c r="D6" s="17">
        <v>6118.4251000000004</v>
      </c>
      <c r="E6">
        <v>15.751799999999999</v>
      </c>
    </row>
    <row r="7" spans="1:6" x14ac:dyDescent="0.3">
      <c r="A7">
        <v>70</v>
      </c>
      <c r="B7">
        <v>2</v>
      </c>
      <c r="C7" s="17">
        <v>5.61</v>
      </c>
      <c r="D7" s="17">
        <v>5614.2330499999998</v>
      </c>
      <c r="E7">
        <v>13.30495</v>
      </c>
    </row>
    <row r="8" spans="1:6" x14ac:dyDescent="0.3">
      <c r="A8">
        <v>70</v>
      </c>
      <c r="B8">
        <v>3</v>
      </c>
      <c r="C8" s="17">
        <v>5.1100000000000003</v>
      </c>
      <c r="D8" s="17">
        <v>5109.9443499999998</v>
      </c>
      <c r="E8">
        <v>13.88435</v>
      </c>
    </row>
    <row r="9" spans="1:6" x14ac:dyDescent="0.3">
      <c r="A9">
        <v>70</v>
      </c>
      <c r="B9">
        <v>4</v>
      </c>
      <c r="C9" s="17">
        <v>4.9800000000000004</v>
      </c>
      <c r="D9" s="17">
        <v>4975.8569500000003</v>
      </c>
      <c r="E9">
        <v>13.09225</v>
      </c>
    </row>
    <row r="10" spans="1:6" x14ac:dyDescent="0.3">
      <c r="A10">
        <v>100</v>
      </c>
      <c r="B10">
        <v>1</v>
      </c>
      <c r="C10" s="17">
        <v>5.46</v>
      </c>
      <c r="D10" s="17">
        <v>5464.5280000000002</v>
      </c>
      <c r="E10">
        <v>16.9224</v>
      </c>
    </row>
    <row r="11" spans="1:6" x14ac:dyDescent="0.3">
      <c r="A11">
        <v>100</v>
      </c>
      <c r="B11">
        <v>2</v>
      </c>
      <c r="C11" s="17">
        <v>5.55</v>
      </c>
      <c r="D11" s="17">
        <v>5551.9511499999999</v>
      </c>
      <c r="E11">
        <v>14.93085</v>
      </c>
      <c r="F11" s="24"/>
    </row>
    <row r="12" spans="1:6" x14ac:dyDescent="0.3">
      <c r="A12">
        <v>100</v>
      </c>
      <c r="B12">
        <v>3</v>
      </c>
      <c r="C12" s="17">
        <v>5.72</v>
      </c>
      <c r="D12" s="17">
        <v>5723.8487500000001</v>
      </c>
      <c r="E12">
        <v>16.129000000000001</v>
      </c>
    </row>
    <row r="13" spans="1:6" x14ac:dyDescent="0.3">
      <c r="A13">
        <v>100</v>
      </c>
      <c r="B13">
        <v>4</v>
      </c>
      <c r="C13" s="17">
        <v>5.87</v>
      </c>
      <c r="D13" s="17">
        <v>5869.6974499999997</v>
      </c>
      <c r="E13">
        <v>15.78145</v>
      </c>
    </row>
    <row r="14" spans="1:6" x14ac:dyDescent="0.3">
      <c r="A14" s="9"/>
      <c r="B14" s="9"/>
    </row>
    <row r="15" spans="1:6" x14ac:dyDescent="0.3">
      <c r="A15" s="9"/>
      <c r="B15" s="9"/>
    </row>
    <row r="16" spans="1:6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592-A0D5-4A24-BF54-61F2A46CEECB}">
  <sheetPr codeName="Planilha12"/>
  <dimension ref="A1:Q21"/>
  <sheetViews>
    <sheetView zoomScale="115" zoomScaleNormal="115" workbookViewId="0">
      <selection activeCell="P18" sqref="P18"/>
    </sheetView>
  </sheetViews>
  <sheetFormatPr defaultRowHeight="14.4" x14ac:dyDescent="0.3"/>
  <cols>
    <col min="1" max="1" width="4.5546875" bestFit="1" customWidth="1"/>
    <col min="2" max="2" width="4.33203125" bestFit="1" customWidth="1"/>
    <col min="3" max="7" width="7.109375" bestFit="1" customWidth="1"/>
    <col min="8" max="8" width="7.109375" style="83" customWidth="1"/>
    <col min="9" max="9" width="6.5546875" bestFit="1" customWidth="1"/>
    <col min="10" max="10" width="7.109375" bestFit="1" customWidth="1"/>
    <col min="11" max="11" width="6" bestFit="1" customWidth="1"/>
    <col min="17" max="17" width="8.88671875" style="7"/>
  </cols>
  <sheetData>
    <row r="1" spans="1:15" x14ac:dyDescent="0.3">
      <c r="A1" t="s">
        <v>74</v>
      </c>
      <c r="B1" t="s">
        <v>2</v>
      </c>
      <c r="C1" t="s">
        <v>73</v>
      </c>
      <c r="D1" t="s">
        <v>80</v>
      </c>
      <c r="E1" t="s">
        <v>79</v>
      </c>
      <c r="F1" t="s">
        <v>78</v>
      </c>
      <c r="G1" t="s">
        <v>81</v>
      </c>
      <c r="H1" s="83" t="s">
        <v>209</v>
      </c>
      <c r="I1" t="s">
        <v>82</v>
      </c>
      <c r="J1" t="s">
        <v>83</v>
      </c>
      <c r="K1" t="s">
        <v>84</v>
      </c>
    </row>
    <row r="2" spans="1:15" x14ac:dyDescent="0.3">
      <c r="A2">
        <v>50</v>
      </c>
      <c r="B2">
        <v>1</v>
      </c>
      <c r="C2" s="17">
        <v>12.30785</v>
      </c>
      <c r="D2" s="17">
        <f>AVERAGE($C$2:$C$13)</f>
        <v>13.723162500000001</v>
      </c>
      <c r="E2" s="17">
        <f>AVERAGE($C$2:$C$5)</f>
        <v>11.220224999999999</v>
      </c>
      <c r="F2" s="17">
        <f>AVERAGE(C2,C6,C10)</f>
        <v>14.994016666666667</v>
      </c>
      <c r="G2" s="17">
        <f>E2-D2</f>
        <v>-2.5029375000000016</v>
      </c>
      <c r="H2" s="17">
        <f>F2-D2</f>
        <v>1.2708541666666662</v>
      </c>
      <c r="I2" s="17">
        <f>C2-D2-G2-H2</f>
        <v>-0.18322916666666522</v>
      </c>
      <c r="J2" s="17">
        <f>G2^2</f>
        <v>6.2646961289062579</v>
      </c>
      <c r="K2" s="17">
        <f>I2^2</f>
        <v>3.357292751736058E-2</v>
      </c>
    </row>
    <row r="3" spans="1:15" x14ac:dyDescent="0.3">
      <c r="A3">
        <v>50</v>
      </c>
      <c r="B3">
        <v>2</v>
      </c>
      <c r="C3" s="17">
        <v>10.73315</v>
      </c>
      <c r="D3" s="17">
        <f t="shared" ref="D3:D13" si="0">AVERAGE($C$2:$C$13)</f>
        <v>13.723162500000001</v>
      </c>
      <c r="E3" s="17">
        <f t="shared" ref="E3:E5" si="1">AVERAGE($C$2:$C$5)</f>
        <v>11.220224999999999</v>
      </c>
      <c r="F3" s="17">
        <f>AVERAGE(C3,C7,C11)</f>
        <v>12.989649999999999</v>
      </c>
      <c r="G3" s="17">
        <f t="shared" ref="G3:G13" si="2">E3-D3</f>
        <v>-2.5029375000000016</v>
      </c>
      <c r="H3" s="17">
        <f t="shared" ref="H3:H13" si="3">F3-D3</f>
        <v>-0.73351250000000157</v>
      </c>
      <c r="I3" s="17">
        <f t="shared" ref="I3:I13" si="4">C3-D3-G3-H3</f>
        <v>0.24643750000000253</v>
      </c>
      <c r="J3" s="17">
        <f t="shared" ref="J3:J13" si="5">G3^2</f>
        <v>6.2646961289062579</v>
      </c>
      <c r="K3" s="17">
        <f t="shared" ref="K3:K13" si="6">I3^2</f>
        <v>6.0731441406251245E-2</v>
      </c>
    </row>
    <row r="4" spans="1:15" x14ac:dyDescent="0.3">
      <c r="A4">
        <v>50</v>
      </c>
      <c r="B4">
        <v>3</v>
      </c>
      <c r="C4" s="17">
        <v>10.8614</v>
      </c>
      <c r="D4" s="17">
        <f t="shared" si="0"/>
        <v>13.723162500000001</v>
      </c>
      <c r="E4" s="17">
        <f t="shared" si="1"/>
        <v>11.220224999999999</v>
      </c>
      <c r="F4" s="17">
        <f>AVERAGE(C4,C8,C12)</f>
        <v>13.624916666666669</v>
      </c>
      <c r="G4" s="17">
        <f t="shared" si="2"/>
        <v>-2.5029375000000016</v>
      </c>
      <c r="H4" s="17">
        <f t="shared" si="3"/>
        <v>-9.8245833333331589E-2</v>
      </c>
      <c r="I4" s="17">
        <f t="shared" si="4"/>
        <v>-0.26057916666666792</v>
      </c>
      <c r="J4" s="17">
        <f t="shared" si="5"/>
        <v>6.2646961289062579</v>
      </c>
      <c r="K4" s="17">
        <f t="shared" si="6"/>
        <v>6.7901502100695094E-2</v>
      </c>
      <c r="O4">
        <v>-2.5029375000000016</v>
      </c>
    </row>
    <row r="5" spans="1:15" x14ac:dyDescent="0.3">
      <c r="A5">
        <v>50</v>
      </c>
      <c r="B5">
        <v>4</v>
      </c>
      <c r="C5" s="17">
        <v>10.9785</v>
      </c>
      <c r="D5" s="17">
        <f t="shared" si="0"/>
        <v>13.723162500000001</v>
      </c>
      <c r="E5" s="17">
        <f t="shared" si="1"/>
        <v>11.220224999999999</v>
      </c>
      <c r="F5" s="17">
        <f>AVERAGE(C5,C9,C13)</f>
        <v>13.284066666666666</v>
      </c>
      <c r="G5" s="17">
        <f t="shared" si="2"/>
        <v>-2.5029375000000016</v>
      </c>
      <c r="H5" s="17">
        <f t="shared" si="3"/>
        <v>-0.4390958333333348</v>
      </c>
      <c r="I5" s="17">
        <f t="shared" si="4"/>
        <v>0.19737083333333594</v>
      </c>
      <c r="J5" s="17">
        <f t="shared" si="5"/>
        <v>6.2646961289062579</v>
      </c>
      <c r="K5" s="17">
        <f t="shared" si="6"/>
        <v>3.8955245850695472E-2</v>
      </c>
      <c r="O5">
        <v>0.28517499999999885</v>
      </c>
    </row>
    <row r="6" spans="1:15" x14ac:dyDescent="0.3">
      <c r="A6">
        <v>70</v>
      </c>
      <c r="B6">
        <v>1</v>
      </c>
      <c r="C6" s="17">
        <v>15.751799999999999</v>
      </c>
      <c r="D6" s="17">
        <f t="shared" si="0"/>
        <v>13.723162500000001</v>
      </c>
      <c r="E6" s="17">
        <f>AVERAGE($C$6:$C$9)</f>
        <v>14.0083375</v>
      </c>
      <c r="F6" s="17">
        <v>14.994016666666667</v>
      </c>
      <c r="G6" s="17">
        <f t="shared" si="2"/>
        <v>0.28517499999999885</v>
      </c>
      <c r="H6" s="17">
        <f t="shared" si="3"/>
        <v>1.2708541666666662</v>
      </c>
      <c r="I6" s="17">
        <f t="shared" si="4"/>
        <v>0.47260833333333352</v>
      </c>
      <c r="J6" s="17">
        <f t="shared" si="5"/>
        <v>8.1324780624999343E-2</v>
      </c>
      <c r="K6" s="17">
        <f t="shared" si="6"/>
        <v>0.22335863673611128</v>
      </c>
      <c r="O6">
        <v>2.2177624999999992</v>
      </c>
    </row>
    <row r="7" spans="1:15" x14ac:dyDescent="0.3">
      <c r="A7">
        <v>70</v>
      </c>
      <c r="B7">
        <v>2</v>
      </c>
      <c r="C7" s="17">
        <v>13.30495</v>
      </c>
      <c r="D7" s="17">
        <f t="shared" si="0"/>
        <v>13.723162500000001</v>
      </c>
      <c r="E7" s="17">
        <f t="shared" ref="E7:E8" si="7">AVERAGE($C$6:$C$9)</f>
        <v>14.0083375</v>
      </c>
      <c r="F7" s="17">
        <v>12.989649999999999</v>
      </c>
      <c r="G7" s="17">
        <f t="shared" si="2"/>
        <v>0.28517499999999885</v>
      </c>
      <c r="H7" s="17">
        <f t="shared" si="3"/>
        <v>-0.73351250000000157</v>
      </c>
      <c r="I7" s="17">
        <f t="shared" si="4"/>
        <v>3.0125000000001734E-2</v>
      </c>
      <c r="J7" s="17">
        <f t="shared" si="5"/>
        <v>8.1324780624999343E-2</v>
      </c>
      <c r="K7" s="17">
        <f t="shared" si="6"/>
        <v>9.0751562500010442E-4</v>
      </c>
      <c r="O7">
        <f>SUMSQ(O4:O6)</f>
        <v>11.264491415937504</v>
      </c>
    </row>
    <row r="8" spans="1:15" x14ac:dyDescent="0.3">
      <c r="A8">
        <v>70</v>
      </c>
      <c r="B8">
        <v>3</v>
      </c>
      <c r="C8" s="17">
        <v>13.88435</v>
      </c>
      <c r="D8" s="17">
        <f t="shared" si="0"/>
        <v>13.723162500000001</v>
      </c>
      <c r="E8" s="17">
        <f t="shared" si="7"/>
        <v>14.0083375</v>
      </c>
      <c r="F8" s="17">
        <v>13.624916666666669</v>
      </c>
      <c r="G8" s="17">
        <f t="shared" si="2"/>
        <v>0.28517499999999885</v>
      </c>
      <c r="H8" s="17">
        <f t="shared" si="3"/>
        <v>-9.8245833333331589E-2</v>
      </c>
      <c r="I8" s="17">
        <f t="shared" si="4"/>
        <v>-2.574166666666855E-2</v>
      </c>
      <c r="J8" s="17">
        <f t="shared" si="5"/>
        <v>8.1324780624999343E-2</v>
      </c>
      <c r="K8" s="17">
        <f t="shared" si="6"/>
        <v>6.6263340277787478E-4</v>
      </c>
      <c r="O8">
        <f>O7*4</f>
        <v>45.057965663750018</v>
      </c>
    </row>
    <row r="9" spans="1:15" x14ac:dyDescent="0.3">
      <c r="A9">
        <v>70</v>
      </c>
      <c r="B9">
        <v>4</v>
      </c>
      <c r="C9" s="17">
        <v>13.09225</v>
      </c>
      <c r="D9" s="17">
        <f t="shared" si="0"/>
        <v>13.723162500000001</v>
      </c>
      <c r="E9" s="17">
        <f>AVERAGE($C$6:$C$9)</f>
        <v>14.0083375</v>
      </c>
      <c r="F9" s="17">
        <v>13.284066666666666</v>
      </c>
      <c r="G9" s="17">
        <f t="shared" si="2"/>
        <v>0.28517499999999885</v>
      </c>
      <c r="H9" s="17">
        <f t="shared" si="3"/>
        <v>-0.4390958333333348</v>
      </c>
      <c r="I9" s="17">
        <f t="shared" si="4"/>
        <v>-0.47699166666666493</v>
      </c>
      <c r="J9" s="17">
        <f t="shared" si="5"/>
        <v>8.1324780624999343E-2</v>
      </c>
      <c r="K9" s="17">
        <f t="shared" si="6"/>
        <v>0.22752105006944279</v>
      </c>
    </row>
    <row r="10" spans="1:15" x14ac:dyDescent="0.3">
      <c r="A10">
        <v>100</v>
      </c>
      <c r="B10">
        <v>1</v>
      </c>
      <c r="C10" s="17">
        <v>16.9224</v>
      </c>
      <c r="D10" s="17">
        <f t="shared" si="0"/>
        <v>13.723162500000001</v>
      </c>
      <c r="E10" s="17">
        <f t="shared" ref="E10:E13" si="8">AVERAGE($C$10:$C$13)</f>
        <v>15.940925</v>
      </c>
      <c r="F10" s="17">
        <v>14.994016666666667</v>
      </c>
      <c r="G10" s="17">
        <f t="shared" si="2"/>
        <v>2.2177624999999992</v>
      </c>
      <c r="H10" s="17">
        <f t="shared" si="3"/>
        <v>1.2708541666666662</v>
      </c>
      <c r="I10" s="17">
        <f t="shared" si="4"/>
        <v>-0.28937916666666652</v>
      </c>
      <c r="J10" s="17">
        <f t="shared" si="5"/>
        <v>4.9184705064062468</v>
      </c>
      <c r="K10" s="17">
        <f t="shared" si="6"/>
        <v>8.3740302100694358E-2</v>
      </c>
    </row>
    <row r="11" spans="1:15" x14ac:dyDescent="0.3">
      <c r="A11">
        <v>100</v>
      </c>
      <c r="B11">
        <v>2</v>
      </c>
      <c r="C11" s="17">
        <v>14.93085</v>
      </c>
      <c r="D11" s="17">
        <f t="shared" si="0"/>
        <v>13.723162500000001</v>
      </c>
      <c r="E11" s="17">
        <f t="shared" si="8"/>
        <v>15.940925</v>
      </c>
      <c r="F11" s="17">
        <v>12.989649999999999</v>
      </c>
      <c r="G11" s="17">
        <f t="shared" si="2"/>
        <v>2.2177624999999992</v>
      </c>
      <c r="H11" s="17">
        <f t="shared" si="3"/>
        <v>-0.73351250000000157</v>
      </c>
      <c r="I11" s="17">
        <f t="shared" si="4"/>
        <v>-0.27656249999999893</v>
      </c>
      <c r="J11" s="17">
        <f t="shared" si="5"/>
        <v>4.9184705064062468</v>
      </c>
      <c r="K11" s="17">
        <f t="shared" si="6"/>
        <v>7.6486816406249408E-2</v>
      </c>
    </row>
    <row r="12" spans="1:15" x14ac:dyDescent="0.3">
      <c r="A12">
        <v>100</v>
      </c>
      <c r="B12">
        <v>3</v>
      </c>
      <c r="C12" s="17">
        <v>16.129000000000001</v>
      </c>
      <c r="D12" s="17">
        <f t="shared" si="0"/>
        <v>13.723162500000001</v>
      </c>
      <c r="E12" s="17">
        <f t="shared" si="8"/>
        <v>15.940925</v>
      </c>
      <c r="F12" s="17">
        <v>13.624916666666669</v>
      </c>
      <c r="G12" s="17">
        <f t="shared" si="2"/>
        <v>2.2177624999999992</v>
      </c>
      <c r="H12" s="17">
        <f t="shared" si="3"/>
        <v>-9.8245833333331589E-2</v>
      </c>
      <c r="I12" s="17">
        <f t="shared" si="4"/>
        <v>0.28632083333333291</v>
      </c>
      <c r="J12" s="17">
        <f t="shared" si="5"/>
        <v>4.9184705064062468</v>
      </c>
      <c r="K12" s="17">
        <f t="shared" si="6"/>
        <v>8.1979619600694206E-2</v>
      </c>
    </row>
    <row r="13" spans="1:15" x14ac:dyDescent="0.3">
      <c r="A13">
        <v>100</v>
      </c>
      <c r="B13">
        <v>4</v>
      </c>
      <c r="C13" s="17">
        <v>15.78145</v>
      </c>
      <c r="D13" s="17">
        <f t="shared" si="0"/>
        <v>13.723162500000001</v>
      </c>
      <c r="E13" s="17">
        <f t="shared" si="8"/>
        <v>15.940925</v>
      </c>
      <c r="F13" s="17">
        <v>13.284066666666666</v>
      </c>
      <c r="G13" s="17">
        <f t="shared" si="2"/>
        <v>2.2177624999999992</v>
      </c>
      <c r="H13" s="17">
        <f t="shared" si="3"/>
        <v>-0.4390958333333348</v>
      </c>
      <c r="I13" s="17">
        <f t="shared" si="4"/>
        <v>0.27962083333333432</v>
      </c>
      <c r="J13" s="17">
        <f t="shared" si="5"/>
        <v>4.9184705064062468</v>
      </c>
      <c r="K13" s="17">
        <f t="shared" si="6"/>
        <v>7.8187810434028324E-2</v>
      </c>
    </row>
    <row r="14" spans="1:15" x14ac:dyDescent="0.3">
      <c r="A14" s="9"/>
      <c r="B14" s="9"/>
      <c r="C14" s="17"/>
      <c r="D14" s="17"/>
      <c r="E14" s="17"/>
      <c r="F14" s="17"/>
      <c r="G14" s="17"/>
      <c r="H14" s="17"/>
      <c r="I14" s="17"/>
      <c r="J14" s="17">
        <f>SUM(J2:J13)</f>
        <v>45.057965663750011</v>
      </c>
      <c r="K14" s="17">
        <f>SUM(K2:K13)</f>
        <v>0.97400550125000085</v>
      </c>
    </row>
    <row r="15" spans="1:15" x14ac:dyDescent="0.3">
      <c r="A15" s="9"/>
      <c r="B15" s="9"/>
    </row>
    <row r="16" spans="1:15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454C-EECC-4A99-8C31-06D5BE28F536}">
  <dimension ref="A1:J8"/>
  <sheetViews>
    <sheetView zoomScale="130" zoomScaleNormal="130" workbookViewId="0">
      <selection activeCell="J6" sqref="J6"/>
    </sheetView>
  </sheetViews>
  <sheetFormatPr defaultRowHeight="14.4" x14ac:dyDescent="0.3"/>
  <cols>
    <col min="9" max="10" width="18.88671875" bestFit="1" customWidth="1"/>
  </cols>
  <sheetData>
    <row r="1" spans="1:10" x14ac:dyDescent="0.3">
      <c r="A1" s="5"/>
      <c r="B1" s="5">
        <v>1</v>
      </c>
      <c r="C1" s="5">
        <v>2</v>
      </c>
      <c r="D1" s="5">
        <v>3</v>
      </c>
      <c r="E1" s="5">
        <v>4</v>
      </c>
      <c r="F1" s="5" t="s">
        <v>86</v>
      </c>
      <c r="G1" s="5"/>
    </row>
    <row r="2" spans="1:10" x14ac:dyDescent="0.3">
      <c r="A2" s="5">
        <v>50</v>
      </c>
      <c r="B2" s="11">
        <v>5.0199999999999996</v>
      </c>
      <c r="C2" s="11">
        <v>3.65</v>
      </c>
      <c r="D2" s="11">
        <v>3.93</v>
      </c>
      <c r="E2" s="11">
        <v>4.71</v>
      </c>
      <c r="F2" s="11">
        <v>17.309999999999999</v>
      </c>
      <c r="G2" s="11">
        <f>F2/4</f>
        <v>4.3274999999999997</v>
      </c>
      <c r="H2" s="4" t="s">
        <v>51</v>
      </c>
      <c r="I2">
        <f>F5^2/12</f>
        <v>317.5494083333333</v>
      </c>
    </row>
    <row r="3" spans="1:10" x14ac:dyDescent="0.3">
      <c r="A3" s="5">
        <v>70</v>
      </c>
      <c r="B3" s="11">
        <v>6.12</v>
      </c>
      <c r="C3" s="11">
        <v>5.61</v>
      </c>
      <c r="D3" s="11">
        <v>5.1100000000000003</v>
      </c>
      <c r="E3" s="11">
        <v>4.9800000000000004</v>
      </c>
      <c r="F3" s="11">
        <v>21.82</v>
      </c>
      <c r="G3" s="11">
        <f t="shared" ref="G3:G4" si="0">F3/4</f>
        <v>5.4550000000000001</v>
      </c>
      <c r="H3" s="4" t="s">
        <v>88</v>
      </c>
      <c r="I3" s="26">
        <f>SUMSQ(B2:E4) -I2</f>
        <v>6.2308916666667074</v>
      </c>
      <c r="J3" s="26"/>
    </row>
    <row r="4" spans="1:10" x14ac:dyDescent="0.3">
      <c r="A4" s="5">
        <v>100</v>
      </c>
      <c r="B4" s="11">
        <v>5.46</v>
      </c>
      <c r="C4" s="11">
        <v>5.55</v>
      </c>
      <c r="D4" s="11">
        <v>5.72</v>
      </c>
      <c r="E4" s="11">
        <v>5.87</v>
      </c>
      <c r="F4" s="11">
        <v>22.6</v>
      </c>
      <c r="G4" s="11">
        <f t="shared" si="0"/>
        <v>5.65</v>
      </c>
      <c r="H4" s="4" t="s">
        <v>89</v>
      </c>
      <c r="I4">
        <f>SUMSQ(F2:F4)/4-I2</f>
        <v>4.0777166666666744</v>
      </c>
    </row>
    <row r="5" spans="1:10" x14ac:dyDescent="0.3">
      <c r="A5" s="5" t="s">
        <v>87</v>
      </c>
      <c r="B5" s="11">
        <v>16.600000000000001</v>
      </c>
      <c r="C5" s="11">
        <v>14.81</v>
      </c>
      <c r="D5" s="11">
        <v>14.76</v>
      </c>
      <c r="E5" s="11">
        <v>15.56</v>
      </c>
      <c r="F5" s="25">
        <v>61.73</v>
      </c>
      <c r="G5" s="11"/>
      <c r="H5" s="4" t="s">
        <v>90</v>
      </c>
      <c r="I5">
        <f>SUMSQ(B5:E5)/3-I2</f>
        <v>0.73969166666671526</v>
      </c>
    </row>
    <row r="6" spans="1:10" x14ac:dyDescent="0.3">
      <c r="H6" s="4" t="s">
        <v>91</v>
      </c>
      <c r="I6" s="26">
        <f>I3-I4-I5</f>
        <v>1.4134833333333177</v>
      </c>
      <c r="J6" s="26"/>
    </row>
    <row r="8" spans="1:10" x14ac:dyDescent="0.3">
      <c r="B8">
        <f>VARA(B2:E4)</f>
        <v>0.56644469696970579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sheetPr codeName="Planilha2"/>
  <dimension ref="A1:M21"/>
  <sheetViews>
    <sheetView zoomScale="130" zoomScaleNormal="130" workbookViewId="0">
      <selection activeCell="L19" sqref="L19"/>
    </sheetView>
  </sheetViews>
  <sheetFormatPr defaultRowHeight="14.4" x14ac:dyDescent="0.3"/>
  <cols>
    <col min="1" max="1" width="4.5546875" bestFit="1" customWidth="1"/>
    <col min="2" max="2" width="4.109375" bestFit="1" customWidth="1"/>
    <col min="3" max="3" width="9.5546875" bestFit="1" customWidth="1"/>
    <col min="4" max="4" width="2.88671875" customWidth="1"/>
    <col min="5" max="5" width="6.21875" bestFit="1" customWidth="1"/>
    <col min="6" max="6" width="10.6640625" bestFit="1" customWidth="1"/>
    <col min="7" max="7" width="6.77734375" style="5" bestFit="1" customWidth="1"/>
    <col min="8" max="8" width="9" style="5" bestFit="1" customWidth="1"/>
    <col min="9" max="9" width="7" style="5" bestFit="1" customWidth="1"/>
    <col min="10" max="10" width="7.88671875" style="5" bestFit="1" customWidth="1"/>
    <col min="11" max="11" width="6.77734375" style="5" bestFit="1" customWidth="1"/>
    <col min="12" max="12" width="7.88671875" bestFit="1" customWidth="1"/>
    <col min="13" max="13" width="6.109375" bestFit="1" customWidth="1"/>
  </cols>
  <sheetData>
    <row r="1" spans="1:13" x14ac:dyDescent="0.3">
      <c r="A1" t="s">
        <v>74</v>
      </c>
      <c r="B1" t="s">
        <v>2</v>
      </c>
      <c r="C1" t="s">
        <v>73</v>
      </c>
      <c r="E1" t="s">
        <v>57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77</v>
      </c>
      <c r="L1" s="5" t="s">
        <v>52</v>
      </c>
      <c r="M1" s="5" t="s">
        <v>66</v>
      </c>
    </row>
    <row r="2" spans="1:13" x14ac:dyDescent="0.3">
      <c r="A2">
        <v>50</v>
      </c>
      <c r="B2">
        <v>1</v>
      </c>
      <c r="C2">
        <v>12.30785</v>
      </c>
      <c r="E2" t="s">
        <v>75</v>
      </c>
      <c r="G2" s="5" t="s">
        <v>41</v>
      </c>
      <c r="H2" s="4">
        <v>12.30785</v>
      </c>
      <c r="I2" s="4">
        <v>10.73315</v>
      </c>
      <c r="J2" s="4">
        <v>10.8614</v>
      </c>
      <c r="K2" s="4">
        <v>10.9785</v>
      </c>
      <c r="L2" s="11">
        <f>SUM(H2:K2)</f>
        <v>44.880899999999997</v>
      </c>
      <c r="M2" s="11">
        <f>L2/4</f>
        <v>11.220224999999999</v>
      </c>
    </row>
    <row r="3" spans="1:13" x14ac:dyDescent="0.3">
      <c r="A3">
        <v>50</v>
      </c>
      <c r="B3">
        <v>2</v>
      </c>
      <c r="C3">
        <v>10.73315</v>
      </c>
      <c r="E3" t="s">
        <v>76</v>
      </c>
      <c r="G3" s="5" t="s">
        <v>42</v>
      </c>
      <c r="H3" s="4">
        <v>15.751799999999999</v>
      </c>
      <c r="I3" s="4">
        <v>13.30495</v>
      </c>
      <c r="J3" s="4">
        <v>13.88435</v>
      </c>
      <c r="K3" s="4">
        <v>13.09225</v>
      </c>
      <c r="L3" s="11">
        <f t="shared" ref="L3:L4" si="0">SUM(H3:K3)</f>
        <v>56.033349999999999</v>
      </c>
      <c r="M3" s="11">
        <f t="shared" ref="M3:M4" si="1">L3/4</f>
        <v>14.0083375</v>
      </c>
    </row>
    <row r="4" spans="1:13" x14ac:dyDescent="0.3">
      <c r="A4">
        <v>50</v>
      </c>
      <c r="B4">
        <v>3</v>
      </c>
      <c r="C4">
        <v>10.8614</v>
      </c>
      <c r="G4" s="5" t="s">
        <v>43</v>
      </c>
      <c r="H4" s="4">
        <v>16.9224</v>
      </c>
      <c r="I4" s="4">
        <v>14.93085</v>
      </c>
      <c r="J4" s="4">
        <v>16.129000000000001</v>
      </c>
      <c r="K4" s="4">
        <v>15.78145</v>
      </c>
      <c r="L4" s="11">
        <f t="shared" si="0"/>
        <v>63.7637</v>
      </c>
      <c r="M4" s="11">
        <f t="shared" si="1"/>
        <v>15.940925</v>
      </c>
    </row>
    <row r="5" spans="1:13" x14ac:dyDescent="0.3">
      <c r="A5">
        <v>50</v>
      </c>
      <c r="B5">
        <v>4</v>
      </c>
      <c r="C5">
        <v>10.9785</v>
      </c>
      <c r="G5" s="5" t="s">
        <v>52</v>
      </c>
      <c r="H5" s="18">
        <f>SUM(H2:H4)</f>
        <v>44.982050000000001</v>
      </c>
      <c r="I5" s="18">
        <f t="shared" ref="I5:K5" si="2">SUM(I2:I4)</f>
        <v>38.96895</v>
      </c>
      <c r="J5" s="18">
        <f t="shared" si="2"/>
        <v>40.874750000000006</v>
      </c>
      <c r="K5" s="18">
        <f t="shared" si="2"/>
        <v>39.852199999999996</v>
      </c>
      <c r="L5" s="20">
        <f>SUM(L2:L4)</f>
        <v>164.67795000000001</v>
      </c>
      <c r="M5" s="18"/>
    </row>
    <row r="6" spans="1:13" x14ac:dyDescent="0.3">
      <c r="A6">
        <v>70</v>
      </c>
      <c r="B6">
        <v>1</v>
      </c>
      <c r="C6">
        <v>15.751799999999999</v>
      </c>
      <c r="G6" s="5" t="s">
        <v>66</v>
      </c>
      <c r="H6" s="19">
        <f>H5/3</f>
        <v>14.994016666666667</v>
      </c>
      <c r="I6" s="19">
        <f t="shared" ref="I6:K6" si="3">I5/3</f>
        <v>12.989649999999999</v>
      </c>
      <c r="J6" s="19">
        <f t="shared" si="3"/>
        <v>13.624916666666669</v>
      </c>
      <c r="K6" s="19">
        <f t="shared" si="3"/>
        <v>13.284066666666666</v>
      </c>
      <c r="L6" s="19"/>
      <c r="M6" s="18"/>
    </row>
    <row r="7" spans="1:13" x14ac:dyDescent="0.3">
      <c r="A7">
        <v>70</v>
      </c>
      <c r="B7">
        <v>2</v>
      </c>
      <c r="C7">
        <v>13.30495</v>
      </c>
      <c r="G7" s="5" t="s">
        <v>51</v>
      </c>
      <c r="H7" s="18">
        <f>L5^2 / 12</f>
        <v>2259.902268016875</v>
      </c>
      <c r="I7" s="18"/>
      <c r="J7" s="18"/>
      <c r="K7" s="18"/>
      <c r="L7" s="18"/>
      <c r="M7" s="18"/>
    </row>
    <row r="8" spans="1:13" x14ac:dyDescent="0.3">
      <c r="A8">
        <v>70</v>
      </c>
      <c r="B8">
        <v>3</v>
      </c>
      <c r="C8">
        <v>13.88435</v>
      </c>
    </row>
    <row r="9" spans="1:13" x14ac:dyDescent="0.3">
      <c r="A9">
        <v>70</v>
      </c>
      <c r="B9">
        <v>4</v>
      </c>
      <c r="C9">
        <v>13.09225</v>
      </c>
      <c r="F9" t="s">
        <v>67</v>
      </c>
    </row>
    <row r="10" spans="1:13" x14ac:dyDescent="0.3">
      <c r="A10">
        <v>100</v>
      </c>
      <c r="B10">
        <v>1</v>
      </c>
      <c r="C10">
        <v>16.9224</v>
      </c>
      <c r="F10" s="12" t="s">
        <v>58</v>
      </c>
      <c r="G10" s="13" t="s">
        <v>59</v>
      </c>
      <c r="H10" s="13" t="s">
        <v>60</v>
      </c>
      <c r="I10" s="13" t="s">
        <v>61</v>
      </c>
      <c r="J10" s="13" t="s">
        <v>64</v>
      </c>
      <c r="K10" s="13"/>
      <c r="L10" s="13" t="s">
        <v>65</v>
      </c>
    </row>
    <row r="11" spans="1:13" x14ac:dyDescent="0.3">
      <c r="A11">
        <v>100</v>
      </c>
      <c r="B11">
        <v>2</v>
      </c>
      <c r="C11">
        <v>14.93085</v>
      </c>
      <c r="F11" s="5" t="s">
        <v>44</v>
      </c>
      <c r="G11" s="18">
        <v>2</v>
      </c>
      <c r="H11" s="18">
        <f>SUMSQ(L2:L4) / 4 - H7</f>
        <v>45.057965663749656</v>
      </c>
      <c r="I11" s="18">
        <f>H11/G11</f>
        <v>22.528982831874828</v>
      </c>
      <c r="J11" s="18">
        <f>I11/I12</f>
        <v>25.216782564117672</v>
      </c>
      <c r="K11" s="18"/>
      <c r="L11" s="17">
        <v>4.26</v>
      </c>
    </row>
    <row r="12" spans="1:13" x14ac:dyDescent="0.3">
      <c r="A12">
        <v>100</v>
      </c>
      <c r="B12">
        <v>3</v>
      </c>
      <c r="C12">
        <v>16.129000000000001</v>
      </c>
      <c r="F12" s="10" t="s">
        <v>62</v>
      </c>
      <c r="G12" s="18">
        <f>G13-G11</f>
        <v>9</v>
      </c>
      <c r="H12" s="18">
        <f>H13-H11</f>
        <v>8.0407103868751619</v>
      </c>
      <c r="I12" s="18">
        <f>H12/G12</f>
        <v>0.89341226520835137</v>
      </c>
      <c r="J12" s="18"/>
      <c r="K12" s="18"/>
      <c r="L12" s="17"/>
    </row>
    <row r="13" spans="1:13" x14ac:dyDescent="0.3">
      <c r="A13">
        <v>100</v>
      </c>
      <c r="B13">
        <v>4</v>
      </c>
      <c r="C13">
        <v>15.78145</v>
      </c>
      <c r="E13" s="9"/>
      <c r="F13" s="14" t="s">
        <v>63</v>
      </c>
      <c r="G13" s="21">
        <v>11</v>
      </c>
      <c r="H13" s="21">
        <f>SUMSQ(H2:K4) - H7</f>
        <v>53.098676050624817</v>
      </c>
      <c r="I13" s="21"/>
      <c r="J13" s="21"/>
      <c r="K13" s="21"/>
      <c r="L13" s="21"/>
    </row>
    <row r="14" spans="1:13" x14ac:dyDescent="0.3">
      <c r="B14" s="9"/>
      <c r="C14" s="9"/>
      <c r="D14" s="9"/>
      <c r="E14" s="9"/>
      <c r="G14" s="18"/>
      <c r="H14" s="18"/>
      <c r="I14" s="18"/>
      <c r="J14" s="18"/>
      <c r="K14" s="18"/>
      <c r="L14" s="17"/>
    </row>
    <row r="15" spans="1:13" x14ac:dyDescent="0.3">
      <c r="B15" s="9"/>
      <c r="C15" s="9"/>
      <c r="D15" s="9"/>
      <c r="E15" s="9"/>
      <c r="F15" t="s">
        <v>68</v>
      </c>
      <c r="G15" s="18"/>
      <c r="H15" s="18"/>
      <c r="I15" s="18"/>
      <c r="J15" s="18"/>
      <c r="K15" s="18"/>
      <c r="L15" s="17"/>
    </row>
    <row r="16" spans="1:13" x14ac:dyDescent="0.3">
      <c r="B16" s="9"/>
      <c r="C16" s="24">
        <f>_xlfn.VAR.S(C2:C13)</f>
        <v>4.8271523682386199</v>
      </c>
      <c r="D16" s="9"/>
      <c r="E16" s="9"/>
      <c r="F16" s="12" t="s">
        <v>58</v>
      </c>
      <c r="G16" s="22" t="s">
        <v>59</v>
      </c>
      <c r="H16" s="22" t="s">
        <v>60</v>
      </c>
      <c r="I16" s="22" t="s">
        <v>61</v>
      </c>
      <c r="J16" s="22" t="s">
        <v>64</v>
      </c>
      <c r="K16" s="22"/>
      <c r="L16" s="22" t="s">
        <v>65</v>
      </c>
    </row>
    <row r="17" spans="2:12" x14ac:dyDescent="0.3">
      <c r="C17">
        <f>53.1/11</f>
        <v>4.8272727272727272</v>
      </c>
      <c r="F17" s="5" t="s">
        <v>44</v>
      </c>
      <c r="G17" s="18">
        <v>2</v>
      </c>
      <c r="H17" s="18">
        <f>SUMSQ(L2:L4) / 4 - H7</f>
        <v>45.057965663749656</v>
      </c>
      <c r="I17" s="18">
        <f>H17/G17</f>
        <v>22.528982831874828</v>
      </c>
      <c r="J17" s="18">
        <f>I17/I19</f>
        <v>138.78145125230816</v>
      </c>
      <c r="K17" s="18"/>
      <c r="L17" s="17">
        <v>5.14</v>
      </c>
    </row>
    <row r="18" spans="2:12" x14ac:dyDescent="0.3">
      <c r="F18" s="16" t="s">
        <v>69</v>
      </c>
      <c r="G18" s="18">
        <v>3</v>
      </c>
      <c r="H18" s="18">
        <f>SUMSQ(H5:K5) / 3 - H7</f>
        <v>7.0667048856248584</v>
      </c>
      <c r="I18" s="18">
        <f>H18/G18</f>
        <v>2.3555682952082861</v>
      </c>
      <c r="J18" s="18">
        <f>I18/I19</f>
        <v>14.510605692788241</v>
      </c>
      <c r="K18" s="18"/>
      <c r="L18" s="17">
        <v>4.76</v>
      </c>
    </row>
    <row r="19" spans="2:12" ht="18" x14ac:dyDescent="0.3">
      <c r="B19" s="9"/>
      <c r="F19" s="10" t="s">
        <v>62</v>
      </c>
      <c r="G19" s="18">
        <f>G20-G17-G18</f>
        <v>6</v>
      </c>
      <c r="H19" s="18">
        <f>H20-H17-H18</f>
        <v>0.9740055012503035</v>
      </c>
      <c r="I19" s="23">
        <f>H19/G19</f>
        <v>0.16233425020838391</v>
      </c>
      <c r="J19" s="18"/>
      <c r="K19" s="18"/>
      <c r="L19" s="17"/>
    </row>
    <row r="20" spans="2:12" x14ac:dyDescent="0.3">
      <c r="B20" s="9"/>
      <c r="F20" s="14" t="s">
        <v>63</v>
      </c>
      <c r="G20" s="15">
        <v>11</v>
      </c>
      <c r="H20" s="21">
        <f>SUMSQ(H2:K4) - H7</f>
        <v>53.098676050624817</v>
      </c>
      <c r="I20" s="15"/>
      <c r="J20" s="15"/>
      <c r="K20" s="15"/>
      <c r="L20" s="15"/>
    </row>
    <row r="21" spans="2:12" x14ac:dyDescent="0.3">
      <c r="B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sheetPr codeName="Planilha3"/>
  <dimension ref="A1:C21"/>
  <sheetViews>
    <sheetView zoomScale="115" zoomScaleNormal="160" workbookViewId="0">
      <selection activeCell="G11" sqref="G11"/>
    </sheetView>
  </sheetViews>
  <sheetFormatPr defaultColWidth="9.109375" defaultRowHeight="14.4" x14ac:dyDescent="0.3"/>
  <cols>
    <col min="1" max="16384" width="9.109375" style="2"/>
  </cols>
  <sheetData>
    <row r="1" spans="1:3" x14ac:dyDescent="0.3">
      <c r="A1" s="2" t="s">
        <v>30</v>
      </c>
      <c r="B1" s="2" t="s">
        <v>32</v>
      </c>
      <c r="C1" s="2" t="s">
        <v>31</v>
      </c>
    </row>
    <row r="2" spans="1:3" x14ac:dyDescent="0.3">
      <c r="A2" s="2">
        <v>1</v>
      </c>
      <c r="B2" s="2" t="s">
        <v>46</v>
      </c>
      <c r="C2" s="2">
        <v>8.82</v>
      </c>
    </row>
    <row r="3" spans="1:3" x14ac:dyDescent="0.3">
      <c r="A3" s="2">
        <v>1</v>
      </c>
      <c r="B3" s="2" t="s">
        <v>47</v>
      </c>
      <c r="C3" s="2">
        <v>9.1229999999999993</v>
      </c>
    </row>
    <row r="4" spans="1:3" x14ac:dyDescent="0.3">
      <c r="A4" s="2">
        <v>1</v>
      </c>
      <c r="B4" s="2" t="s">
        <v>48</v>
      </c>
      <c r="C4" s="2">
        <v>7.74</v>
      </c>
    </row>
    <row r="5" spans="1:3" x14ac:dyDescent="0.3">
      <c r="A5" s="2">
        <v>1</v>
      </c>
      <c r="B5" s="2" t="s">
        <v>49</v>
      </c>
      <c r="C5" s="2">
        <v>6.48</v>
      </c>
    </row>
    <row r="6" spans="1:3" x14ac:dyDescent="0.3">
      <c r="A6" s="2">
        <v>1</v>
      </c>
      <c r="B6" s="2" t="s">
        <v>50</v>
      </c>
      <c r="C6" s="2">
        <v>4.0599999999999996</v>
      </c>
    </row>
    <row r="7" spans="1:3" x14ac:dyDescent="0.3">
      <c r="A7" s="2">
        <v>2</v>
      </c>
      <c r="B7" s="2" t="s">
        <v>46</v>
      </c>
      <c r="C7" s="2">
        <v>9.36</v>
      </c>
    </row>
    <row r="8" spans="1:3" x14ac:dyDescent="0.3">
      <c r="A8" s="2">
        <v>2</v>
      </c>
      <c r="B8" s="2" t="s">
        <v>47</v>
      </c>
      <c r="C8" s="2">
        <v>7.86</v>
      </c>
    </row>
    <row r="9" spans="1:3" x14ac:dyDescent="0.3">
      <c r="A9" s="2">
        <v>2</v>
      </c>
      <c r="B9" s="2" t="s">
        <v>48</v>
      </c>
      <c r="C9" s="2">
        <v>8.1229999999999993</v>
      </c>
    </row>
    <row r="10" spans="1:3" x14ac:dyDescent="0.3">
      <c r="A10" s="2">
        <v>2</v>
      </c>
      <c r="B10" s="2" t="s">
        <v>49</v>
      </c>
      <c r="C10" s="2">
        <v>6.72</v>
      </c>
    </row>
    <row r="11" spans="1:3" x14ac:dyDescent="0.3">
      <c r="A11" s="2">
        <v>2</v>
      </c>
      <c r="B11" s="2" t="s">
        <v>50</v>
      </c>
      <c r="C11" s="2">
        <v>5.18</v>
      </c>
    </row>
    <row r="12" spans="1:3" x14ac:dyDescent="0.3">
      <c r="A12" s="2">
        <v>3</v>
      </c>
      <c r="B12" s="2" t="s">
        <v>46</v>
      </c>
      <c r="C12" s="2">
        <v>7.98</v>
      </c>
    </row>
    <row r="13" spans="1:3" x14ac:dyDescent="0.3">
      <c r="A13" s="2">
        <v>3</v>
      </c>
      <c r="B13" s="2" t="s">
        <v>47</v>
      </c>
      <c r="C13" s="2">
        <v>8.82</v>
      </c>
    </row>
    <row r="14" spans="1:3" x14ac:dyDescent="0.3">
      <c r="A14" s="2">
        <v>3</v>
      </c>
      <c r="B14" s="2" t="s">
        <v>48</v>
      </c>
      <c r="C14" s="2">
        <v>7.92</v>
      </c>
    </row>
    <row r="15" spans="1:3" x14ac:dyDescent="0.3">
      <c r="A15" s="2">
        <v>3</v>
      </c>
      <c r="B15" s="2" t="s">
        <v>49</v>
      </c>
      <c r="C15" s="2">
        <v>6.12</v>
      </c>
    </row>
    <row r="16" spans="1:3" x14ac:dyDescent="0.3">
      <c r="A16" s="2">
        <v>3</v>
      </c>
      <c r="B16" s="2" t="s">
        <v>50</v>
      </c>
      <c r="C16" s="2">
        <v>5.9</v>
      </c>
    </row>
    <row r="17" spans="1:3" x14ac:dyDescent="0.3">
      <c r="A17" s="2">
        <v>4</v>
      </c>
      <c r="B17" s="2" t="s">
        <v>46</v>
      </c>
      <c r="C17" s="2">
        <v>11.76</v>
      </c>
    </row>
    <row r="18" spans="1:3" x14ac:dyDescent="0.3">
      <c r="A18" s="2">
        <v>4</v>
      </c>
      <c r="B18" s="2" t="s">
        <v>47</v>
      </c>
      <c r="C18" s="2">
        <v>12.12</v>
      </c>
    </row>
    <row r="19" spans="1:3" x14ac:dyDescent="0.3">
      <c r="A19" s="2">
        <v>4</v>
      </c>
      <c r="B19" s="2" t="s">
        <v>48</v>
      </c>
      <c r="C19" s="2">
        <v>11.22</v>
      </c>
    </row>
    <row r="20" spans="1:3" x14ac:dyDescent="0.3">
      <c r="A20" s="2">
        <v>4</v>
      </c>
      <c r="B20" s="2" t="s">
        <v>49</v>
      </c>
      <c r="C20" s="2">
        <v>9.66</v>
      </c>
    </row>
    <row r="21" spans="1:3" x14ac:dyDescent="0.3">
      <c r="A21" s="2">
        <v>4</v>
      </c>
      <c r="B21" s="2" t="s">
        <v>50</v>
      </c>
      <c r="C2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11CA-47EC-46CA-B15F-BFDF5B6C501A}">
  <dimension ref="A1:M13"/>
  <sheetViews>
    <sheetView workbookViewId="0">
      <selection activeCell="L4" sqref="L4"/>
    </sheetView>
  </sheetViews>
  <sheetFormatPr defaultRowHeight="14.4" x14ac:dyDescent="0.3"/>
  <sheetData>
    <row r="1" spans="1:13" x14ac:dyDescent="0.3">
      <c r="B1" s="41" t="s">
        <v>36</v>
      </c>
      <c r="C1" s="41" t="s">
        <v>31</v>
      </c>
      <c r="D1" s="41" t="s">
        <v>142</v>
      </c>
      <c r="E1" s="41" t="s">
        <v>143</v>
      </c>
      <c r="F1" s="41" t="s">
        <v>144</v>
      </c>
      <c r="G1" s="41" t="s">
        <v>145</v>
      </c>
      <c r="H1" s="41" t="s">
        <v>146</v>
      </c>
      <c r="I1" s="41" t="s">
        <v>147</v>
      </c>
      <c r="J1" t="s">
        <v>148</v>
      </c>
      <c r="K1">
        <f>F9-(B9*C9)/7</f>
        <v>220</v>
      </c>
      <c r="L1" t="s">
        <v>149</v>
      </c>
      <c r="M1" t="s">
        <v>150</v>
      </c>
    </row>
    <row r="2" spans="1:13" x14ac:dyDescent="0.3">
      <c r="B2" s="41">
        <v>0</v>
      </c>
      <c r="C2" s="41">
        <v>8.6</v>
      </c>
      <c r="D2" s="41">
        <f>B2^2</f>
        <v>0</v>
      </c>
      <c r="E2" s="41">
        <f>C2^2</f>
        <v>73.959999999999994</v>
      </c>
      <c r="F2" s="41">
        <f>B2*C2</f>
        <v>0</v>
      </c>
      <c r="G2" s="11">
        <f>$K$5+$K$4*B2</f>
        <v>8.7142857142857135</v>
      </c>
      <c r="H2" s="17">
        <f>C2-G2</f>
        <v>-0.11428571428571388</v>
      </c>
      <c r="I2" s="17">
        <f>H2^2</f>
        <v>1.3061224489795825E-2</v>
      </c>
      <c r="J2" t="s">
        <v>151</v>
      </c>
      <c r="K2">
        <f>D9-(B9^2)/7</f>
        <v>17500</v>
      </c>
    </row>
    <row r="3" spans="1:13" x14ac:dyDescent="0.3">
      <c r="B3" s="41">
        <v>25</v>
      </c>
      <c r="C3" s="41">
        <v>8.9</v>
      </c>
      <c r="D3" s="41">
        <f t="shared" ref="D3:E8" si="0">B3^2</f>
        <v>625</v>
      </c>
      <c r="E3" s="41">
        <f t="shared" si="0"/>
        <v>79.210000000000008</v>
      </c>
      <c r="F3" s="41">
        <f t="shared" ref="F3:F8" si="1">B3*C3</f>
        <v>222.5</v>
      </c>
      <c r="G3" s="11">
        <f t="shared" ref="G3:G8" si="2">$K$5+$K$4*B3</f>
        <v>9.0285714285714285</v>
      </c>
      <c r="H3" s="17">
        <f t="shared" ref="H3:H8" si="3">C3-G3</f>
        <v>-0.12857142857142811</v>
      </c>
      <c r="I3" s="17">
        <f t="shared" ref="I3:I8" si="4">H3^2</f>
        <v>1.6530612244897842E-2</v>
      </c>
      <c r="J3" t="s">
        <v>152</v>
      </c>
      <c r="K3">
        <f>E9-(C9^2)/7</f>
        <v>2.8971428571429669</v>
      </c>
    </row>
    <row r="4" spans="1:13" x14ac:dyDescent="0.3">
      <c r="B4" s="41">
        <v>50</v>
      </c>
      <c r="C4" s="41">
        <v>9.5</v>
      </c>
      <c r="D4" s="41">
        <f t="shared" si="0"/>
        <v>2500</v>
      </c>
      <c r="E4" s="41">
        <f t="shared" si="0"/>
        <v>90.25</v>
      </c>
      <c r="F4" s="41">
        <f t="shared" si="1"/>
        <v>475</v>
      </c>
      <c r="G4" s="11">
        <f t="shared" si="2"/>
        <v>9.3428571428571416</v>
      </c>
      <c r="H4" s="17">
        <f t="shared" si="3"/>
        <v>0.15714285714285836</v>
      </c>
      <c r="I4" s="17">
        <f t="shared" si="4"/>
        <v>2.4693877551020791E-2</v>
      </c>
      <c r="J4" t="s">
        <v>153</v>
      </c>
      <c r="K4">
        <f>K1/K2</f>
        <v>1.2571428571428572E-2</v>
      </c>
    </row>
    <row r="5" spans="1:13" x14ac:dyDescent="0.3">
      <c r="B5" s="41">
        <v>75</v>
      </c>
      <c r="C5" s="41">
        <v>9.9</v>
      </c>
      <c r="D5" s="41">
        <f t="shared" si="0"/>
        <v>5625</v>
      </c>
      <c r="E5" s="41">
        <f t="shared" si="0"/>
        <v>98.01</v>
      </c>
      <c r="F5" s="41">
        <f t="shared" si="1"/>
        <v>742.5</v>
      </c>
      <c r="G5" s="11">
        <f t="shared" si="2"/>
        <v>9.6571428571428566</v>
      </c>
      <c r="H5" s="17">
        <f t="shared" si="3"/>
        <v>0.24285714285714377</v>
      </c>
      <c r="I5" s="17">
        <f t="shared" si="4"/>
        <v>5.8979591836735137E-2</v>
      </c>
      <c r="J5" t="s">
        <v>154</v>
      </c>
      <c r="K5">
        <f>C10-K4*B10</f>
        <v>8.7142857142857135</v>
      </c>
    </row>
    <row r="6" spans="1:13" x14ac:dyDescent="0.3">
      <c r="B6" s="41">
        <v>100</v>
      </c>
      <c r="C6" s="41">
        <v>10</v>
      </c>
      <c r="D6" s="41">
        <f t="shared" si="0"/>
        <v>10000</v>
      </c>
      <c r="E6" s="41">
        <f t="shared" si="0"/>
        <v>100</v>
      </c>
      <c r="F6" s="41">
        <f t="shared" si="1"/>
        <v>1000</v>
      </c>
      <c r="G6" s="11">
        <f t="shared" si="2"/>
        <v>9.9714285714285715</v>
      </c>
      <c r="H6" s="17">
        <f t="shared" si="3"/>
        <v>2.857142857142847E-2</v>
      </c>
      <c r="I6" s="17">
        <f t="shared" si="4"/>
        <v>8.1632653061223907E-4</v>
      </c>
      <c r="J6" t="s">
        <v>155</v>
      </c>
      <c r="K6">
        <f>E9-C9^2/7</f>
        <v>2.8971428571429669</v>
      </c>
    </row>
    <row r="7" spans="1:13" x14ac:dyDescent="0.3">
      <c r="B7" s="41">
        <v>125</v>
      </c>
      <c r="C7" s="41">
        <v>10.199999999999999</v>
      </c>
      <c r="D7" s="41">
        <f t="shared" si="0"/>
        <v>15625</v>
      </c>
      <c r="E7" s="41">
        <f t="shared" si="0"/>
        <v>104.03999999999999</v>
      </c>
      <c r="F7" s="41">
        <f t="shared" si="1"/>
        <v>1275</v>
      </c>
      <c r="G7" s="11">
        <f t="shared" si="2"/>
        <v>10.285714285714285</v>
      </c>
      <c r="H7" s="17">
        <f t="shared" si="3"/>
        <v>-8.571428571428541E-2</v>
      </c>
      <c r="I7" s="17">
        <f t="shared" si="4"/>
        <v>7.3469387755101517E-3</v>
      </c>
      <c r="J7" t="s">
        <v>156</v>
      </c>
      <c r="K7">
        <f>K1^2/K2</f>
        <v>2.7657142857142856</v>
      </c>
    </row>
    <row r="8" spans="1:13" x14ac:dyDescent="0.3">
      <c r="B8" s="41">
        <v>150</v>
      </c>
      <c r="C8" s="41">
        <v>10.5</v>
      </c>
      <c r="D8" s="41">
        <f t="shared" si="0"/>
        <v>22500</v>
      </c>
      <c r="E8" s="41">
        <f t="shared" si="0"/>
        <v>110.25</v>
      </c>
      <c r="F8" s="41">
        <f t="shared" si="1"/>
        <v>1575</v>
      </c>
      <c r="G8" s="11">
        <f t="shared" si="2"/>
        <v>10.6</v>
      </c>
      <c r="H8" s="17">
        <f t="shared" si="3"/>
        <v>-9.9999999999999645E-2</v>
      </c>
      <c r="I8" s="17">
        <f t="shared" si="4"/>
        <v>9.9999999999999291E-3</v>
      </c>
      <c r="J8" t="s">
        <v>157</v>
      </c>
      <c r="K8">
        <f>K6-K7</f>
        <v>0.13142857142868136</v>
      </c>
    </row>
    <row r="9" spans="1:13" x14ac:dyDescent="0.3">
      <c r="A9" t="s">
        <v>158</v>
      </c>
      <c r="B9" s="41">
        <f>SUM(B2:B8)</f>
        <v>525</v>
      </c>
      <c r="C9" s="41">
        <f t="shared" ref="C9:F9" si="5">SUM(C2:C8)</f>
        <v>67.599999999999994</v>
      </c>
      <c r="D9" s="41">
        <f t="shared" si="5"/>
        <v>56875</v>
      </c>
      <c r="E9" s="41">
        <f t="shared" si="5"/>
        <v>655.72</v>
      </c>
      <c r="F9" s="41">
        <f t="shared" si="5"/>
        <v>5290</v>
      </c>
      <c r="G9" s="41"/>
      <c r="H9">
        <v>0</v>
      </c>
      <c r="I9" s="24">
        <f>SUM(I2:I8)</f>
        <v>0.13142857142857192</v>
      </c>
      <c r="J9" t="s">
        <v>159</v>
      </c>
      <c r="K9">
        <f>K7/K6</f>
        <v>0.95463510848122612</v>
      </c>
    </row>
    <row r="10" spans="1:13" x14ac:dyDescent="0.3">
      <c r="A10" t="s">
        <v>160</v>
      </c>
      <c r="B10" s="41">
        <f>AVERAGE(B2:B8)</f>
        <v>75</v>
      </c>
      <c r="C10" s="11">
        <f>AVERAGE(C2:C8)</f>
        <v>9.6571428571428566</v>
      </c>
      <c r="D10" s="41"/>
      <c r="E10" s="41"/>
      <c r="F10" s="41"/>
      <c r="G10" s="41"/>
      <c r="I10" s="17"/>
      <c r="J10" t="s">
        <v>161</v>
      </c>
      <c r="K10">
        <f>(K3-K4*K1)/5</f>
        <v>2.6285714285736183E-2</v>
      </c>
    </row>
    <row r="11" spans="1:13" x14ac:dyDescent="0.3">
      <c r="B11" s="41"/>
      <c r="C11" s="41"/>
      <c r="D11" s="41"/>
      <c r="E11" s="41"/>
      <c r="F11" s="41"/>
      <c r="G11" s="41"/>
      <c r="I11" s="17"/>
      <c r="J11" t="s">
        <v>162</v>
      </c>
      <c r="K11">
        <f>SQRT(K10/K2)</f>
        <v>1.2255777479734944E-3</v>
      </c>
      <c r="L11">
        <f>K4/K11</f>
        <v>10.257552890639179</v>
      </c>
      <c r="M11">
        <f>_xlfn.T.DIST.2T(L11,5)</f>
        <v>1.5130299893824671E-4</v>
      </c>
    </row>
    <row r="12" spans="1:13" x14ac:dyDescent="0.3">
      <c r="B12" s="41"/>
      <c r="C12" s="41"/>
      <c r="D12" s="41"/>
      <c r="E12" s="41"/>
      <c r="F12" s="41"/>
      <c r="G12" s="41"/>
      <c r="I12" s="17"/>
      <c r="J12" t="s">
        <v>163</v>
      </c>
      <c r="K12">
        <f>SQRT((1/7+B10^2/K2)*K10)</f>
        <v>0.1104720853096529</v>
      </c>
      <c r="L12">
        <f>K5/K12</f>
        <v>78.882241517027566</v>
      </c>
      <c r="M12">
        <f>_xlfn.T.DIST.2T(L12,5)</f>
        <v>6.2038334663885402E-9</v>
      </c>
    </row>
    <row r="13" spans="1:13" x14ac:dyDescent="0.3">
      <c r="B13" s="41"/>
      <c r="C13" s="41"/>
      <c r="D13" s="41"/>
      <c r="E13" s="41"/>
      <c r="F13" s="41"/>
      <c r="G13" s="41"/>
      <c r="I13" s="17"/>
      <c r="J13" t="s">
        <v>164</v>
      </c>
      <c r="K13">
        <f>K1/SQRT(K2*K3)</f>
        <v>0.977054301705502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sheetPr codeName="Planilha4"/>
  <dimension ref="A1:J21"/>
  <sheetViews>
    <sheetView zoomScale="145" zoomScaleNormal="145" workbookViewId="0">
      <selection activeCell="E14" sqref="E14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A1" s="2" t="s">
        <v>36</v>
      </c>
      <c r="B1" s="2" t="s">
        <v>30</v>
      </c>
      <c r="C1" s="2" t="s">
        <v>31</v>
      </c>
    </row>
    <row r="2" spans="1:10" x14ac:dyDescent="0.3">
      <c r="A2" s="2">
        <v>0</v>
      </c>
      <c r="B2" s="2">
        <v>1</v>
      </c>
      <c r="C2" s="2">
        <v>8.1999999999999993</v>
      </c>
    </row>
    <row r="3" spans="1:10" x14ac:dyDescent="0.3">
      <c r="A3" s="2">
        <v>0</v>
      </c>
      <c r="B3" s="2">
        <v>2</v>
      </c>
      <c r="C3" s="2">
        <v>8.5</v>
      </c>
      <c r="J3" s="3"/>
    </row>
    <row r="4" spans="1:10" x14ac:dyDescent="0.3">
      <c r="A4" s="2">
        <v>0</v>
      </c>
      <c r="B4" s="2">
        <v>3</v>
      </c>
      <c r="C4" s="2">
        <v>8.8000000000000007</v>
      </c>
      <c r="J4" s="3"/>
    </row>
    <row r="5" spans="1:10" x14ac:dyDescent="0.3">
      <c r="A5" s="2">
        <v>0</v>
      </c>
      <c r="B5" s="2">
        <v>4</v>
      </c>
      <c r="C5" s="2">
        <v>8.7639999999999993</v>
      </c>
      <c r="J5" s="3"/>
    </row>
    <row r="6" spans="1:10" x14ac:dyDescent="0.3">
      <c r="A6" s="2">
        <v>25</v>
      </c>
      <c r="B6" s="2">
        <v>1</v>
      </c>
      <c r="C6" s="2">
        <v>8.9440000000000008</v>
      </c>
      <c r="J6" s="3"/>
    </row>
    <row r="7" spans="1:10" x14ac:dyDescent="0.3">
      <c r="A7" s="2">
        <v>25</v>
      </c>
      <c r="B7" s="2">
        <v>2</v>
      </c>
      <c r="C7" s="2">
        <v>8.8420000000000005</v>
      </c>
    </row>
    <row r="8" spans="1:10" x14ac:dyDescent="0.3">
      <c r="A8" s="2">
        <v>25</v>
      </c>
      <c r="B8" s="2">
        <v>3</v>
      </c>
      <c r="C8" s="2">
        <v>8.86</v>
      </c>
    </row>
    <row r="9" spans="1:10" x14ac:dyDescent="0.3">
      <c r="A9" s="2">
        <v>25</v>
      </c>
      <c r="B9" s="2">
        <v>4</v>
      </c>
      <c r="C9" s="2">
        <v>8.8360000000000003</v>
      </c>
    </row>
    <row r="10" spans="1:10" x14ac:dyDescent="0.3">
      <c r="A10" s="2">
        <v>50</v>
      </c>
      <c r="B10" s="2">
        <v>1</v>
      </c>
      <c r="C10" s="2">
        <v>9.52</v>
      </c>
    </row>
    <row r="11" spans="1:10" x14ac:dyDescent="0.3">
      <c r="A11" s="2">
        <v>50</v>
      </c>
      <c r="B11" s="2">
        <v>2</v>
      </c>
      <c r="C11" s="2">
        <v>9.64</v>
      </c>
    </row>
    <row r="12" spans="1:10" x14ac:dyDescent="0.3">
      <c r="A12" s="2">
        <v>50</v>
      </c>
      <c r="B12" s="2">
        <v>3</v>
      </c>
      <c r="C12" s="2">
        <v>9.5559999999999992</v>
      </c>
    </row>
    <row r="13" spans="1:10" x14ac:dyDescent="0.3">
      <c r="A13" s="2">
        <v>50</v>
      </c>
      <c r="B13" s="2">
        <v>4</v>
      </c>
      <c r="C13" s="2">
        <v>9.843</v>
      </c>
    </row>
    <row r="14" spans="1:10" x14ac:dyDescent="0.3">
      <c r="A14" s="2">
        <v>75</v>
      </c>
      <c r="B14" s="2">
        <v>1</v>
      </c>
      <c r="C14" s="2">
        <v>10.006</v>
      </c>
    </row>
    <row r="15" spans="1:10" x14ac:dyDescent="0.3">
      <c r="A15" s="2">
        <v>75</v>
      </c>
      <c r="B15" s="2">
        <v>2</v>
      </c>
      <c r="C15" s="2">
        <v>10.618</v>
      </c>
    </row>
    <row r="16" spans="1:10" x14ac:dyDescent="0.3">
      <c r="A16" s="2">
        <v>75</v>
      </c>
      <c r="B16" s="2">
        <v>3</v>
      </c>
      <c r="C16" s="2">
        <v>10.24</v>
      </c>
    </row>
    <row r="17" spans="1:3" x14ac:dyDescent="0.3">
      <c r="A17" s="2">
        <v>75</v>
      </c>
      <c r="B17" s="2">
        <v>4</v>
      </c>
      <c r="C17" s="2">
        <v>10.119999999999999</v>
      </c>
    </row>
    <row r="18" spans="1:3" x14ac:dyDescent="0.3">
      <c r="A18" s="2">
        <v>100</v>
      </c>
      <c r="B18" s="2">
        <v>1</v>
      </c>
      <c r="C18" s="2">
        <v>10.792</v>
      </c>
    </row>
    <row r="19" spans="1:3" x14ac:dyDescent="0.3">
      <c r="A19" s="2">
        <v>100</v>
      </c>
      <c r="B19" s="2">
        <v>2</v>
      </c>
      <c r="C19" s="2">
        <v>10.912000000000001</v>
      </c>
    </row>
    <row r="20" spans="1:3" x14ac:dyDescent="0.3">
      <c r="A20" s="2">
        <v>100</v>
      </c>
      <c r="B20" s="2">
        <v>3</v>
      </c>
      <c r="C20" s="2">
        <v>11.02</v>
      </c>
    </row>
    <row r="21" spans="1:3" x14ac:dyDescent="0.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sheetPr codeName="Planilha5"/>
  <dimension ref="A1:I21"/>
  <sheetViews>
    <sheetView zoomScale="145" zoomScaleNormal="145" workbookViewId="0">
      <selection activeCell="C2" activeCellId="1" sqref="A2:A21 C2:C21"/>
    </sheetView>
  </sheetViews>
  <sheetFormatPr defaultColWidth="9.109375" defaultRowHeight="14.4" x14ac:dyDescent="0.3"/>
  <cols>
    <col min="1" max="16384" width="9.109375" style="2"/>
  </cols>
  <sheetData>
    <row r="1" spans="1:9" x14ac:dyDescent="0.3">
      <c r="A1" t="s">
        <v>36</v>
      </c>
      <c r="B1" t="s">
        <v>30</v>
      </c>
      <c r="C1" t="s">
        <v>31</v>
      </c>
    </row>
    <row r="2" spans="1:9" x14ac:dyDescent="0.3">
      <c r="A2">
        <v>0</v>
      </c>
      <c r="B2">
        <v>1</v>
      </c>
      <c r="C2">
        <v>6.98</v>
      </c>
    </row>
    <row r="3" spans="1:9" x14ac:dyDescent="0.3">
      <c r="A3">
        <v>0</v>
      </c>
      <c r="B3">
        <v>2</v>
      </c>
      <c r="C3">
        <v>7</v>
      </c>
      <c r="I3" s="3"/>
    </row>
    <row r="4" spans="1:9" x14ac:dyDescent="0.3">
      <c r="A4">
        <v>0</v>
      </c>
      <c r="B4">
        <v>3</v>
      </c>
      <c r="C4">
        <v>6.93</v>
      </c>
      <c r="I4" s="3"/>
    </row>
    <row r="5" spans="1:9" x14ac:dyDescent="0.3">
      <c r="A5">
        <v>0</v>
      </c>
      <c r="B5">
        <v>4</v>
      </c>
      <c r="C5">
        <v>6.76</v>
      </c>
      <c r="I5" s="3"/>
    </row>
    <row r="6" spans="1:9" x14ac:dyDescent="0.3">
      <c r="A6">
        <v>50</v>
      </c>
      <c r="B6">
        <v>1</v>
      </c>
      <c r="C6">
        <v>7.54</v>
      </c>
      <c r="I6" s="3"/>
    </row>
    <row r="7" spans="1:9" x14ac:dyDescent="0.3">
      <c r="A7">
        <v>50</v>
      </c>
      <c r="B7">
        <v>2</v>
      </c>
      <c r="C7">
        <v>7.55</v>
      </c>
    </row>
    <row r="8" spans="1:9" x14ac:dyDescent="0.3">
      <c r="A8">
        <v>50</v>
      </c>
      <c r="B8">
        <v>3</v>
      </c>
      <c r="C8">
        <v>7.93</v>
      </c>
    </row>
    <row r="9" spans="1:9" x14ac:dyDescent="0.3">
      <c r="A9">
        <v>50</v>
      </c>
      <c r="B9">
        <v>4</v>
      </c>
      <c r="C9">
        <v>7.2</v>
      </c>
    </row>
    <row r="10" spans="1:9" x14ac:dyDescent="0.3">
      <c r="A10">
        <v>100</v>
      </c>
      <c r="B10">
        <v>1</v>
      </c>
      <c r="C10">
        <v>7.7619999999999996</v>
      </c>
    </row>
    <row r="11" spans="1:9" x14ac:dyDescent="0.3">
      <c r="A11">
        <v>100</v>
      </c>
      <c r="B11">
        <v>2</v>
      </c>
      <c r="C11">
        <v>8.02</v>
      </c>
    </row>
    <row r="12" spans="1:9" x14ac:dyDescent="0.3">
      <c r="A12">
        <v>100</v>
      </c>
      <c r="B12">
        <v>3</v>
      </c>
      <c r="C12">
        <v>8.16</v>
      </c>
    </row>
    <row r="13" spans="1:9" x14ac:dyDescent="0.3">
      <c r="A13">
        <v>100</v>
      </c>
      <c r="B13">
        <v>4</v>
      </c>
      <c r="C13">
        <v>8.2629999999999999</v>
      </c>
    </row>
    <row r="14" spans="1:9" x14ac:dyDescent="0.3">
      <c r="A14">
        <v>150</v>
      </c>
      <c r="B14">
        <v>1</v>
      </c>
      <c r="C14">
        <v>7.76</v>
      </c>
    </row>
    <row r="15" spans="1:9" x14ac:dyDescent="0.3">
      <c r="A15">
        <v>150</v>
      </c>
      <c r="B15">
        <v>2</v>
      </c>
      <c r="C15">
        <v>7.69</v>
      </c>
    </row>
    <row r="16" spans="1:9" x14ac:dyDescent="0.3">
      <c r="A16">
        <v>150</v>
      </c>
      <c r="B16">
        <v>3</v>
      </c>
      <c r="C16">
        <v>7.9</v>
      </c>
    </row>
    <row r="17" spans="1:3" x14ac:dyDescent="0.3">
      <c r="A17">
        <v>150</v>
      </c>
      <c r="B17">
        <v>4</v>
      </c>
      <c r="C17">
        <v>7.89</v>
      </c>
    </row>
    <row r="18" spans="1:3" x14ac:dyDescent="0.3">
      <c r="A18">
        <v>200</v>
      </c>
      <c r="B18">
        <v>1</v>
      </c>
      <c r="C18">
        <v>7.49</v>
      </c>
    </row>
    <row r="19" spans="1:3" x14ac:dyDescent="0.3">
      <c r="A19">
        <v>200</v>
      </c>
      <c r="B19">
        <v>2</v>
      </c>
      <c r="C19">
        <v>7.53</v>
      </c>
    </row>
    <row r="20" spans="1:3" x14ac:dyDescent="0.3">
      <c r="A20">
        <v>200</v>
      </c>
      <c r="B20">
        <v>3</v>
      </c>
      <c r="C20">
        <v>7.44</v>
      </c>
    </row>
    <row r="21" spans="1:3" x14ac:dyDescent="0.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sheetPr codeName="Planilha6"/>
  <dimension ref="A1:D37"/>
  <sheetViews>
    <sheetView workbookViewId="0">
      <selection activeCell="F14" sqref="F14"/>
    </sheetView>
  </sheetViews>
  <sheetFormatPr defaultRowHeight="14.4" x14ac:dyDescent="0.3"/>
  <cols>
    <col min="2" max="2" width="9.33203125" bestFit="1" customWidth="1"/>
  </cols>
  <sheetData>
    <row r="1" spans="1:4" x14ac:dyDescent="0.3">
      <c r="A1" t="s">
        <v>30</v>
      </c>
      <c r="B1" t="s">
        <v>37</v>
      </c>
      <c r="C1" t="s">
        <v>32</v>
      </c>
      <c r="D1" t="s">
        <v>31</v>
      </c>
    </row>
    <row r="2" spans="1:4" x14ac:dyDescent="0.3">
      <c r="A2">
        <v>1</v>
      </c>
      <c r="B2" t="s">
        <v>40</v>
      </c>
      <c r="C2" t="s">
        <v>33</v>
      </c>
      <c r="D2">
        <v>11.406000000000001</v>
      </c>
    </row>
    <row r="3" spans="1:4" x14ac:dyDescent="0.3">
      <c r="A3">
        <v>1</v>
      </c>
      <c r="B3" t="s">
        <v>40</v>
      </c>
      <c r="C3" t="s">
        <v>34</v>
      </c>
      <c r="D3">
        <v>15.43</v>
      </c>
    </row>
    <row r="4" spans="1:4" x14ac:dyDescent="0.3">
      <c r="A4">
        <v>1</v>
      </c>
      <c r="B4" t="s">
        <v>40</v>
      </c>
      <c r="C4" t="s">
        <v>35</v>
      </c>
      <c r="D4">
        <v>13.98</v>
      </c>
    </row>
    <row r="5" spans="1:4" x14ac:dyDescent="0.3">
      <c r="A5">
        <v>1</v>
      </c>
      <c r="B5" t="s">
        <v>39</v>
      </c>
      <c r="C5" t="s">
        <v>33</v>
      </c>
      <c r="D5">
        <v>8.1999999999999993</v>
      </c>
    </row>
    <row r="6" spans="1:4" x14ac:dyDescent="0.3">
      <c r="A6">
        <v>1</v>
      </c>
      <c r="B6" t="s">
        <v>39</v>
      </c>
      <c r="C6" t="s">
        <v>34</v>
      </c>
      <c r="D6">
        <v>11.34</v>
      </c>
    </row>
    <row r="7" spans="1:4" x14ac:dyDescent="0.3">
      <c r="A7">
        <v>1</v>
      </c>
      <c r="B7" t="s">
        <v>39</v>
      </c>
      <c r="C7" t="s">
        <v>35</v>
      </c>
      <c r="D7">
        <v>9.23</v>
      </c>
    </row>
    <row r="8" spans="1:4" x14ac:dyDescent="0.3">
      <c r="A8">
        <v>1</v>
      </c>
      <c r="B8" t="s">
        <v>38</v>
      </c>
      <c r="C8" t="s">
        <v>33</v>
      </c>
      <c r="D8">
        <v>8.1240000000000006</v>
      </c>
    </row>
    <row r="9" spans="1:4" x14ac:dyDescent="0.3">
      <c r="A9">
        <v>1</v>
      </c>
      <c r="B9" t="s">
        <v>38</v>
      </c>
      <c r="C9" t="s">
        <v>34</v>
      </c>
      <c r="D9">
        <v>13.5</v>
      </c>
    </row>
    <row r="10" spans="1:4" x14ac:dyDescent="0.3">
      <c r="A10">
        <v>1</v>
      </c>
      <c r="B10" t="s">
        <v>38</v>
      </c>
      <c r="C10" t="s">
        <v>35</v>
      </c>
      <c r="D10">
        <v>9.748800000000001</v>
      </c>
    </row>
    <row r="11" spans="1:4" x14ac:dyDescent="0.3">
      <c r="A11">
        <v>2</v>
      </c>
      <c r="B11" t="s">
        <v>40</v>
      </c>
      <c r="C11" t="s">
        <v>33</v>
      </c>
      <c r="D11">
        <v>10.518000000000001</v>
      </c>
    </row>
    <row r="12" spans="1:4" x14ac:dyDescent="0.3">
      <c r="A12">
        <v>2</v>
      </c>
      <c r="B12" t="s">
        <v>40</v>
      </c>
      <c r="C12" t="s">
        <v>34</v>
      </c>
      <c r="D12">
        <v>14.12</v>
      </c>
    </row>
    <row r="13" spans="1:4" x14ac:dyDescent="0.3">
      <c r="A13">
        <v>2</v>
      </c>
      <c r="B13" t="s">
        <v>40</v>
      </c>
      <c r="C13" t="s">
        <v>35</v>
      </c>
      <c r="D13">
        <v>12.83</v>
      </c>
    </row>
    <row r="14" spans="1:4" x14ac:dyDescent="0.3">
      <c r="A14">
        <v>2</v>
      </c>
      <c r="B14" t="s">
        <v>39</v>
      </c>
      <c r="C14" t="s">
        <v>33</v>
      </c>
      <c r="D14">
        <v>8.1269999999999989</v>
      </c>
    </row>
    <row r="15" spans="1:4" x14ac:dyDescent="0.3">
      <c r="A15">
        <v>2</v>
      </c>
      <c r="B15" t="s">
        <v>39</v>
      </c>
      <c r="C15" t="s">
        <v>34</v>
      </c>
      <c r="D15">
        <v>12.2</v>
      </c>
    </row>
    <row r="16" spans="1:4" x14ac:dyDescent="0.3">
      <c r="A16">
        <v>2</v>
      </c>
      <c r="B16" t="s">
        <v>39</v>
      </c>
      <c r="C16" t="s">
        <v>35</v>
      </c>
      <c r="D16">
        <v>9.7523999999999997</v>
      </c>
    </row>
    <row r="17" spans="1:4" x14ac:dyDescent="0.3">
      <c r="A17">
        <v>2</v>
      </c>
      <c r="B17" t="s">
        <v>38</v>
      </c>
      <c r="C17" t="s">
        <v>33</v>
      </c>
      <c r="D17">
        <v>9.0269999999999992</v>
      </c>
    </row>
    <row r="18" spans="1:4" x14ac:dyDescent="0.3">
      <c r="A18">
        <v>2</v>
      </c>
      <c r="B18" t="s">
        <v>38</v>
      </c>
      <c r="C18" t="s">
        <v>34</v>
      </c>
      <c r="D18">
        <v>12.69</v>
      </c>
    </row>
    <row r="19" spans="1:4" x14ac:dyDescent="0.3">
      <c r="A19">
        <v>2</v>
      </c>
      <c r="B19" t="s">
        <v>38</v>
      </c>
      <c r="C19" t="s">
        <v>35</v>
      </c>
      <c r="D19">
        <v>10.8324</v>
      </c>
    </row>
    <row r="20" spans="1:4" x14ac:dyDescent="0.3">
      <c r="A20">
        <v>3</v>
      </c>
      <c r="B20" t="s">
        <v>40</v>
      </c>
      <c r="C20" t="s">
        <v>33</v>
      </c>
      <c r="D20">
        <v>12.009600000000001</v>
      </c>
    </row>
    <row r="21" spans="1:4" x14ac:dyDescent="0.3">
      <c r="A21">
        <v>3</v>
      </c>
      <c r="B21" t="s">
        <v>40</v>
      </c>
      <c r="C21" t="s">
        <v>34</v>
      </c>
      <c r="D21">
        <v>15.76</v>
      </c>
    </row>
    <row r="22" spans="1:4" x14ac:dyDescent="0.3">
      <c r="A22">
        <v>3</v>
      </c>
      <c r="B22" t="s">
        <v>40</v>
      </c>
      <c r="C22" t="s">
        <v>35</v>
      </c>
      <c r="D22">
        <v>12.45</v>
      </c>
    </row>
    <row r="23" spans="1:4" x14ac:dyDescent="0.3">
      <c r="A23">
        <v>3</v>
      </c>
      <c r="B23" t="s">
        <v>39</v>
      </c>
      <c r="C23" t="s">
        <v>33</v>
      </c>
      <c r="D23">
        <v>7.9</v>
      </c>
    </row>
    <row r="24" spans="1:4" x14ac:dyDescent="0.3">
      <c r="A24">
        <v>3</v>
      </c>
      <c r="B24" t="s">
        <v>39</v>
      </c>
      <c r="C24" t="s">
        <v>34</v>
      </c>
      <c r="D24">
        <v>11.56</v>
      </c>
    </row>
    <row r="25" spans="1:4" x14ac:dyDescent="0.3">
      <c r="A25">
        <v>3</v>
      </c>
      <c r="B25" t="s">
        <v>39</v>
      </c>
      <c r="C25" t="s">
        <v>35</v>
      </c>
      <c r="D25">
        <v>9.92</v>
      </c>
    </row>
    <row r="26" spans="1:4" x14ac:dyDescent="0.3">
      <c r="A26">
        <v>3</v>
      </c>
      <c r="B26" t="s">
        <v>38</v>
      </c>
      <c r="C26" t="s">
        <v>33</v>
      </c>
      <c r="D26">
        <v>8.7149999999999999</v>
      </c>
    </row>
    <row r="27" spans="1:4" x14ac:dyDescent="0.3">
      <c r="A27">
        <v>3</v>
      </c>
      <c r="B27" t="s">
        <v>38</v>
      </c>
      <c r="C27" t="s">
        <v>34</v>
      </c>
      <c r="D27">
        <v>12</v>
      </c>
    </row>
    <row r="28" spans="1:4" x14ac:dyDescent="0.3">
      <c r="A28">
        <v>3</v>
      </c>
      <c r="B28" t="s">
        <v>38</v>
      </c>
      <c r="C28" t="s">
        <v>35</v>
      </c>
      <c r="D28">
        <v>10.458</v>
      </c>
    </row>
    <row r="29" spans="1:4" x14ac:dyDescent="0.3">
      <c r="A29">
        <v>4</v>
      </c>
      <c r="B29" t="s">
        <v>40</v>
      </c>
      <c r="C29" t="s">
        <v>33</v>
      </c>
      <c r="D29">
        <v>11.1129</v>
      </c>
    </row>
    <row r="30" spans="1:4" x14ac:dyDescent="0.3">
      <c r="A30">
        <v>4</v>
      </c>
      <c r="B30" t="s">
        <v>40</v>
      </c>
      <c r="C30" t="s">
        <v>34</v>
      </c>
      <c r="D30">
        <v>15.94</v>
      </c>
    </row>
    <row r="31" spans="1:4" x14ac:dyDescent="0.3">
      <c r="A31">
        <v>4</v>
      </c>
      <c r="B31" t="s">
        <v>40</v>
      </c>
      <c r="C31" t="s">
        <v>35</v>
      </c>
      <c r="D31">
        <v>14.44</v>
      </c>
    </row>
    <row r="32" spans="1:4" x14ac:dyDescent="0.3">
      <c r="A32">
        <v>4</v>
      </c>
      <c r="B32" t="s">
        <v>39</v>
      </c>
      <c r="C32" t="s">
        <v>33</v>
      </c>
      <c r="D32">
        <v>8.8000000000000007</v>
      </c>
    </row>
    <row r="33" spans="1:4" x14ac:dyDescent="0.3">
      <c r="A33">
        <v>4</v>
      </c>
      <c r="B33" t="s">
        <v>39</v>
      </c>
      <c r="C33" t="s">
        <v>34</v>
      </c>
      <c r="D33">
        <v>12.87</v>
      </c>
    </row>
    <row r="34" spans="1:4" x14ac:dyDescent="0.3">
      <c r="A34">
        <v>4</v>
      </c>
      <c r="B34" t="s">
        <v>39</v>
      </c>
      <c r="C34" t="s">
        <v>35</v>
      </c>
      <c r="D34">
        <v>8.675279999999999</v>
      </c>
    </row>
    <row r="35" spans="1:4" x14ac:dyDescent="0.3">
      <c r="A35">
        <v>4</v>
      </c>
      <c r="B35" t="s">
        <v>38</v>
      </c>
      <c r="C35" t="s">
        <v>33</v>
      </c>
      <c r="D35">
        <v>7.8030000000000008</v>
      </c>
    </row>
    <row r="36" spans="1:4" x14ac:dyDescent="0.3">
      <c r="A36">
        <v>4</v>
      </c>
      <c r="B36" t="s">
        <v>38</v>
      </c>
      <c r="C36" t="s">
        <v>34</v>
      </c>
      <c r="D36">
        <v>12.6</v>
      </c>
    </row>
    <row r="37" spans="1:4" x14ac:dyDescent="0.3">
      <c r="A37">
        <v>4</v>
      </c>
      <c r="B37" t="s">
        <v>38</v>
      </c>
      <c r="C37" t="s">
        <v>35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sheetPr codeName="Planilha7"/>
  <dimension ref="A1:I37"/>
  <sheetViews>
    <sheetView topLeftCell="A11" zoomScale="145" zoomScaleNormal="145" workbookViewId="0">
      <selection activeCell="D10" sqref="D10:D13"/>
    </sheetView>
  </sheetViews>
  <sheetFormatPr defaultRowHeight="14.4" x14ac:dyDescent="0.3"/>
  <cols>
    <col min="1" max="1" width="4.33203125" bestFit="1" customWidth="1"/>
    <col min="2" max="2" width="4.88671875" bestFit="1" customWidth="1"/>
    <col min="3" max="3" width="4.109375" bestFit="1" customWidth="1"/>
    <col min="4" max="4" width="5.6640625" bestFit="1" customWidth="1"/>
    <col min="5" max="5" width="7.77734375" bestFit="1" customWidth="1"/>
  </cols>
  <sheetData>
    <row r="1" spans="1:9" x14ac:dyDescent="0.3">
      <c r="A1" t="s">
        <v>70</v>
      </c>
      <c r="B1" t="s">
        <v>71</v>
      </c>
      <c r="C1" t="s">
        <v>2</v>
      </c>
      <c r="D1" t="s">
        <v>73</v>
      </c>
      <c r="E1" t="s">
        <v>72</v>
      </c>
    </row>
    <row r="2" spans="1:9" x14ac:dyDescent="0.3">
      <c r="A2">
        <v>21</v>
      </c>
      <c r="B2">
        <v>50</v>
      </c>
      <c r="C2">
        <v>1</v>
      </c>
      <c r="D2" s="4">
        <v>4.3054500000000004</v>
      </c>
      <c r="E2" s="4">
        <v>846.98384999999996</v>
      </c>
      <c r="F2" s="4"/>
      <c r="G2" s="4"/>
      <c r="H2" s="4"/>
      <c r="I2" s="4"/>
    </row>
    <row r="3" spans="1:9" x14ac:dyDescent="0.3">
      <c r="A3">
        <v>21</v>
      </c>
      <c r="B3">
        <v>50</v>
      </c>
      <c r="C3">
        <v>2</v>
      </c>
      <c r="D3" s="4">
        <v>5.24885</v>
      </c>
      <c r="E3" s="4">
        <v>1607.2771</v>
      </c>
    </row>
    <row r="4" spans="1:9" x14ac:dyDescent="0.3">
      <c r="A4">
        <v>21</v>
      </c>
      <c r="B4">
        <v>50</v>
      </c>
      <c r="C4">
        <v>3</v>
      </c>
      <c r="D4" s="4">
        <v>4.4986499999999996</v>
      </c>
      <c r="E4" s="4">
        <v>1320.0308500000001</v>
      </c>
    </row>
    <row r="5" spans="1:9" x14ac:dyDescent="0.3">
      <c r="A5">
        <v>21</v>
      </c>
      <c r="B5">
        <v>50</v>
      </c>
      <c r="C5">
        <v>4</v>
      </c>
      <c r="D5" s="4">
        <v>4.6109499999999999</v>
      </c>
      <c r="E5" s="4">
        <v>1566.6075499999999</v>
      </c>
    </row>
    <row r="6" spans="1:9" x14ac:dyDescent="0.3">
      <c r="A6">
        <v>21</v>
      </c>
      <c r="B6">
        <v>70</v>
      </c>
      <c r="C6">
        <v>1</v>
      </c>
      <c r="D6" s="4">
        <v>4.1178999999999997</v>
      </c>
      <c r="E6" s="4">
        <v>1206.1421</v>
      </c>
    </row>
    <row r="7" spans="1:9" x14ac:dyDescent="0.3">
      <c r="A7">
        <v>21</v>
      </c>
      <c r="B7">
        <v>70</v>
      </c>
      <c r="C7">
        <v>2</v>
      </c>
      <c r="D7" s="4">
        <v>5.5217999999999998</v>
      </c>
      <c r="E7" s="4">
        <v>1863.11625</v>
      </c>
    </row>
    <row r="8" spans="1:9" x14ac:dyDescent="0.3">
      <c r="A8">
        <v>21</v>
      </c>
      <c r="B8">
        <v>70</v>
      </c>
      <c r="C8">
        <v>3</v>
      </c>
      <c r="D8" s="4">
        <v>5.2691999999999997</v>
      </c>
      <c r="E8" s="4">
        <v>1774.0291500000001</v>
      </c>
    </row>
    <row r="9" spans="1:9" x14ac:dyDescent="0.3">
      <c r="A9">
        <v>21</v>
      </c>
      <c r="B9">
        <v>70</v>
      </c>
      <c r="C9">
        <v>4</v>
      </c>
      <c r="D9" s="4">
        <v>4.2625000000000002</v>
      </c>
      <c r="E9" s="4">
        <v>1307.2599499999999</v>
      </c>
    </row>
    <row r="10" spans="1:9" x14ac:dyDescent="0.3">
      <c r="A10">
        <v>21</v>
      </c>
      <c r="B10">
        <v>100</v>
      </c>
      <c r="C10">
        <v>1</v>
      </c>
      <c r="D10" s="4">
        <v>5.2399500000000003</v>
      </c>
      <c r="E10" s="4">
        <v>1203.2936999999999</v>
      </c>
    </row>
    <row r="11" spans="1:9" x14ac:dyDescent="0.3">
      <c r="A11">
        <v>21</v>
      </c>
      <c r="B11">
        <v>100</v>
      </c>
      <c r="C11">
        <v>2</v>
      </c>
      <c r="D11" s="4">
        <v>5.6995500000000003</v>
      </c>
      <c r="E11" s="4">
        <v>1298.6271999999999</v>
      </c>
    </row>
    <row r="12" spans="1:9" x14ac:dyDescent="0.3">
      <c r="A12">
        <v>21</v>
      </c>
      <c r="B12">
        <v>100</v>
      </c>
      <c r="C12">
        <v>3</v>
      </c>
      <c r="D12" s="4">
        <v>4.7304500000000003</v>
      </c>
      <c r="E12" s="4">
        <v>1110.1564000000001</v>
      </c>
    </row>
    <row r="13" spans="1:9" x14ac:dyDescent="0.3">
      <c r="A13">
        <v>21</v>
      </c>
      <c r="B13">
        <v>100</v>
      </c>
      <c r="C13">
        <v>4</v>
      </c>
      <c r="D13" s="4">
        <v>5.3509500000000001</v>
      </c>
      <c r="E13" s="4">
        <v>1265.78765</v>
      </c>
    </row>
    <row r="14" spans="1:9" x14ac:dyDescent="0.3">
      <c r="A14">
        <v>28</v>
      </c>
      <c r="B14">
        <v>50</v>
      </c>
      <c r="C14">
        <v>1</v>
      </c>
      <c r="D14" s="4">
        <v>7.5705999999999998</v>
      </c>
      <c r="E14" s="4">
        <v>3016.8854999999999</v>
      </c>
    </row>
    <row r="15" spans="1:9" x14ac:dyDescent="0.3">
      <c r="A15">
        <v>28</v>
      </c>
      <c r="B15">
        <v>50</v>
      </c>
      <c r="C15">
        <v>2</v>
      </c>
      <c r="D15" s="4">
        <v>6.5639000000000003</v>
      </c>
      <c r="E15" s="4">
        <v>2723.6284999999998</v>
      </c>
    </row>
    <row r="16" spans="1:9" x14ac:dyDescent="0.3">
      <c r="A16">
        <v>28</v>
      </c>
      <c r="B16">
        <v>50</v>
      </c>
      <c r="C16">
        <v>3</v>
      </c>
      <c r="D16" s="4">
        <v>6.1563999999999997</v>
      </c>
      <c r="E16" s="4">
        <v>2590.2910999999999</v>
      </c>
    </row>
    <row r="17" spans="1:5" x14ac:dyDescent="0.3">
      <c r="A17">
        <v>28</v>
      </c>
      <c r="B17">
        <v>50</v>
      </c>
      <c r="C17">
        <v>4</v>
      </c>
      <c r="D17" s="4">
        <v>8.4304500000000004</v>
      </c>
      <c r="E17" s="4">
        <v>2929.7400499999999</v>
      </c>
    </row>
    <row r="18" spans="1:5" x14ac:dyDescent="0.3">
      <c r="A18">
        <v>28</v>
      </c>
      <c r="B18">
        <v>70</v>
      </c>
      <c r="C18">
        <v>1</v>
      </c>
      <c r="D18" s="4">
        <v>9.0960999999999999</v>
      </c>
      <c r="E18" s="4">
        <v>3804.1091999999999</v>
      </c>
    </row>
    <row r="19" spans="1:5" x14ac:dyDescent="0.3">
      <c r="A19">
        <v>28</v>
      </c>
      <c r="B19">
        <v>70</v>
      </c>
      <c r="C19">
        <v>2</v>
      </c>
      <c r="D19" s="4">
        <v>8.0465999999999998</v>
      </c>
      <c r="E19" s="4">
        <v>3543.1405500000001</v>
      </c>
    </row>
    <row r="20" spans="1:5" x14ac:dyDescent="0.3">
      <c r="A20">
        <v>28</v>
      </c>
      <c r="B20">
        <v>70</v>
      </c>
      <c r="C20">
        <v>3</v>
      </c>
      <c r="D20" s="4">
        <v>7.6820000000000004</v>
      </c>
      <c r="E20" s="4">
        <v>2991.0481</v>
      </c>
    </row>
    <row r="21" spans="1:5" x14ac:dyDescent="0.3">
      <c r="A21">
        <v>28</v>
      </c>
      <c r="B21">
        <v>70</v>
      </c>
      <c r="C21">
        <v>4</v>
      </c>
      <c r="D21" s="4">
        <v>8.0063499999999994</v>
      </c>
      <c r="E21" s="4">
        <v>2914.0295500000002</v>
      </c>
    </row>
    <row r="22" spans="1:5" x14ac:dyDescent="0.3">
      <c r="A22">
        <v>28</v>
      </c>
      <c r="B22">
        <v>100</v>
      </c>
      <c r="C22">
        <v>1</v>
      </c>
      <c r="D22" s="4">
        <v>11.7117</v>
      </c>
      <c r="E22" s="4">
        <v>3400.01305</v>
      </c>
    </row>
    <row r="23" spans="1:5" x14ac:dyDescent="0.3">
      <c r="A23">
        <v>28</v>
      </c>
      <c r="B23">
        <v>100</v>
      </c>
      <c r="C23">
        <v>2</v>
      </c>
      <c r="D23" s="4">
        <v>11.4009</v>
      </c>
      <c r="E23" s="4">
        <v>3581.6527500000002</v>
      </c>
    </row>
    <row r="24" spans="1:5" x14ac:dyDescent="0.3">
      <c r="A24">
        <v>28</v>
      </c>
      <c r="B24">
        <v>100</v>
      </c>
      <c r="C24">
        <v>3</v>
      </c>
      <c r="D24" s="4">
        <v>7.26755</v>
      </c>
      <c r="E24" s="4">
        <v>1900.6995999999999</v>
      </c>
    </row>
    <row r="25" spans="1:5" x14ac:dyDescent="0.3">
      <c r="A25">
        <v>28</v>
      </c>
      <c r="B25">
        <v>100</v>
      </c>
      <c r="C25">
        <v>4</v>
      </c>
      <c r="D25" s="4">
        <v>8.3606499999999997</v>
      </c>
      <c r="E25" s="4">
        <v>2644.4789500000002</v>
      </c>
    </row>
    <row r="26" spans="1:5" x14ac:dyDescent="0.3">
      <c r="A26">
        <v>35</v>
      </c>
      <c r="B26">
        <v>50</v>
      </c>
      <c r="C26">
        <v>1</v>
      </c>
      <c r="D26" s="4">
        <v>12.30785</v>
      </c>
      <c r="E26" s="4">
        <v>5016.42875</v>
      </c>
    </row>
    <row r="27" spans="1:5" x14ac:dyDescent="0.3">
      <c r="A27">
        <v>35</v>
      </c>
      <c r="B27">
        <v>50</v>
      </c>
      <c r="C27">
        <v>2</v>
      </c>
      <c r="D27" s="4">
        <v>10.73315</v>
      </c>
      <c r="E27" s="4">
        <v>3648.3589000000002</v>
      </c>
    </row>
    <row r="28" spans="1:5" x14ac:dyDescent="0.3">
      <c r="A28">
        <v>35</v>
      </c>
      <c r="B28">
        <v>50</v>
      </c>
      <c r="C28">
        <v>3</v>
      </c>
      <c r="D28" s="4">
        <v>10.8614</v>
      </c>
      <c r="E28" s="4">
        <v>3925.3332500000001</v>
      </c>
    </row>
    <row r="29" spans="1:5" x14ac:dyDescent="0.3">
      <c r="A29">
        <v>35</v>
      </c>
      <c r="B29">
        <v>50</v>
      </c>
      <c r="C29">
        <v>4</v>
      </c>
      <c r="D29" s="4">
        <v>10.9785</v>
      </c>
      <c r="E29" s="4">
        <v>4705.2685000000001</v>
      </c>
    </row>
    <row r="30" spans="1:5" x14ac:dyDescent="0.3">
      <c r="A30">
        <v>35</v>
      </c>
      <c r="B30">
        <v>70</v>
      </c>
      <c r="C30">
        <v>1</v>
      </c>
      <c r="D30" s="4">
        <v>15.751799999999999</v>
      </c>
      <c r="E30" s="4">
        <v>6118.4251000000004</v>
      </c>
    </row>
    <row r="31" spans="1:5" x14ac:dyDescent="0.3">
      <c r="A31">
        <v>35</v>
      </c>
      <c r="B31">
        <v>70</v>
      </c>
      <c r="C31">
        <v>2</v>
      </c>
      <c r="D31" s="4">
        <v>13.30495</v>
      </c>
      <c r="E31" s="4">
        <v>5614.2330499999998</v>
      </c>
    </row>
    <row r="32" spans="1:5" x14ac:dyDescent="0.3">
      <c r="A32">
        <v>35</v>
      </c>
      <c r="B32">
        <v>70</v>
      </c>
      <c r="C32">
        <v>3</v>
      </c>
      <c r="D32" s="4">
        <v>13.88435</v>
      </c>
      <c r="E32" s="4">
        <v>5109.9443499999998</v>
      </c>
    </row>
    <row r="33" spans="1:5" x14ac:dyDescent="0.3">
      <c r="A33">
        <v>35</v>
      </c>
      <c r="B33">
        <v>70</v>
      </c>
      <c r="C33">
        <v>4</v>
      </c>
      <c r="D33" s="4">
        <v>13.09225</v>
      </c>
      <c r="E33" s="4">
        <v>4975.8569500000003</v>
      </c>
    </row>
    <row r="34" spans="1:5" x14ac:dyDescent="0.3">
      <c r="A34">
        <v>35</v>
      </c>
      <c r="B34">
        <v>100</v>
      </c>
      <c r="C34">
        <v>1</v>
      </c>
      <c r="D34" s="4">
        <v>16.9224</v>
      </c>
      <c r="E34" s="4">
        <v>5464.5280000000002</v>
      </c>
    </row>
    <row r="35" spans="1:5" x14ac:dyDescent="0.3">
      <c r="A35">
        <v>35</v>
      </c>
      <c r="B35">
        <v>100</v>
      </c>
      <c r="C35">
        <v>2</v>
      </c>
      <c r="D35" s="4">
        <v>14.93085</v>
      </c>
      <c r="E35" s="4">
        <v>5551.9511499999999</v>
      </c>
    </row>
    <row r="36" spans="1:5" x14ac:dyDescent="0.3">
      <c r="A36">
        <v>35</v>
      </c>
      <c r="B36">
        <v>100</v>
      </c>
      <c r="C36">
        <v>3</v>
      </c>
      <c r="D36" s="4">
        <v>16.129000000000001</v>
      </c>
      <c r="E36" s="4">
        <v>5723.8487500000001</v>
      </c>
    </row>
    <row r="37" spans="1:5" x14ac:dyDescent="0.3">
      <c r="A37">
        <v>35</v>
      </c>
      <c r="B37">
        <v>100</v>
      </c>
      <c r="C37">
        <v>4</v>
      </c>
      <c r="D37" s="4">
        <v>15.78145</v>
      </c>
      <c r="E37" s="4">
        <v>5869.6974499999997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6922-7E70-4D9F-BA36-FFADF1FA5641}">
  <dimension ref="A1:D25"/>
  <sheetViews>
    <sheetView workbookViewId="0">
      <selection activeCell="J11" sqref="J11"/>
    </sheetView>
  </sheetViews>
  <sheetFormatPr defaultRowHeight="14.4" x14ac:dyDescent="0.3"/>
  <cols>
    <col min="1" max="1" width="8" bestFit="1" customWidth="1"/>
    <col min="2" max="2" width="9.33203125" bestFit="1" customWidth="1"/>
    <col min="3" max="3" width="6.77734375" bestFit="1" customWidth="1"/>
    <col min="4" max="4" width="8" bestFit="1" customWidth="1"/>
  </cols>
  <sheetData>
    <row r="1" spans="1:4" x14ac:dyDescent="0.3">
      <c r="A1" t="s">
        <v>92</v>
      </c>
      <c r="B1" t="s">
        <v>93</v>
      </c>
      <c r="C1" t="s">
        <v>2</v>
      </c>
      <c r="D1" t="s">
        <v>94</v>
      </c>
    </row>
    <row r="2" spans="1:4" x14ac:dyDescent="0.3">
      <c r="A2" t="s">
        <v>98</v>
      </c>
      <c r="B2" t="s">
        <v>95</v>
      </c>
      <c r="C2">
        <v>1</v>
      </c>
      <c r="D2" s="4">
        <v>96</v>
      </c>
    </row>
    <row r="3" spans="1:4" x14ac:dyDescent="0.3">
      <c r="A3" t="s">
        <v>98</v>
      </c>
      <c r="B3" t="s">
        <v>95</v>
      </c>
      <c r="C3">
        <v>2</v>
      </c>
      <c r="D3" s="4">
        <v>94</v>
      </c>
    </row>
    <row r="4" spans="1:4" x14ac:dyDescent="0.3">
      <c r="A4" t="s">
        <v>98</v>
      </c>
      <c r="B4" t="s">
        <v>95</v>
      </c>
      <c r="C4">
        <v>3</v>
      </c>
      <c r="D4" s="4">
        <v>95</v>
      </c>
    </row>
    <row r="5" spans="1:4" x14ac:dyDescent="0.3">
      <c r="A5" t="s">
        <v>98</v>
      </c>
      <c r="B5" t="s">
        <v>95</v>
      </c>
      <c r="C5">
        <v>4</v>
      </c>
      <c r="D5" s="4">
        <v>88</v>
      </c>
    </row>
    <row r="6" spans="1:4" x14ac:dyDescent="0.3">
      <c r="A6" t="s">
        <v>98</v>
      </c>
      <c r="B6" t="s">
        <v>96</v>
      </c>
      <c r="C6">
        <v>1</v>
      </c>
      <c r="D6" s="4">
        <v>67</v>
      </c>
    </row>
    <row r="7" spans="1:4" x14ac:dyDescent="0.3">
      <c r="A7" t="s">
        <v>98</v>
      </c>
      <c r="B7" t="s">
        <v>96</v>
      </c>
      <c r="C7">
        <v>2</v>
      </c>
      <c r="D7" s="4">
        <v>67</v>
      </c>
    </row>
    <row r="8" spans="1:4" x14ac:dyDescent="0.3">
      <c r="A8" t="s">
        <v>98</v>
      </c>
      <c r="B8" t="s">
        <v>96</v>
      </c>
      <c r="C8">
        <v>3</v>
      </c>
      <c r="D8" s="4">
        <v>78</v>
      </c>
    </row>
    <row r="9" spans="1:4" x14ac:dyDescent="0.3">
      <c r="A9" t="s">
        <v>98</v>
      </c>
      <c r="B9" t="s">
        <v>96</v>
      </c>
      <c r="C9">
        <v>4</v>
      </c>
      <c r="D9" s="4">
        <v>74</v>
      </c>
    </row>
    <row r="10" spans="1:4" x14ac:dyDescent="0.3">
      <c r="A10" t="s">
        <v>98</v>
      </c>
      <c r="B10" t="s">
        <v>97</v>
      </c>
      <c r="C10">
        <v>1</v>
      </c>
      <c r="D10" s="4">
        <v>89</v>
      </c>
    </row>
    <row r="11" spans="1:4" x14ac:dyDescent="0.3">
      <c r="A11" t="s">
        <v>98</v>
      </c>
      <c r="B11" t="s">
        <v>97</v>
      </c>
      <c r="C11">
        <v>2</v>
      </c>
      <c r="D11" s="4">
        <v>92</v>
      </c>
    </row>
    <row r="12" spans="1:4" x14ac:dyDescent="0.3">
      <c r="A12" t="s">
        <v>98</v>
      </c>
      <c r="B12" t="s">
        <v>97</v>
      </c>
      <c r="C12">
        <v>3</v>
      </c>
      <c r="D12" s="4">
        <v>84</v>
      </c>
    </row>
    <row r="13" spans="1:4" x14ac:dyDescent="0.3">
      <c r="A13" t="s">
        <v>98</v>
      </c>
      <c r="B13" t="s">
        <v>97</v>
      </c>
      <c r="C13">
        <v>4</v>
      </c>
      <c r="D13" s="4">
        <v>82</v>
      </c>
    </row>
    <row r="14" spans="1:4" x14ac:dyDescent="0.3">
      <c r="A14" t="s">
        <v>99</v>
      </c>
      <c r="B14" t="s">
        <v>95</v>
      </c>
      <c r="C14">
        <v>1</v>
      </c>
      <c r="D14" s="4">
        <v>83</v>
      </c>
    </row>
    <row r="15" spans="1:4" x14ac:dyDescent="0.3">
      <c r="A15" t="s">
        <v>99</v>
      </c>
      <c r="B15" t="s">
        <v>95</v>
      </c>
      <c r="C15">
        <v>2</v>
      </c>
      <c r="D15" s="4">
        <v>77</v>
      </c>
    </row>
    <row r="16" spans="1:4" x14ac:dyDescent="0.3">
      <c r="A16" t="s">
        <v>99</v>
      </c>
      <c r="B16" t="s">
        <v>95</v>
      </c>
      <c r="C16">
        <v>3</v>
      </c>
      <c r="D16" s="4">
        <v>78</v>
      </c>
    </row>
    <row r="17" spans="1:4" x14ac:dyDescent="0.3">
      <c r="A17" t="s">
        <v>99</v>
      </c>
      <c r="B17" t="s">
        <v>95</v>
      </c>
      <c r="C17">
        <v>4</v>
      </c>
      <c r="D17" s="4">
        <v>78</v>
      </c>
    </row>
    <row r="18" spans="1:4" x14ac:dyDescent="0.3">
      <c r="A18" t="s">
        <v>99</v>
      </c>
      <c r="B18" t="s">
        <v>96</v>
      </c>
      <c r="C18">
        <v>1</v>
      </c>
      <c r="D18" s="4">
        <v>71</v>
      </c>
    </row>
    <row r="19" spans="1:4" x14ac:dyDescent="0.3">
      <c r="A19" t="s">
        <v>99</v>
      </c>
      <c r="B19" t="s">
        <v>96</v>
      </c>
      <c r="C19">
        <v>2</v>
      </c>
      <c r="D19" s="4">
        <v>69</v>
      </c>
    </row>
    <row r="20" spans="1:4" x14ac:dyDescent="0.3">
      <c r="A20" t="s">
        <v>99</v>
      </c>
      <c r="B20" t="s">
        <v>96</v>
      </c>
      <c r="C20">
        <v>3</v>
      </c>
      <c r="D20" s="4">
        <v>78</v>
      </c>
    </row>
    <row r="21" spans="1:4" x14ac:dyDescent="0.3">
      <c r="A21" t="s">
        <v>99</v>
      </c>
      <c r="B21" t="s">
        <v>96</v>
      </c>
      <c r="C21">
        <v>4</v>
      </c>
      <c r="D21" s="4">
        <v>79</v>
      </c>
    </row>
    <row r="22" spans="1:4" x14ac:dyDescent="0.3">
      <c r="A22" t="s">
        <v>99</v>
      </c>
      <c r="B22" t="s">
        <v>97</v>
      </c>
      <c r="C22">
        <v>1</v>
      </c>
      <c r="D22" s="4">
        <v>79</v>
      </c>
    </row>
    <row r="23" spans="1:4" x14ac:dyDescent="0.3">
      <c r="A23" t="s">
        <v>99</v>
      </c>
      <c r="B23" t="s">
        <v>97</v>
      </c>
      <c r="C23">
        <v>2</v>
      </c>
      <c r="D23" s="4">
        <v>78</v>
      </c>
    </row>
    <row r="24" spans="1:4" x14ac:dyDescent="0.3">
      <c r="A24" t="s">
        <v>99</v>
      </c>
      <c r="B24" t="s">
        <v>97</v>
      </c>
      <c r="C24">
        <v>3</v>
      </c>
      <c r="D24" s="4">
        <v>74</v>
      </c>
    </row>
    <row r="25" spans="1:4" x14ac:dyDescent="0.3">
      <c r="A25" t="s">
        <v>99</v>
      </c>
      <c r="B25" t="s">
        <v>97</v>
      </c>
      <c r="C25">
        <v>4</v>
      </c>
      <c r="D25" s="4">
        <v>79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47F0-6F2C-426A-B704-744224E9AA4C}">
  <dimension ref="A1:N12"/>
  <sheetViews>
    <sheetView workbookViewId="0">
      <selection activeCell="P10" sqref="P10"/>
    </sheetView>
  </sheetViews>
  <sheetFormatPr defaultRowHeight="22.2" customHeight="1" x14ac:dyDescent="0.3"/>
  <cols>
    <col min="1" max="1" width="12.21875" bestFit="1" customWidth="1"/>
    <col min="2" max="2" width="12.77734375" bestFit="1" customWidth="1"/>
    <col min="3" max="6" width="8.5546875" customWidth="1"/>
    <col min="7" max="7" width="7.33203125" bestFit="1" customWidth="1"/>
    <col min="10" max="14" width="12.6640625" customWidth="1"/>
  </cols>
  <sheetData>
    <row r="1" spans="1:14" ht="22.2" customHeight="1" x14ac:dyDescent="0.3">
      <c r="A1" s="28" t="s">
        <v>100</v>
      </c>
      <c r="B1" s="28" t="s">
        <v>102</v>
      </c>
      <c r="C1" s="105" t="s">
        <v>104</v>
      </c>
      <c r="D1" s="105"/>
      <c r="E1" s="105"/>
      <c r="F1" s="105"/>
      <c r="G1" s="28" t="s">
        <v>63</v>
      </c>
      <c r="J1" s="35"/>
      <c r="K1" s="35" t="s">
        <v>96</v>
      </c>
      <c r="L1" s="35" t="s">
        <v>95</v>
      </c>
      <c r="M1" s="35" t="s">
        <v>97</v>
      </c>
      <c r="N1" s="36" t="s">
        <v>107</v>
      </c>
    </row>
    <row r="2" spans="1:14" ht="22.2" customHeight="1" x14ac:dyDescent="0.3">
      <c r="A2" s="28" t="s">
        <v>101</v>
      </c>
      <c r="B2" s="28" t="s">
        <v>103</v>
      </c>
      <c r="C2" s="29" t="s">
        <v>27</v>
      </c>
      <c r="D2" s="29" t="s">
        <v>28</v>
      </c>
      <c r="E2" s="29" t="s">
        <v>29</v>
      </c>
      <c r="F2" s="29" t="s">
        <v>105</v>
      </c>
      <c r="G2" s="28"/>
      <c r="J2" s="35" t="s">
        <v>98</v>
      </c>
      <c r="K2" s="35">
        <v>286</v>
      </c>
      <c r="L2" s="35">
        <v>373</v>
      </c>
      <c r="M2" s="35">
        <v>347</v>
      </c>
      <c r="N2" s="37">
        <f>SUM(K2:M2)</f>
        <v>1006</v>
      </c>
    </row>
    <row r="3" spans="1:14" ht="22.2" customHeight="1" x14ac:dyDescent="0.3">
      <c r="A3" s="28" t="s">
        <v>98</v>
      </c>
      <c r="B3" s="28" t="s">
        <v>95</v>
      </c>
      <c r="C3" s="30">
        <v>96</v>
      </c>
      <c r="D3" s="30">
        <v>94</v>
      </c>
      <c r="E3" s="30">
        <v>95</v>
      </c>
      <c r="F3" s="30">
        <v>88</v>
      </c>
      <c r="G3" s="31">
        <f>SUM(C3:F3)</f>
        <v>373</v>
      </c>
      <c r="J3" s="35" t="s">
        <v>99</v>
      </c>
      <c r="K3" s="35">
        <v>297</v>
      </c>
      <c r="L3" s="35">
        <v>316</v>
      </c>
      <c r="M3" s="35">
        <v>310</v>
      </c>
      <c r="N3" s="37">
        <f>SUM(K3:M3)</f>
        <v>923</v>
      </c>
    </row>
    <row r="4" spans="1:14" ht="22.2" customHeight="1" x14ac:dyDescent="0.3">
      <c r="A4" s="28" t="s">
        <v>98</v>
      </c>
      <c r="B4" s="28" t="s">
        <v>96</v>
      </c>
      <c r="C4" s="30">
        <v>67</v>
      </c>
      <c r="D4" s="30">
        <v>67</v>
      </c>
      <c r="E4" s="30">
        <v>78</v>
      </c>
      <c r="F4" s="30">
        <v>74</v>
      </c>
      <c r="G4" s="31">
        <f t="shared" ref="G4:G9" si="0">SUM(C4:F4)</f>
        <v>286</v>
      </c>
      <c r="J4" s="38" t="s">
        <v>106</v>
      </c>
      <c r="K4" s="37">
        <f>SUM(K2:K3)</f>
        <v>583</v>
      </c>
      <c r="L4" s="37">
        <f t="shared" ref="L4:M4" si="1">SUM(L2:L3)</f>
        <v>689</v>
      </c>
      <c r="M4" s="37">
        <f t="shared" si="1"/>
        <v>657</v>
      </c>
      <c r="N4" s="37"/>
    </row>
    <row r="5" spans="1:14" ht="22.2" customHeight="1" x14ac:dyDescent="0.3">
      <c r="A5" s="28" t="s">
        <v>98</v>
      </c>
      <c r="B5" s="28" t="s">
        <v>97</v>
      </c>
      <c r="C5" s="30">
        <v>89</v>
      </c>
      <c r="D5" s="30">
        <v>92</v>
      </c>
      <c r="E5" s="30">
        <v>84</v>
      </c>
      <c r="F5" s="30">
        <v>82</v>
      </c>
      <c r="G5" s="31">
        <f t="shared" si="0"/>
        <v>347</v>
      </c>
    </row>
    <row r="6" spans="1:14" ht="22.2" customHeight="1" x14ac:dyDescent="0.3">
      <c r="A6" s="28"/>
      <c r="B6" s="28"/>
      <c r="C6" s="30"/>
      <c r="D6" s="30"/>
      <c r="E6" s="30"/>
      <c r="F6" s="30"/>
      <c r="G6" s="32">
        <f>SUM(G3:G5)</f>
        <v>1006</v>
      </c>
      <c r="J6" s="27" t="s">
        <v>51</v>
      </c>
      <c r="K6" s="17">
        <f>G11^2/24</f>
        <v>155043.375</v>
      </c>
    </row>
    <row r="7" spans="1:14" ht="22.2" customHeight="1" x14ac:dyDescent="0.3">
      <c r="A7" s="28" t="s">
        <v>99</v>
      </c>
      <c r="B7" s="28" t="s">
        <v>95</v>
      </c>
      <c r="C7" s="30">
        <v>83</v>
      </c>
      <c r="D7" s="30">
        <v>77</v>
      </c>
      <c r="E7" s="30">
        <v>78</v>
      </c>
      <c r="F7" s="30">
        <v>78</v>
      </c>
      <c r="G7" s="31">
        <f t="shared" si="0"/>
        <v>316</v>
      </c>
      <c r="J7" t="s">
        <v>109</v>
      </c>
      <c r="K7" s="17">
        <f>SUMSQ(C3:F9)-K6</f>
        <v>1635.625</v>
      </c>
    </row>
    <row r="8" spans="1:14" ht="22.2" customHeight="1" x14ac:dyDescent="0.3">
      <c r="A8" s="28" t="s">
        <v>99</v>
      </c>
      <c r="B8" s="28" t="s">
        <v>96</v>
      </c>
      <c r="C8" s="30">
        <v>71</v>
      </c>
      <c r="D8" s="30">
        <v>69</v>
      </c>
      <c r="E8" s="30">
        <v>78</v>
      </c>
      <c r="F8" s="30">
        <v>79</v>
      </c>
      <c r="G8" s="31">
        <f t="shared" si="0"/>
        <v>297</v>
      </c>
      <c r="J8" t="s">
        <v>110</v>
      </c>
      <c r="K8" s="17">
        <f>SUMSQ(C11:F11) / 6 -K6</f>
        <v>10.458333333343035</v>
      </c>
      <c r="L8">
        <v>3</v>
      </c>
      <c r="M8" s="4">
        <f>K8/L8</f>
        <v>3.486111111114345</v>
      </c>
      <c r="N8" s="4">
        <f>M8/$M$12</f>
        <v>0.17798893773949873</v>
      </c>
    </row>
    <row r="9" spans="1:14" ht="22.2" customHeight="1" x14ac:dyDescent="0.3">
      <c r="A9" s="28" t="s">
        <v>99</v>
      </c>
      <c r="B9" s="28" t="s">
        <v>97</v>
      </c>
      <c r="C9" s="29">
        <v>79</v>
      </c>
      <c r="D9" s="29">
        <v>78</v>
      </c>
      <c r="E9" s="29">
        <v>74</v>
      </c>
      <c r="F9" s="29">
        <v>79</v>
      </c>
      <c r="G9" s="31">
        <f t="shared" si="0"/>
        <v>310</v>
      </c>
      <c r="J9" t="s">
        <v>111</v>
      </c>
      <c r="K9" s="17">
        <f>SUMSQ(N2:N3)/12-K6</f>
        <v>287.04166666665697</v>
      </c>
      <c r="L9">
        <v>1</v>
      </c>
      <c r="M9" s="4">
        <f t="shared" ref="M9:M12" si="2">K9/L9</f>
        <v>287.04166666665697</v>
      </c>
      <c r="N9" s="4">
        <f t="shared" ref="N9:N11" si="3">M9/$M$12</f>
        <v>14.655368032903121</v>
      </c>
    </row>
    <row r="10" spans="1:14" ht="22.2" customHeight="1" x14ac:dyDescent="0.3">
      <c r="A10" s="28"/>
      <c r="B10" s="28"/>
      <c r="C10" s="29"/>
      <c r="D10" s="29"/>
      <c r="E10" s="29"/>
      <c r="F10" s="29"/>
      <c r="G10" s="32">
        <f>SUM(G7:G9)</f>
        <v>923</v>
      </c>
      <c r="J10" t="s">
        <v>112</v>
      </c>
      <c r="K10" s="17">
        <f>SUMSQ(K4:M4)/8-K6</f>
        <v>739</v>
      </c>
      <c r="L10">
        <v>2</v>
      </c>
      <c r="M10" s="4">
        <f t="shared" si="2"/>
        <v>369.5</v>
      </c>
      <c r="N10" s="4">
        <f t="shared" si="3"/>
        <v>18.865409161821638</v>
      </c>
    </row>
    <row r="11" spans="1:14" ht="22.2" customHeight="1" x14ac:dyDescent="0.3">
      <c r="A11" s="28" t="s">
        <v>63</v>
      </c>
      <c r="B11" s="34" t="s">
        <v>108</v>
      </c>
      <c r="C11" s="30">
        <f>SUM(C3:C9)</f>
        <v>485</v>
      </c>
      <c r="D11" s="30">
        <f t="shared" ref="D11:F11" si="4">SUM(D3:D9)</f>
        <v>477</v>
      </c>
      <c r="E11" s="30">
        <f t="shared" si="4"/>
        <v>487</v>
      </c>
      <c r="F11" s="30">
        <f t="shared" si="4"/>
        <v>480</v>
      </c>
      <c r="G11" s="33">
        <f>SUM(C11:F11)</f>
        <v>1929</v>
      </c>
      <c r="J11" t="s">
        <v>113</v>
      </c>
      <c r="K11" s="17">
        <f>SUMSQ(K2:M3)/4-K6-K9-K10</f>
        <v>305.33333333334303</v>
      </c>
      <c r="L11">
        <v>2</v>
      </c>
      <c r="M11" s="4">
        <f t="shared" si="2"/>
        <v>152.66666666667152</v>
      </c>
      <c r="N11" s="4">
        <f t="shared" si="3"/>
        <v>7.7946390582901088</v>
      </c>
    </row>
    <row r="12" spans="1:14" ht="22.2" customHeight="1" x14ac:dyDescent="0.3">
      <c r="J12" t="s">
        <v>114</v>
      </c>
      <c r="K12" s="17">
        <f>K7-SUM(K8:K11)</f>
        <v>293.79166666665697</v>
      </c>
      <c r="L12">
        <v>15</v>
      </c>
      <c r="M12" s="4">
        <f t="shared" si="2"/>
        <v>19.586111111110466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D253-5E88-4C61-836C-2FFDAD90BAC1}">
  <dimension ref="A1:S30"/>
  <sheetViews>
    <sheetView zoomScale="145" zoomScaleNormal="145" workbookViewId="0">
      <selection activeCell="I3" sqref="I3"/>
    </sheetView>
  </sheetViews>
  <sheetFormatPr defaultRowHeight="14.4" x14ac:dyDescent="0.3"/>
  <cols>
    <col min="7" max="7" width="3.33203125" customWidth="1"/>
    <col min="8" max="8" width="9.6640625" bestFit="1" customWidth="1"/>
    <col min="9" max="9" width="12.5546875" bestFit="1" customWidth="1"/>
    <col min="10" max="10" width="16.6640625" bestFit="1" customWidth="1"/>
    <col min="13" max="13" width="6" customWidth="1"/>
    <col min="14" max="14" width="7.44140625" customWidth="1"/>
    <col min="15" max="15" width="21" bestFit="1" customWidth="1"/>
    <col min="16" max="16" width="10.88671875" bestFit="1" customWidth="1"/>
    <col min="17" max="17" width="3.77734375" customWidth="1"/>
    <col min="18" max="18" width="13" bestFit="1" customWidth="1"/>
    <col min="19" max="19" width="10.88671875" bestFit="1" customWidth="1"/>
  </cols>
  <sheetData>
    <row r="1" spans="1:19" x14ac:dyDescent="0.3">
      <c r="A1" s="5" t="s">
        <v>70</v>
      </c>
      <c r="B1" s="5" t="s">
        <v>74</v>
      </c>
      <c r="C1" s="5" t="s">
        <v>116</v>
      </c>
      <c r="D1" s="5" t="s">
        <v>117</v>
      </c>
      <c r="E1" s="5" t="s">
        <v>118</v>
      </c>
      <c r="F1" s="5" t="s">
        <v>119</v>
      </c>
      <c r="G1" s="5"/>
      <c r="H1" s="5"/>
      <c r="I1" s="106" t="s">
        <v>74</v>
      </c>
      <c r="J1" s="106"/>
      <c r="K1" s="106"/>
      <c r="L1" s="5"/>
    </row>
    <row r="2" spans="1:19" x14ac:dyDescent="0.3">
      <c r="A2" s="5">
        <v>21</v>
      </c>
      <c r="B2" s="5">
        <v>50</v>
      </c>
      <c r="C2" s="11">
        <v>4.3054500000000004</v>
      </c>
      <c r="D2" s="11">
        <v>5.24885</v>
      </c>
      <c r="E2" s="11">
        <v>4.4986499999999996</v>
      </c>
      <c r="F2" s="11">
        <v>4.6109499999999999</v>
      </c>
      <c r="G2" s="11"/>
      <c r="H2" s="5" t="s">
        <v>70</v>
      </c>
      <c r="I2" s="5">
        <v>50</v>
      </c>
      <c r="J2" s="5">
        <v>70</v>
      </c>
      <c r="K2" s="5">
        <v>100</v>
      </c>
      <c r="L2" s="5" t="s">
        <v>115</v>
      </c>
      <c r="M2" t="s">
        <v>139</v>
      </c>
    </row>
    <row r="3" spans="1:19" x14ac:dyDescent="0.3">
      <c r="A3" s="5">
        <v>21</v>
      </c>
      <c r="B3" s="5">
        <v>70</v>
      </c>
      <c r="C3" s="11">
        <v>4.1178999999999997</v>
      </c>
      <c r="D3" s="11">
        <v>5.5217999999999998</v>
      </c>
      <c r="E3" s="11">
        <v>5.2691999999999997</v>
      </c>
      <c r="F3" s="11">
        <v>4.2625000000000002</v>
      </c>
      <c r="G3" s="11"/>
      <c r="H3" s="5">
        <v>21</v>
      </c>
      <c r="I3" s="42">
        <v>18.663900000000002</v>
      </c>
      <c r="J3" s="21">
        <v>19.171399999999998</v>
      </c>
      <c r="K3" s="43">
        <v>21.020900000000001</v>
      </c>
      <c r="L3" s="56">
        <f>SUM(I3:K3)</f>
        <v>58.856200000000001</v>
      </c>
      <c r="M3" t="s">
        <v>140</v>
      </c>
    </row>
    <row r="4" spans="1:19" x14ac:dyDescent="0.3">
      <c r="A4" s="5">
        <v>21</v>
      </c>
      <c r="B4" s="5">
        <v>100</v>
      </c>
      <c r="C4" s="11">
        <v>5.2399500000000003</v>
      </c>
      <c r="D4" s="11">
        <v>5.6995500000000003</v>
      </c>
      <c r="E4" s="11">
        <v>4.7304500000000003</v>
      </c>
      <c r="F4" s="11">
        <v>5.3509500000000001</v>
      </c>
      <c r="G4" s="11"/>
      <c r="H4" s="5">
        <v>28</v>
      </c>
      <c r="I4" s="44">
        <v>28.721350000000001</v>
      </c>
      <c r="J4" s="45">
        <v>32.831049999999998</v>
      </c>
      <c r="K4" s="46">
        <v>38.7408</v>
      </c>
      <c r="L4" s="56">
        <f t="shared" ref="L4:L6" si="0">SUM(I4:K4)</f>
        <v>100.2932</v>
      </c>
      <c r="M4" t="s">
        <v>141</v>
      </c>
    </row>
    <row r="5" spans="1:19" x14ac:dyDescent="0.3">
      <c r="A5" s="5">
        <v>28</v>
      </c>
      <c r="B5" s="5">
        <v>50</v>
      </c>
      <c r="C5" s="11">
        <v>7.5705999999999998</v>
      </c>
      <c r="D5" s="11">
        <v>6.5639000000000003</v>
      </c>
      <c r="E5" s="11">
        <v>6.1563999999999997</v>
      </c>
      <c r="F5" s="11">
        <v>8.4304500000000004</v>
      </c>
      <c r="G5" s="11"/>
      <c r="H5" s="5">
        <v>35</v>
      </c>
      <c r="I5" s="47">
        <v>44.880899999999997</v>
      </c>
      <c r="J5" s="48">
        <v>56.033349999999999</v>
      </c>
      <c r="K5" s="49">
        <v>63.7637</v>
      </c>
      <c r="L5" s="56">
        <f t="shared" si="0"/>
        <v>164.67795000000001</v>
      </c>
    </row>
    <row r="6" spans="1:19" x14ac:dyDescent="0.3">
      <c r="A6" s="5">
        <v>28</v>
      </c>
      <c r="B6" s="5">
        <v>70</v>
      </c>
      <c r="C6" s="11">
        <v>9.0960999999999999</v>
      </c>
      <c r="D6" s="11">
        <v>8.0465999999999998</v>
      </c>
      <c r="E6" s="11">
        <v>7.6820000000000004</v>
      </c>
      <c r="F6" s="11">
        <v>8.0063499999999994</v>
      </c>
      <c r="G6" s="11"/>
      <c r="H6" s="5"/>
      <c r="I6" s="56">
        <f>SUM(I3:I5)</f>
        <v>92.266149999999996</v>
      </c>
      <c r="J6" s="56">
        <f t="shared" ref="J6:K6" si="1">SUM(J3:J5)</f>
        <v>108.03579999999999</v>
      </c>
      <c r="K6" s="56">
        <f t="shared" si="1"/>
        <v>123.5254</v>
      </c>
      <c r="L6" s="70">
        <f t="shared" si="0"/>
        <v>323.82734999999997</v>
      </c>
    </row>
    <row r="7" spans="1:19" x14ac:dyDescent="0.3">
      <c r="A7" s="5">
        <v>28</v>
      </c>
      <c r="B7" s="5">
        <v>100</v>
      </c>
      <c r="C7" s="11">
        <v>11.7117</v>
      </c>
      <c r="D7" s="11">
        <v>11.4009</v>
      </c>
      <c r="E7" s="11">
        <v>7.26755</v>
      </c>
      <c r="F7" s="11">
        <v>8.3606499999999997</v>
      </c>
      <c r="G7" s="11"/>
      <c r="H7" t="s">
        <v>51</v>
      </c>
      <c r="I7">
        <f>L6^2/36</f>
        <v>2912.8931280006241</v>
      </c>
    </row>
    <row r="8" spans="1:19" x14ac:dyDescent="0.3">
      <c r="A8" s="5">
        <v>35</v>
      </c>
      <c r="B8" s="5">
        <v>50</v>
      </c>
      <c r="C8" s="11">
        <v>12.30785</v>
      </c>
      <c r="D8" s="11">
        <v>10.73315</v>
      </c>
      <c r="E8" s="11">
        <v>10.8614</v>
      </c>
      <c r="F8" s="11">
        <v>10.9785</v>
      </c>
      <c r="G8" s="11"/>
      <c r="H8" s="40" t="s">
        <v>58</v>
      </c>
      <c r="I8" s="40" t="s">
        <v>59</v>
      </c>
      <c r="J8" s="40" t="s">
        <v>60</v>
      </c>
      <c r="K8" s="40" t="s">
        <v>61</v>
      </c>
      <c r="L8" s="40" t="s">
        <v>64</v>
      </c>
      <c r="M8" s="40" t="s">
        <v>65</v>
      </c>
      <c r="N8" s="40" t="s">
        <v>122</v>
      </c>
    </row>
    <row r="9" spans="1:19" x14ac:dyDescent="0.3">
      <c r="A9" s="5">
        <v>35</v>
      </c>
      <c r="B9" s="5">
        <v>70</v>
      </c>
      <c r="C9" s="11">
        <v>15.751799999999999</v>
      </c>
      <c r="D9" s="11">
        <v>13.30495</v>
      </c>
      <c r="E9" s="11">
        <v>13.88435</v>
      </c>
      <c r="F9" s="11">
        <v>13.09225</v>
      </c>
      <c r="G9" s="11"/>
      <c r="H9" s="39" t="s">
        <v>69</v>
      </c>
      <c r="I9" s="53">
        <v>3</v>
      </c>
      <c r="J9" s="51">
        <f>SUMSQ(C11:F11)/9-I7</f>
        <v>6.8266901957645132</v>
      </c>
      <c r="K9" s="51">
        <f>J9/I9</f>
        <v>2.2755633985881709</v>
      </c>
      <c r="L9" s="51">
        <f>K9/$K$13</f>
        <v>2.4146560798384158</v>
      </c>
      <c r="M9" s="51">
        <v>3</v>
      </c>
      <c r="N9" s="51"/>
    </row>
    <row r="10" spans="1:19" x14ac:dyDescent="0.3">
      <c r="A10" s="5">
        <v>35</v>
      </c>
      <c r="B10" s="5">
        <v>100</v>
      </c>
      <c r="C10" s="11">
        <v>16.9224</v>
      </c>
      <c r="D10" s="11">
        <v>14.93085</v>
      </c>
      <c r="E10" s="11">
        <v>16.129000000000001</v>
      </c>
      <c r="F10" s="11">
        <v>15.78145</v>
      </c>
      <c r="G10" s="11"/>
      <c r="H10" s="39" t="s">
        <v>70</v>
      </c>
      <c r="I10" s="53">
        <v>2</v>
      </c>
      <c r="J10" s="51">
        <f>SUMSQ(L3:L5)/12-I7</f>
        <v>473.90732707291772</v>
      </c>
      <c r="K10" s="51">
        <f t="shared" ref="K10:K13" si="2">J10/I10</f>
        <v>236.95366353645886</v>
      </c>
      <c r="L10" s="51">
        <f t="shared" ref="L10:L12" si="3">K10/$K$13</f>
        <v>251.43733839860636</v>
      </c>
      <c r="M10" s="51">
        <v>3.403</v>
      </c>
      <c r="N10" s="51"/>
    </row>
    <row r="11" spans="1:19" x14ac:dyDescent="0.3">
      <c r="A11" t="s">
        <v>120</v>
      </c>
      <c r="C11" s="55">
        <f>SUM(C2:C10)</f>
        <v>87.023749999999993</v>
      </c>
      <c r="D11" s="55">
        <f t="shared" ref="D11:F11" si="4">SUM(D2:D10)</f>
        <v>81.450549999999993</v>
      </c>
      <c r="E11" s="55">
        <f t="shared" si="4"/>
        <v>76.478999999999999</v>
      </c>
      <c r="F11" s="55">
        <f t="shared" si="4"/>
        <v>78.874049999999997</v>
      </c>
      <c r="G11" s="11"/>
      <c r="H11" s="39" t="s">
        <v>74</v>
      </c>
      <c r="I11" s="53">
        <v>2</v>
      </c>
      <c r="J11" s="51">
        <f>SUMSQ(I6:K6)/12-I7</f>
        <v>40.715285551250417</v>
      </c>
      <c r="K11" s="51">
        <f t="shared" si="2"/>
        <v>20.357642775625209</v>
      </c>
      <c r="L11" s="51">
        <f t="shared" si="3"/>
        <v>21.601993567764509</v>
      </c>
      <c r="M11" s="51">
        <v>3.403</v>
      </c>
      <c r="N11" s="51"/>
    </row>
    <row r="12" spans="1:19" x14ac:dyDescent="0.3">
      <c r="C12">
        <f>C11/9</f>
        <v>9.6693055555555549</v>
      </c>
      <c r="D12">
        <f t="shared" ref="D12:F12" si="5">D11/9</f>
        <v>9.0500611111111109</v>
      </c>
      <c r="E12">
        <f t="shared" si="5"/>
        <v>8.4976666666666674</v>
      </c>
      <c r="F12">
        <f t="shared" si="5"/>
        <v>8.7637833333333326</v>
      </c>
      <c r="H12" s="57" t="s">
        <v>129</v>
      </c>
      <c r="I12" s="58">
        <v>4</v>
      </c>
      <c r="J12" s="72">
        <f>SUMSQ(I3:K5)/4-I7-J10-J11</f>
        <v>17.79583119208246</v>
      </c>
      <c r="K12" s="51">
        <f t="shared" si="2"/>
        <v>4.448957798020615</v>
      </c>
      <c r="L12" s="51">
        <f t="shared" si="3"/>
        <v>4.7208981312496547</v>
      </c>
      <c r="M12" s="72">
        <v>2.7759999999999998</v>
      </c>
      <c r="N12" s="51"/>
    </row>
    <row r="13" spans="1:19" x14ac:dyDescent="0.3">
      <c r="H13" s="39" t="s">
        <v>121</v>
      </c>
      <c r="I13" s="53">
        <f>I14-I12-I11-I10-I9</f>
        <v>24</v>
      </c>
      <c r="J13" s="51">
        <f>J14-J9-J10-J11-J12</f>
        <v>22.617515604860273</v>
      </c>
      <c r="K13" s="51">
        <f t="shared" si="2"/>
        <v>0.94239648353584471</v>
      </c>
      <c r="L13" s="51"/>
      <c r="M13" s="51"/>
      <c r="N13" s="51"/>
    </row>
    <row r="14" spans="1:19" x14ac:dyDescent="0.3">
      <c r="H14" s="40" t="s">
        <v>63</v>
      </c>
      <c r="I14" s="54">
        <v>35</v>
      </c>
      <c r="J14" s="52">
        <f>SUMSQ(C2:F10)-I7</f>
        <v>561.86264961687539</v>
      </c>
      <c r="K14" s="40"/>
      <c r="L14" s="50"/>
      <c r="M14" s="40"/>
      <c r="N14" s="40"/>
    </row>
    <row r="15" spans="1:19" x14ac:dyDescent="0.3">
      <c r="I15" s="68"/>
      <c r="J15" s="17"/>
      <c r="K15" s="71"/>
    </row>
    <row r="16" spans="1:19" x14ac:dyDescent="0.3">
      <c r="H16" t="s">
        <v>123</v>
      </c>
      <c r="O16" t="s">
        <v>128</v>
      </c>
      <c r="P16" s="69">
        <f>3.53*SQRT(K13/4)</f>
        <v>1.7134109505378303</v>
      </c>
      <c r="R16" t="s">
        <v>128</v>
      </c>
      <c r="S16" s="69"/>
    </row>
    <row r="17" spans="8:19" x14ac:dyDescent="0.3">
      <c r="H17" s="5"/>
      <c r="I17" s="5" t="s">
        <v>74</v>
      </c>
      <c r="J17" s="5"/>
      <c r="K17" s="5"/>
      <c r="L17" s="5"/>
      <c r="O17" t="s">
        <v>131</v>
      </c>
      <c r="P17" t="s">
        <v>127</v>
      </c>
      <c r="R17" t="s">
        <v>130</v>
      </c>
      <c r="S17" t="s">
        <v>127</v>
      </c>
    </row>
    <row r="18" spans="8:19" x14ac:dyDescent="0.3">
      <c r="H18" s="5" t="s">
        <v>70</v>
      </c>
      <c r="I18" s="5">
        <v>50</v>
      </c>
      <c r="J18" s="5">
        <v>70</v>
      </c>
      <c r="K18" s="5">
        <v>100</v>
      </c>
      <c r="L18" s="5"/>
      <c r="O18" s="18" t="s">
        <v>124</v>
      </c>
      <c r="P18" s="17"/>
      <c r="R18" s="18" t="s">
        <v>136</v>
      </c>
      <c r="S18" s="17">
        <f>I19-I20</f>
        <v>-2.5143624999999998</v>
      </c>
    </row>
    <row r="19" spans="8:19" x14ac:dyDescent="0.3">
      <c r="H19" s="5">
        <v>21</v>
      </c>
      <c r="I19" s="59">
        <f>I3/4</f>
        <v>4.6659750000000004</v>
      </c>
      <c r="J19" s="60">
        <f t="shared" ref="I19:K21" si="6">J3/4</f>
        <v>4.7928499999999996</v>
      </c>
      <c r="K19" s="61">
        <f t="shared" si="6"/>
        <v>5.2552250000000003</v>
      </c>
      <c r="L19" s="11">
        <f>AVERAGE(I19:K19)</f>
        <v>4.9046833333333337</v>
      </c>
      <c r="O19" s="5" t="s">
        <v>125</v>
      </c>
      <c r="P19" s="17"/>
      <c r="R19" s="5" t="s">
        <v>137</v>
      </c>
      <c r="S19" s="17">
        <f>I19-I21</f>
        <v>-6.5542499999999988</v>
      </c>
    </row>
    <row r="20" spans="8:19" x14ac:dyDescent="0.3">
      <c r="H20" s="5">
        <v>28</v>
      </c>
      <c r="I20" s="62">
        <f t="shared" si="6"/>
        <v>7.1803375000000003</v>
      </c>
      <c r="J20" s="63">
        <f t="shared" si="6"/>
        <v>8.2077624999999994</v>
      </c>
      <c r="K20" s="64">
        <f t="shared" si="6"/>
        <v>9.6852</v>
      </c>
      <c r="L20" s="11">
        <f t="shared" ref="L20:L21" si="7">AVERAGE(I20:K20)</f>
        <v>8.3577666666666666</v>
      </c>
      <c r="O20" s="5" t="s">
        <v>126</v>
      </c>
      <c r="P20" s="17"/>
      <c r="R20" s="5" t="s">
        <v>138</v>
      </c>
      <c r="S20" s="17">
        <f>I20-I21</f>
        <v>-4.039887499999999</v>
      </c>
    </row>
    <row r="21" spans="8:19" x14ac:dyDescent="0.3">
      <c r="H21" s="5">
        <v>35</v>
      </c>
      <c r="I21" s="65">
        <f t="shared" si="6"/>
        <v>11.220224999999999</v>
      </c>
      <c r="J21" s="66">
        <f t="shared" si="6"/>
        <v>14.0083375</v>
      </c>
      <c r="K21" s="67">
        <f t="shared" si="6"/>
        <v>15.940925</v>
      </c>
      <c r="L21" s="11">
        <f t="shared" si="7"/>
        <v>13.723162500000001</v>
      </c>
    </row>
    <row r="22" spans="8:19" x14ac:dyDescent="0.3">
      <c r="H22" s="5"/>
      <c r="I22" s="11">
        <f>AVERAGE(I19:I21)</f>
        <v>7.6888458333333327</v>
      </c>
      <c r="J22" s="11">
        <f t="shared" ref="J22:K22" si="8">AVERAGE(J19:J21)</f>
        <v>9.0029833333333329</v>
      </c>
      <c r="K22" s="11">
        <f t="shared" si="8"/>
        <v>10.293783333333334</v>
      </c>
      <c r="L22" s="25">
        <f>AVERAGE(I19:K21)</f>
        <v>8.9952041666666673</v>
      </c>
      <c r="O22" t="s">
        <v>132</v>
      </c>
      <c r="R22" t="s">
        <v>134</v>
      </c>
    </row>
    <row r="23" spans="8:19" x14ac:dyDescent="0.3">
      <c r="O23" s="18" t="s">
        <v>124</v>
      </c>
      <c r="P23" s="17"/>
      <c r="R23" s="18" t="s">
        <v>136</v>
      </c>
      <c r="S23" s="17">
        <f>J19-J20</f>
        <v>-3.4149124999999998</v>
      </c>
    </row>
    <row r="24" spans="8:19" x14ac:dyDescent="0.3">
      <c r="O24" s="5" t="s">
        <v>125</v>
      </c>
      <c r="P24" s="17"/>
      <c r="R24" s="5" t="s">
        <v>137</v>
      </c>
      <c r="S24" s="17">
        <f>J19-J21</f>
        <v>-9.2154875000000001</v>
      </c>
    </row>
    <row r="25" spans="8:19" x14ac:dyDescent="0.3">
      <c r="O25" s="5" t="s">
        <v>126</v>
      </c>
      <c r="P25" s="17"/>
      <c r="R25" s="5" t="s">
        <v>138</v>
      </c>
      <c r="S25" s="17">
        <f>J20-J21</f>
        <v>-5.8005750000000003</v>
      </c>
    </row>
    <row r="27" spans="8:19" x14ac:dyDescent="0.3">
      <c r="O27" t="s">
        <v>133</v>
      </c>
      <c r="R27" t="s">
        <v>135</v>
      </c>
    </row>
    <row r="28" spans="8:19" x14ac:dyDescent="0.3">
      <c r="O28" s="18" t="s">
        <v>124</v>
      </c>
      <c r="P28" s="17"/>
      <c r="R28" s="18" t="s">
        <v>136</v>
      </c>
      <c r="S28" s="17">
        <f>K19-K20</f>
        <v>-4.4299749999999998</v>
      </c>
    </row>
    <row r="29" spans="8:19" x14ac:dyDescent="0.3">
      <c r="O29" s="5" t="s">
        <v>125</v>
      </c>
      <c r="P29" s="17"/>
      <c r="R29" s="5" t="s">
        <v>137</v>
      </c>
      <c r="S29" s="17">
        <f>K19-K21</f>
        <v>-10.685700000000001</v>
      </c>
    </row>
    <row r="30" spans="8:19" x14ac:dyDescent="0.3">
      <c r="O30" s="5" t="s">
        <v>126</v>
      </c>
      <c r="P30" s="17"/>
      <c r="R30" s="5" t="s">
        <v>138</v>
      </c>
      <c r="S30" s="17">
        <f>K20-K21</f>
        <v>-6.255725</v>
      </c>
    </row>
  </sheetData>
  <mergeCells count="1">
    <mergeCell ref="I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4098" r:id="rId4">
          <objectPr defaultSize="0" autoPict="0" r:id="rId5">
            <anchor moveWithCells="1">
              <from>
                <xdr:col>0</xdr:col>
                <xdr:colOff>38100</xdr:colOff>
                <xdr:row>23</xdr:row>
                <xdr:rowOff>15240</xdr:rowOff>
              </from>
              <to>
                <xdr:col>4</xdr:col>
                <xdr:colOff>15240</xdr:colOff>
                <xdr:row>26</xdr:row>
                <xdr:rowOff>38100</xdr:rowOff>
              </to>
            </anchor>
          </objectPr>
        </oleObject>
      </mc:Choice>
      <mc:Fallback>
        <oleObject progId="Equation.DSMT4" shapeId="4098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sheetPr codeName="Planilha8"/>
  <dimension ref="A1:D41"/>
  <sheetViews>
    <sheetView zoomScale="130" zoomScaleNormal="130" workbookViewId="0">
      <selection sqref="A1:D41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s="6" t="s">
        <v>33</v>
      </c>
      <c r="C2" s="7">
        <v>0</v>
      </c>
      <c r="D2">
        <v>6.9</v>
      </c>
    </row>
    <row r="3" spans="1:4" x14ac:dyDescent="0.3">
      <c r="A3">
        <v>1</v>
      </c>
      <c r="B3" s="6" t="s">
        <v>33</v>
      </c>
      <c r="C3" s="7">
        <v>25</v>
      </c>
      <c r="D3">
        <v>7.4439999999999991</v>
      </c>
    </row>
    <row r="4" spans="1:4" x14ac:dyDescent="0.3">
      <c r="A4">
        <v>1</v>
      </c>
      <c r="B4" s="6" t="s">
        <v>33</v>
      </c>
      <c r="C4" s="7">
        <v>50</v>
      </c>
      <c r="D4">
        <v>7.65</v>
      </c>
    </row>
    <row r="5" spans="1:4" x14ac:dyDescent="0.3">
      <c r="A5">
        <v>1</v>
      </c>
      <c r="B5" s="6" t="s">
        <v>33</v>
      </c>
      <c r="C5" s="7">
        <v>75</v>
      </c>
      <c r="D5">
        <v>7.5</v>
      </c>
    </row>
    <row r="6" spans="1:4" x14ac:dyDescent="0.3">
      <c r="A6">
        <v>1</v>
      </c>
      <c r="B6" s="6" t="s">
        <v>33</v>
      </c>
      <c r="C6" s="7">
        <v>100</v>
      </c>
      <c r="D6">
        <v>7.0299999999999994</v>
      </c>
    </row>
    <row r="7" spans="1:4" x14ac:dyDescent="0.3">
      <c r="A7">
        <v>1</v>
      </c>
      <c r="B7" s="8" t="s">
        <v>34</v>
      </c>
      <c r="C7" s="7">
        <v>0</v>
      </c>
      <c r="D7">
        <v>6.68</v>
      </c>
    </row>
    <row r="8" spans="1:4" x14ac:dyDescent="0.3">
      <c r="A8">
        <v>1</v>
      </c>
      <c r="B8" s="8" t="s">
        <v>34</v>
      </c>
      <c r="C8" s="7">
        <v>25</v>
      </c>
      <c r="D8">
        <v>7.14</v>
      </c>
    </row>
    <row r="9" spans="1:4" x14ac:dyDescent="0.3">
      <c r="A9">
        <v>1</v>
      </c>
      <c r="B9" s="8" t="s">
        <v>34</v>
      </c>
      <c r="C9" s="7">
        <v>50</v>
      </c>
      <c r="D9">
        <v>7.2619999999999996</v>
      </c>
    </row>
    <row r="10" spans="1:4" x14ac:dyDescent="0.3">
      <c r="A10">
        <v>1</v>
      </c>
      <c r="B10" s="8" t="s">
        <v>34</v>
      </c>
      <c r="C10" s="7">
        <v>75</v>
      </c>
      <c r="D10">
        <v>7.03</v>
      </c>
    </row>
    <row r="11" spans="1:4" x14ac:dyDescent="0.3">
      <c r="A11">
        <v>1</v>
      </c>
      <c r="B11" s="8" t="s">
        <v>34</v>
      </c>
      <c r="C11" s="7">
        <v>100</v>
      </c>
      <c r="D11">
        <v>6.69</v>
      </c>
    </row>
    <row r="12" spans="1:4" x14ac:dyDescent="0.3">
      <c r="A12">
        <v>2</v>
      </c>
      <c r="B12" s="7" t="s">
        <v>33</v>
      </c>
      <c r="C12" s="7">
        <v>0</v>
      </c>
      <c r="D12">
        <v>7</v>
      </c>
    </row>
    <row r="13" spans="1:4" x14ac:dyDescent="0.3">
      <c r="A13">
        <v>2</v>
      </c>
      <c r="B13" s="7" t="s">
        <v>33</v>
      </c>
      <c r="C13" s="7">
        <v>25</v>
      </c>
      <c r="D13">
        <v>7.3419999999999987</v>
      </c>
    </row>
    <row r="14" spans="1:4" x14ac:dyDescent="0.3">
      <c r="A14">
        <v>2</v>
      </c>
      <c r="B14" s="7" t="s">
        <v>33</v>
      </c>
      <c r="C14" s="7">
        <v>50</v>
      </c>
      <c r="D14">
        <v>7.5299999999999994</v>
      </c>
    </row>
    <row r="15" spans="1:4" x14ac:dyDescent="0.3">
      <c r="A15">
        <v>2</v>
      </c>
      <c r="B15" s="7" t="s">
        <v>33</v>
      </c>
      <c r="C15" s="7">
        <v>75</v>
      </c>
      <c r="D15">
        <v>7.4499999999999993</v>
      </c>
    </row>
    <row r="16" spans="1:4" x14ac:dyDescent="0.3">
      <c r="A16">
        <v>2</v>
      </c>
      <c r="B16" s="7" t="s">
        <v>33</v>
      </c>
      <c r="C16" s="7">
        <v>100</v>
      </c>
      <c r="D16">
        <v>7.1099999999999994</v>
      </c>
    </row>
    <row r="17" spans="1:4" x14ac:dyDescent="0.3">
      <c r="A17">
        <v>2</v>
      </c>
      <c r="B17" s="7" t="s">
        <v>34</v>
      </c>
      <c r="C17" s="7">
        <v>0</v>
      </c>
      <c r="D17">
        <v>6.65</v>
      </c>
    </row>
    <row r="18" spans="1:4" x14ac:dyDescent="0.3">
      <c r="A18">
        <v>2</v>
      </c>
      <c r="B18" s="7" t="s">
        <v>34</v>
      </c>
      <c r="C18" s="7">
        <v>25</v>
      </c>
      <c r="D18">
        <v>7.05</v>
      </c>
    </row>
    <row r="19" spans="1:4" x14ac:dyDescent="0.3">
      <c r="A19">
        <v>2</v>
      </c>
      <c r="B19" s="7" t="s">
        <v>34</v>
      </c>
      <c r="C19" s="7">
        <v>50</v>
      </c>
      <c r="D19">
        <v>7.32</v>
      </c>
    </row>
    <row r="20" spans="1:4" x14ac:dyDescent="0.3">
      <c r="A20">
        <v>2</v>
      </c>
      <c r="B20" s="7" t="s">
        <v>34</v>
      </c>
      <c r="C20" s="7">
        <v>75</v>
      </c>
      <c r="D20">
        <v>7.13</v>
      </c>
    </row>
    <row r="21" spans="1:4" x14ac:dyDescent="0.3">
      <c r="A21">
        <v>2</v>
      </c>
      <c r="B21" s="7" t="s">
        <v>34</v>
      </c>
      <c r="C21" s="7">
        <v>100</v>
      </c>
      <c r="D21">
        <v>6.58</v>
      </c>
    </row>
    <row r="22" spans="1:4" x14ac:dyDescent="0.3">
      <c r="A22">
        <v>3</v>
      </c>
      <c r="B22" s="7" t="s">
        <v>33</v>
      </c>
      <c r="C22" s="7">
        <v>0</v>
      </c>
      <c r="D22">
        <v>6.9499999999999993</v>
      </c>
    </row>
    <row r="23" spans="1:4" x14ac:dyDescent="0.3">
      <c r="A23">
        <v>3</v>
      </c>
      <c r="B23" s="7" t="s">
        <v>33</v>
      </c>
      <c r="C23" s="7">
        <v>25</v>
      </c>
      <c r="D23">
        <v>7.3599999999999994</v>
      </c>
    </row>
    <row r="24" spans="1:4" x14ac:dyDescent="0.3">
      <c r="A24">
        <v>3</v>
      </c>
      <c r="B24" s="7" t="s">
        <v>33</v>
      </c>
      <c r="C24" s="7">
        <v>50</v>
      </c>
      <c r="D24">
        <v>7.5559999999999992</v>
      </c>
    </row>
    <row r="25" spans="1:4" x14ac:dyDescent="0.3">
      <c r="A25">
        <v>3</v>
      </c>
      <c r="B25" s="7" t="s">
        <v>33</v>
      </c>
      <c r="C25" s="7">
        <v>75</v>
      </c>
      <c r="D25">
        <v>7.6</v>
      </c>
    </row>
    <row r="26" spans="1:4" x14ac:dyDescent="0.3">
      <c r="A26">
        <v>3</v>
      </c>
      <c r="B26" s="7" t="s">
        <v>33</v>
      </c>
      <c r="C26" s="7">
        <v>100</v>
      </c>
      <c r="D26">
        <v>6.9</v>
      </c>
    </row>
    <row r="27" spans="1:4" x14ac:dyDescent="0.3">
      <c r="A27">
        <v>3</v>
      </c>
      <c r="B27" s="7" t="s">
        <v>34</v>
      </c>
      <c r="C27" s="7">
        <v>0</v>
      </c>
      <c r="D27">
        <v>6.83</v>
      </c>
    </row>
    <row r="28" spans="1:4" x14ac:dyDescent="0.3">
      <c r="A28">
        <v>3</v>
      </c>
      <c r="B28" s="7" t="s">
        <v>34</v>
      </c>
      <c r="C28" s="7">
        <v>25</v>
      </c>
      <c r="D28">
        <v>7.23</v>
      </c>
    </row>
    <row r="29" spans="1:4" x14ac:dyDescent="0.3">
      <c r="A29">
        <v>3</v>
      </c>
      <c r="B29" s="7" t="s">
        <v>34</v>
      </c>
      <c r="C29" s="7">
        <v>50</v>
      </c>
      <c r="D29">
        <v>7.46</v>
      </c>
    </row>
    <row r="30" spans="1:4" x14ac:dyDescent="0.3">
      <c r="A30">
        <v>3</v>
      </c>
      <c r="B30" s="7" t="s">
        <v>34</v>
      </c>
      <c r="C30" s="7">
        <v>75</v>
      </c>
      <c r="D30">
        <v>7.2</v>
      </c>
    </row>
    <row r="31" spans="1:4" x14ac:dyDescent="0.3">
      <c r="A31">
        <v>3</v>
      </c>
      <c r="B31" s="7" t="s">
        <v>34</v>
      </c>
      <c r="C31" s="7">
        <v>100</v>
      </c>
      <c r="D31">
        <v>6.74</v>
      </c>
    </row>
    <row r="32" spans="1:4" x14ac:dyDescent="0.3">
      <c r="A32">
        <v>4</v>
      </c>
      <c r="B32" s="7" t="s">
        <v>33</v>
      </c>
      <c r="C32" s="7">
        <v>0</v>
      </c>
      <c r="D32">
        <v>7.0299999999999994</v>
      </c>
    </row>
    <row r="33" spans="1:4" x14ac:dyDescent="0.3">
      <c r="A33">
        <v>4</v>
      </c>
      <c r="B33" s="7" t="s">
        <v>33</v>
      </c>
      <c r="C33" s="7">
        <v>25</v>
      </c>
      <c r="D33">
        <v>7.3360000000000003</v>
      </c>
    </row>
    <row r="34" spans="1:4" x14ac:dyDescent="0.3">
      <c r="A34">
        <v>4</v>
      </c>
      <c r="B34" s="7" t="s">
        <v>33</v>
      </c>
      <c r="C34" s="7">
        <v>50</v>
      </c>
      <c r="D34">
        <v>7.6999999999999993</v>
      </c>
    </row>
    <row r="35" spans="1:4" x14ac:dyDescent="0.3">
      <c r="A35">
        <v>4</v>
      </c>
      <c r="B35" s="7" t="s">
        <v>33</v>
      </c>
      <c r="C35" s="7">
        <v>75</v>
      </c>
      <c r="D35">
        <v>7.4700000000000006</v>
      </c>
    </row>
    <row r="36" spans="1:4" x14ac:dyDescent="0.3">
      <c r="A36">
        <v>4</v>
      </c>
      <c r="B36" s="7" t="s">
        <v>33</v>
      </c>
      <c r="C36" s="7">
        <v>100</v>
      </c>
      <c r="D36">
        <v>6.9329999999999998</v>
      </c>
    </row>
    <row r="37" spans="1:4" x14ac:dyDescent="0.3">
      <c r="A37">
        <v>4</v>
      </c>
      <c r="B37" s="7" t="s">
        <v>34</v>
      </c>
      <c r="C37" s="7">
        <v>0</v>
      </c>
      <c r="D37">
        <v>6.76</v>
      </c>
    </row>
    <row r="38" spans="1:4" x14ac:dyDescent="0.3">
      <c r="A38">
        <v>4</v>
      </c>
      <c r="B38" s="7" t="s">
        <v>34</v>
      </c>
      <c r="C38" s="7">
        <v>25</v>
      </c>
      <c r="D38">
        <v>7.2</v>
      </c>
    </row>
    <row r="39" spans="1:4" x14ac:dyDescent="0.3">
      <c r="A39">
        <v>4</v>
      </c>
      <c r="B39" s="7" t="s">
        <v>34</v>
      </c>
      <c r="C39" s="7">
        <v>50</v>
      </c>
      <c r="D39">
        <v>7.3630000000000004</v>
      </c>
    </row>
    <row r="40" spans="1:4" x14ac:dyDescent="0.3">
      <c r="A40">
        <v>4</v>
      </c>
      <c r="B40" s="7" t="s">
        <v>34</v>
      </c>
      <c r="C40" s="7">
        <v>75</v>
      </c>
      <c r="D40">
        <v>7.19</v>
      </c>
    </row>
    <row r="41" spans="1:4" x14ac:dyDescent="0.3">
      <c r="A41">
        <v>4</v>
      </c>
      <c r="B41" s="7" t="s">
        <v>34</v>
      </c>
      <c r="C41" s="7">
        <v>100</v>
      </c>
      <c r="D41">
        <v>6.61</v>
      </c>
    </row>
  </sheetData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sheetPr codeName="Planilha9"/>
  <dimension ref="A1:D41"/>
  <sheetViews>
    <sheetView topLeftCell="A21" zoomScale="160" zoomScaleNormal="160" workbookViewId="0">
      <selection activeCell="H32" sqref="H32"/>
    </sheetView>
  </sheetViews>
  <sheetFormatPr defaultRowHeight="14.4" x14ac:dyDescent="0.3"/>
  <cols>
    <col min="1" max="1" width="9" bestFit="1" customWidth="1"/>
    <col min="2" max="2" width="10.33203125" bestFit="1" customWidth="1"/>
    <col min="3" max="3" width="9" bestFit="1" customWidth="1"/>
    <col min="4" max="4" width="7.109375" bestFit="1" customWidth="1"/>
  </cols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t="s">
        <v>33</v>
      </c>
      <c r="C2">
        <v>0</v>
      </c>
      <c r="D2">
        <v>11.2</v>
      </c>
    </row>
    <row r="3" spans="1:4" x14ac:dyDescent="0.3">
      <c r="A3">
        <v>1</v>
      </c>
      <c r="B3" t="s">
        <v>33</v>
      </c>
      <c r="C3">
        <v>25</v>
      </c>
      <c r="D3">
        <v>12.4</v>
      </c>
    </row>
    <row r="4" spans="1:4" x14ac:dyDescent="0.3">
      <c r="A4">
        <v>1</v>
      </c>
      <c r="B4" t="s">
        <v>33</v>
      </c>
      <c r="C4">
        <v>50</v>
      </c>
      <c r="D4">
        <v>13</v>
      </c>
    </row>
    <row r="5" spans="1:4" x14ac:dyDescent="0.3">
      <c r="A5">
        <v>1</v>
      </c>
      <c r="B5" t="s">
        <v>33</v>
      </c>
      <c r="C5">
        <v>75</v>
      </c>
      <c r="D5">
        <v>12.526</v>
      </c>
    </row>
    <row r="6" spans="1:4" x14ac:dyDescent="0.3">
      <c r="A6">
        <v>1</v>
      </c>
      <c r="B6" t="s">
        <v>33</v>
      </c>
      <c r="C6">
        <v>100</v>
      </c>
      <c r="D6">
        <v>11.379999999999999</v>
      </c>
    </row>
    <row r="7" spans="1:4" x14ac:dyDescent="0.3">
      <c r="A7">
        <v>1</v>
      </c>
      <c r="B7" t="s">
        <v>34</v>
      </c>
      <c r="C7">
        <v>0</v>
      </c>
      <c r="D7">
        <v>9.2199999999999989</v>
      </c>
    </row>
    <row r="8" spans="1:4" x14ac:dyDescent="0.3">
      <c r="A8">
        <v>1</v>
      </c>
      <c r="B8" t="s">
        <v>34</v>
      </c>
      <c r="C8">
        <v>25</v>
      </c>
      <c r="D8">
        <v>9.6980000000000004</v>
      </c>
    </row>
    <row r="9" spans="1:4" x14ac:dyDescent="0.3">
      <c r="A9">
        <v>1</v>
      </c>
      <c r="B9" t="s">
        <v>34</v>
      </c>
      <c r="C9">
        <v>50</v>
      </c>
      <c r="D9">
        <v>10.112</v>
      </c>
    </row>
    <row r="10" spans="1:4" x14ac:dyDescent="0.3">
      <c r="A10">
        <v>1</v>
      </c>
      <c r="B10" t="s">
        <v>34</v>
      </c>
      <c r="C10">
        <v>75</v>
      </c>
      <c r="D10">
        <v>10.852</v>
      </c>
    </row>
    <row r="11" spans="1:4" x14ac:dyDescent="0.3">
      <c r="A11">
        <v>1</v>
      </c>
      <c r="B11" t="s">
        <v>34</v>
      </c>
      <c r="C11">
        <v>100</v>
      </c>
      <c r="D11">
        <v>11.36</v>
      </c>
    </row>
    <row r="12" spans="1:4" x14ac:dyDescent="0.3">
      <c r="A12">
        <v>2</v>
      </c>
      <c r="B12" t="s">
        <v>33</v>
      </c>
      <c r="C12">
        <v>0</v>
      </c>
      <c r="D12">
        <v>11.5</v>
      </c>
    </row>
    <row r="13" spans="1:4" x14ac:dyDescent="0.3">
      <c r="A13">
        <v>2</v>
      </c>
      <c r="B13" t="s">
        <v>33</v>
      </c>
      <c r="C13">
        <v>25</v>
      </c>
      <c r="D13">
        <v>12.82</v>
      </c>
    </row>
    <row r="14" spans="1:4" x14ac:dyDescent="0.3">
      <c r="A14">
        <v>2</v>
      </c>
      <c r="B14" t="s">
        <v>33</v>
      </c>
      <c r="C14">
        <v>50</v>
      </c>
      <c r="D14">
        <v>13.18</v>
      </c>
    </row>
    <row r="15" spans="1:4" x14ac:dyDescent="0.3">
      <c r="A15">
        <v>2</v>
      </c>
      <c r="B15" t="s">
        <v>33</v>
      </c>
      <c r="C15">
        <v>75</v>
      </c>
      <c r="D15">
        <v>12.718</v>
      </c>
    </row>
    <row r="16" spans="1:4" x14ac:dyDescent="0.3">
      <c r="A16">
        <v>2</v>
      </c>
      <c r="B16" t="s">
        <v>33</v>
      </c>
      <c r="C16">
        <v>100</v>
      </c>
      <c r="D16">
        <v>11.512</v>
      </c>
    </row>
    <row r="17" spans="1:4" x14ac:dyDescent="0.3">
      <c r="A17">
        <v>2</v>
      </c>
      <c r="B17" t="s">
        <v>34</v>
      </c>
      <c r="C17">
        <v>0</v>
      </c>
      <c r="D17">
        <v>9.298</v>
      </c>
    </row>
    <row r="18" spans="1:4" x14ac:dyDescent="0.3">
      <c r="A18">
        <v>2</v>
      </c>
      <c r="B18" t="s">
        <v>34</v>
      </c>
      <c r="C18">
        <v>25</v>
      </c>
      <c r="D18">
        <v>10.050000000000001</v>
      </c>
    </row>
    <row r="19" spans="1:4" x14ac:dyDescent="0.3">
      <c r="A19">
        <v>2</v>
      </c>
      <c r="B19" t="s">
        <v>34</v>
      </c>
      <c r="C19">
        <v>50</v>
      </c>
      <c r="D19">
        <v>9.9059999999999988</v>
      </c>
    </row>
    <row r="20" spans="1:4" x14ac:dyDescent="0.3">
      <c r="A20">
        <v>2</v>
      </c>
      <c r="B20" t="s">
        <v>34</v>
      </c>
      <c r="C20">
        <v>75</v>
      </c>
      <c r="D20">
        <v>10.786</v>
      </c>
    </row>
    <row r="21" spans="1:4" x14ac:dyDescent="0.3">
      <c r="A21">
        <v>2</v>
      </c>
      <c r="B21" t="s">
        <v>34</v>
      </c>
      <c r="C21">
        <v>100</v>
      </c>
      <c r="D21">
        <v>11.304</v>
      </c>
    </row>
    <row r="22" spans="1:4" x14ac:dyDescent="0.3">
      <c r="A22">
        <v>3</v>
      </c>
      <c r="B22" t="s">
        <v>33</v>
      </c>
      <c r="C22">
        <v>0</v>
      </c>
      <c r="D22">
        <v>11.74</v>
      </c>
    </row>
    <row r="23" spans="1:4" x14ac:dyDescent="0.3">
      <c r="A23">
        <v>3</v>
      </c>
      <c r="B23" t="s">
        <v>33</v>
      </c>
      <c r="C23">
        <v>25</v>
      </c>
      <c r="D23">
        <v>12.64</v>
      </c>
    </row>
    <row r="24" spans="1:4" x14ac:dyDescent="0.3">
      <c r="A24">
        <v>3</v>
      </c>
      <c r="B24" t="s">
        <v>33</v>
      </c>
      <c r="C24">
        <v>50</v>
      </c>
      <c r="D24">
        <v>12.44</v>
      </c>
    </row>
    <row r="25" spans="1:4" x14ac:dyDescent="0.3">
      <c r="A25">
        <v>3</v>
      </c>
      <c r="B25" t="s">
        <v>33</v>
      </c>
      <c r="C25">
        <v>75</v>
      </c>
      <c r="D25">
        <v>12.64</v>
      </c>
    </row>
    <row r="26" spans="1:4" x14ac:dyDescent="0.3">
      <c r="A26">
        <v>3</v>
      </c>
      <c r="B26" t="s">
        <v>33</v>
      </c>
      <c r="C26">
        <v>100</v>
      </c>
      <c r="D26">
        <v>11.530000000000001</v>
      </c>
    </row>
    <row r="27" spans="1:4" x14ac:dyDescent="0.3">
      <c r="A27">
        <v>3</v>
      </c>
      <c r="B27" t="s">
        <v>34</v>
      </c>
      <c r="C27">
        <v>0</v>
      </c>
      <c r="D27">
        <v>9.1359999999999992</v>
      </c>
    </row>
    <row r="28" spans="1:4" x14ac:dyDescent="0.3">
      <c r="A28">
        <v>3</v>
      </c>
      <c r="B28" t="s">
        <v>34</v>
      </c>
      <c r="C28">
        <v>25</v>
      </c>
      <c r="D28">
        <v>10.1</v>
      </c>
    </row>
    <row r="29" spans="1:4" x14ac:dyDescent="0.3">
      <c r="A29">
        <v>3</v>
      </c>
      <c r="B29" t="s">
        <v>34</v>
      </c>
      <c r="C29">
        <v>50</v>
      </c>
      <c r="D29">
        <v>9.8640000000000008</v>
      </c>
    </row>
    <row r="30" spans="1:4" x14ac:dyDescent="0.3">
      <c r="A30">
        <v>3</v>
      </c>
      <c r="B30" t="s">
        <v>34</v>
      </c>
      <c r="C30">
        <v>75</v>
      </c>
      <c r="D30">
        <v>10.719999999999999</v>
      </c>
    </row>
    <row r="31" spans="1:4" x14ac:dyDescent="0.3">
      <c r="A31">
        <v>3</v>
      </c>
      <c r="B31" t="s">
        <v>34</v>
      </c>
      <c r="C31">
        <v>100</v>
      </c>
      <c r="D31">
        <v>11.440000000000001</v>
      </c>
    </row>
    <row r="32" spans="1:4" x14ac:dyDescent="0.3">
      <c r="A32">
        <v>4</v>
      </c>
      <c r="B32" t="s">
        <v>33</v>
      </c>
      <c r="C32">
        <v>0</v>
      </c>
      <c r="D32">
        <v>11.8</v>
      </c>
    </row>
    <row r="33" spans="1:4" x14ac:dyDescent="0.3">
      <c r="A33">
        <v>4</v>
      </c>
      <c r="B33" t="s">
        <v>33</v>
      </c>
      <c r="C33">
        <v>25</v>
      </c>
      <c r="D33">
        <v>12.52</v>
      </c>
    </row>
    <row r="34" spans="1:4" x14ac:dyDescent="0.3">
      <c r="A34">
        <v>4</v>
      </c>
      <c r="B34" t="s">
        <v>33</v>
      </c>
      <c r="C34">
        <v>50</v>
      </c>
      <c r="D34">
        <v>13.12</v>
      </c>
    </row>
    <row r="35" spans="1:4" x14ac:dyDescent="0.3">
      <c r="A35">
        <v>4</v>
      </c>
      <c r="B35" t="s">
        <v>33</v>
      </c>
      <c r="C35">
        <v>75</v>
      </c>
      <c r="D35">
        <v>12.616</v>
      </c>
    </row>
    <row r="36" spans="1:4" x14ac:dyDescent="0.3">
      <c r="A36">
        <v>4</v>
      </c>
      <c r="B36" t="s">
        <v>33</v>
      </c>
      <c r="C36">
        <v>100</v>
      </c>
      <c r="D36">
        <v>11.763999999999999</v>
      </c>
    </row>
    <row r="37" spans="1:4" x14ac:dyDescent="0.3">
      <c r="A37">
        <v>4</v>
      </c>
      <c r="B37" t="s">
        <v>34</v>
      </c>
      <c r="C37">
        <v>0</v>
      </c>
      <c r="D37">
        <v>9.16</v>
      </c>
    </row>
    <row r="38" spans="1:4" x14ac:dyDescent="0.3">
      <c r="A38">
        <v>4</v>
      </c>
      <c r="B38" t="s">
        <v>34</v>
      </c>
      <c r="C38">
        <v>25</v>
      </c>
      <c r="D38">
        <v>9.8179999999999996</v>
      </c>
    </row>
    <row r="39" spans="1:4" x14ac:dyDescent="0.3">
      <c r="A39">
        <v>4</v>
      </c>
      <c r="B39" t="s">
        <v>34</v>
      </c>
      <c r="C39">
        <v>50</v>
      </c>
      <c r="D39">
        <v>9.92</v>
      </c>
    </row>
    <row r="40" spans="1:4" x14ac:dyDescent="0.3">
      <c r="A40">
        <v>4</v>
      </c>
      <c r="B40" t="s">
        <v>34</v>
      </c>
      <c r="C40">
        <v>75</v>
      </c>
      <c r="D40">
        <v>10.9</v>
      </c>
    </row>
    <row r="41" spans="1:4" x14ac:dyDescent="0.3">
      <c r="A41">
        <v>4</v>
      </c>
      <c r="B41" t="s">
        <v>34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sheetPr codeName="Planilha10"/>
  <dimension ref="A1:D81"/>
  <sheetViews>
    <sheetView zoomScaleNormal="100" workbookViewId="0">
      <selection activeCell="B1" sqref="B1:B1048576"/>
    </sheetView>
  </sheetViews>
  <sheetFormatPr defaultRowHeight="14.4" x14ac:dyDescent="0.3"/>
  <sheetData>
    <row r="1" spans="1:4" x14ac:dyDescent="0.3">
      <c r="A1" t="s">
        <v>36</v>
      </c>
      <c r="B1" t="s">
        <v>45</v>
      </c>
      <c r="C1" t="s">
        <v>30</v>
      </c>
      <c r="D1" t="s">
        <v>31</v>
      </c>
    </row>
    <row r="2" spans="1:4" x14ac:dyDescent="0.3">
      <c r="A2">
        <v>45</v>
      </c>
      <c r="B2">
        <v>0</v>
      </c>
      <c r="C2">
        <v>1</v>
      </c>
      <c r="D2">
        <v>120</v>
      </c>
    </row>
    <row r="3" spans="1:4" x14ac:dyDescent="0.3">
      <c r="A3">
        <v>45</v>
      </c>
      <c r="B3">
        <v>0</v>
      </c>
      <c r="C3">
        <v>2</v>
      </c>
      <c r="D3">
        <v>125</v>
      </c>
    </row>
    <row r="4" spans="1:4" x14ac:dyDescent="0.3">
      <c r="A4">
        <v>45</v>
      </c>
      <c r="B4">
        <v>0</v>
      </c>
      <c r="C4">
        <v>3</v>
      </c>
      <c r="D4">
        <v>129</v>
      </c>
    </row>
    <row r="5" spans="1:4" x14ac:dyDescent="0.3">
      <c r="A5">
        <v>45</v>
      </c>
      <c r="B5">
        <v>0</v>
      </c>
      <c r="C5">
        <v>4</v>
      </c>
      <c r="D5">
        <v>130</v>
      </c>
    </row>
    <row r="6" spans="1:4" x14ac:dyDescent="0.3">
      <c r="A6">
        <v>45</v>
      </c>
      <c r="B6">
        <v>25</v>
      </c>
      <c r="C6">
        <v>1</v>
      </c>
      <c r="D6">
        <v>140</v>
      </c>
    </row>
    <row r="7" spans="1:4" x14ac:dyDescent="0.3">
      <c r="A7">
        <v>45</v>
      </c>
      <c r="B7">
        <v>25</v>
      </c>
      <c r="C7">
        <v>2</v>
      </c>
      <c r="D7">
        <v>147</v>
      </c>
    </row>
    <row r="8" spans="1:4" x14ac:dyDescent="0.3">
      <c r="A8">
        <v>45</v>
      </c>
      <c r="B8">
        <v>25</v>
      </c>
      <c r="C8">
        <v>3</v>
      </c>
      <c r="D8">
        <v>144</v>
      </c>
    </row>
    <row r="9" spans="1:4" x14ac:dyDescent="0.3">
      <c r="A9">
        <v>45</v>
      </c>
      <c r="B9">
        <v>25</v>
      </c>
      <c r="C9">
        <v>4</v>
      </c>
      <c r="D9">
        <v>142</v>
      </c>
    </row>
    <row r="10" spans="1:4" x14ac:dyDescent="0.3">
      <c r="A10">
        <v>45</v>
      </c>
      <c r="B10">
        <v>50</v>
      </c>
      <c r="C10">
        <v>1</v>
      </c>
      <c r="D10">
        <v>150</v>
      </c>
    </row>
    <row r="11" spans="1:4" x14ac:dyDescent="0.3">
      <c r="A11">
        <v>45</v>
      </c>
      <c r="B11">
        <v>50</v>
      </c>
      <c r="C11">
        <v>2</v>
      </c>
      <c r="D11">
        <v>153</v>
      </c>
    </row>
    <row r="12" spans="1:4" x14ac:dyDescent="0.3">
      <c r="A12">
        <v>45</v>
      </c>
      <c r="B12">
        <v>50</v>
      </c>
      <c r="C12">
        <v>3</v>
      </c>
      <c r="D12">
        <v>154</v>
      </c>
    </row>
    <row r="13" spans="1:4" x14ac:dyDescent="0.3">
      <c r="A13">
        <v>45</v>
      </c>
      <c r="B13">
        <v>50</v>
      </c>
      <c r="C13">
        <v>4</v>
      </c>
      <c r="D13">
        <v>152</v>
      </c>
    </row>
    <row r="14" spans="1:4" x14ac:dyDescent="0.3">
      <c r="A14">
        <v>45</v>
      </c>
      <c r="B14">
        <v>75</v>
      </c>
      <c r="C14">
        <v>1</v>
      </c>
      <c r="D14">
        <v>154</v>
      </c>
    </row>
    <row r="15" spans="1:4" x14ac:dyDescent="0.3">
      <c r="A15">
        <v>45</v>
      </c>
      <c r="B15">
        <v>75</v>
      </c>
      <c r="C15">
        <v>2</v>
      </c>
      <c r="D15">
        <v>157</v>
      </c>
    </row>
    <row r="16" spans="1:4" x14ac:dyDescent="0.3">
      <c r="A16">
        <v>45</v>
      </c>
      <c r="B16">
        <v>75</v>
      </c>
      <c r="C16">
        <v>3</v>
      </c>
      <c r="D16">
        <v>160</v>
      </c>
    </row>
    <row r="17" spans="1:4" x14ac:dyDescent="0.3">
      <c r="A17">
        <v>45</v>
      </c>
      <c r="B17">
        <v>75</v>
      </c>
      <c r="C17">
        <v>4</v>
      </c>
      <c r="D17">
        <v>161</v>
      </c>
    </row>
    <row r="18" spans="1:4" x14ac:dyDescent="0.3">
      <c r="A18">
        <v>45</v>
      </c>
      <c r="B18">
        <v>100</v>
      </c>
      <c r="C18">
        <v>1</v>
      </c>
      <c r="D18">
        <v>152</v>
      </c>
    </row>
    <row r="19" spans="1:4" x14ac:dyDescent="0.3">
      <c r="A19">
        <v>45</v>
      </c>
      <c r="B19">
        <v>100</v>
      </c>
      <c r="C19">
        <v>2</v>
      </c>
      <c r="D19">
        <v>150</v>
      </c>
    </row>
    <row r="20" spans="1:4" x14ac:dyDescent="0.3">
      <c r="A20">
        <v>45</v>
      </c>
      <c r="B20">
        <v>100</v>
      </c>
      <c r="C20">
        <v>3</v>
      </c>
      <c r="D20">
        <v>155</v>
      </c>
    </row>
    <row r="21" spans="1:4" x14ac:dyDescent="0.3">
      <c r="A21">
        <v>45</v>
      </c>
      <c r="B21">
        <v>100</v>
      </c>
      <c r="C21">
        <v>4</v>
      </c>
      <c r="D21">
        <v>153</v>
      </c>
    </row>
    <row r="22" spans="1:4" x14ac:dyDescent="0.3">
      <c r="A22">
        <v>60</v>
      </c>
      <c r="B22">
        <v>0</v>
      </c>
      <c r="C22">
        <v>1</v>
      </c>
      <c r="D22">
        <v>144</v>
      </c>
    </row>
    <row r="23" spans="1:4" x14ac:dyDescent="0.3">
      <c r="A23">
        <v>60</v>
      </c>
      <c r="B23">
        <v>0</v>
      </c>
      <c r="C23">
        <v>2</v>
      </c>
      <c r="D23">
        <v>150</v>
      </c>
    </row>
    <row r="24" spans="1:4" x14ac:dyDescent="0.3">
      <c r="A24">
        <v>60</v>
      </c>
      <c r="B24">
        <v>0</v>
      </c>
      <c r="C24">
        <v>3</v>
      </c>
      <c r="D24">
        <v>154.80000000000001</v>
      </c>
    </row>
    <row r="25" spans="1:4" x14ac:dyDescent="0.3">
      <c r="A25">
        <v>60</v>
      </c>
      <c r="B25">
        <v>0</v>
      </c>
      <c r="C25">
        <v>4</v>
      </c>
      <c r="D25">
        <v>156</v>
      </c>
    </row>
    <row r="26" spans="1:4" x14ac:dyDescent="0.3">
      <c r="A26">
        <v>60</v>
      </c>
      <c r="B26">
        <v>25</v>
      </c>
      <c r="C26">
        <v>1</v>
      </c>
      <c r="D26">
        <v>168</v>
      </c>
    </row>
    <row r="27" spans="1:4" x14ac:dyDescent="0.3">
      <c r="A27">
        <v>60</v>
      </c>
      <c r="B27">
        <v>25</v>
      </c>
      <c r="C27">
        <v>2</v>
      </c>
      <c r="D27">
        <v>176.4</v>
      </c>
    </row>
    <row r="28" spans="1:4" x14ac:dyDescent="0.3">
      <c r="A28">
        <v>60</v>
      </c>
      <c r="B28">
        <v>25</v>
      </c>
      <c r="C28">
        <v>3</v>
      </c>
      <c r="D28">
        <v>172.8</v>
      </c>
    </row>
    <row r="29" spans="1:4" x14ac:dyDescent="0.3">
      <c r="A29">
        <v>60</v>
      </c>
      <c r="B29">
        <v>25</v>
      </c>
      <c r="C29">
        <v>4</v>
      </c>
      <c r="D29">
        <v>170.4</v>
      </c>
    </row>
    <row r="30" spans="1:4" x14ac:dyDescent="0.3">
      <c r="A30">
        <v>60</v>
      </c>
      <c r="B30">
        <v>50</v>
      </c>
      <c r="C30">
        <v>1</v>
      </c>
      <c r="D30">
        <v>180</v>
      </c>
    </row>
    <row r="31" spans="1:4" x14ac:dyDescent="0.3">
      <c r="A31">
        <v>60</v>
      </c>
      <c r="B31">
        <v>50</v>
      </c>
      <c r="C31">
        <v>2</v>
      </c>
      <c r="D31">
        <v>183.6</v>
      </c>
    </row>
    <row r="32" spans="1:4" x14ac:dyDescent="0.3">
      <c r="A32">
        <v>60</v>
      </c>
      <c r="B32">
        <v>50</v>
      </c>
      <c r="C32">
        <v>3</v>
      </c>
      <c r="D32">
        <v>184.8</v>
      </c>
    </row>
    <row r="33" spans="1:4" x14ac:dyDescent="0.3">
      <c r="A33">
        <v>60</v>
      </c>
      <c r="B33">
        <v>50</v>
      </c>
      <c r="C33">
        <v>4</v>
      </c>
      <c r="D33">
        <v>182.4</v>
      </c>
    </row>
    <row r="34" spans="1:4" x14ac:dyDescent="0.3">
      <c r="A34">
        <v>60</v>
      </c>
      <c r="B34">
        <v>75</v>
      </c>
      <c r="C34">
        <v>1</v>
      </c>
      <c r="D34">
        <v>176</v>
      </c>
    </row>
    <row r="35" spans="1:4" x14ac:dyDescent="0.3">
      <c r="A35">
        <v>60</v>
      </c>
      <c r="B35">
        <v>75</v>
      </c>
      <c r="C35">
        <v>2</v>
      </c>
      <c r="D35">
        <v>183</v>
      </c>
    </row>
    <row r="36" spans="1:4" x14ac:dyDescent="0.3">
      <c r="A36">
        <v>60</v>
      </c>
      <c r="B36">
        <v>75</v>
      </c>
      <c r="C36">
        <v>3</v>
      </c>
      <c r="D36">
        <v>176.4</v>
      </c>
    </row>
    <row r="37" spans="1:4" x14ac:dyDescent="0.3">
      <c r="A37">
        <v>60</v>
      </c>
      <c r="B37">
        <v>75</v>
      </c>
      <c r="C37">
        <v>4</v>
      </c>
      <c r="D37">
        <v>180</v>
      </c>
    </row>
    <row r="38" spans="1:4" x14ac:dyDescent="0.3">
      <c r="A38">
        <v>60</v>
      </c>
      <c r="B38">
        <v>100</v>
      </c>
      <c r="C38">
        <v>1</v>
      </c>
      <c r="D38">
        <v>164</v>
      </c>
    </row>
    <row r="39" spans="1:4" x14ac:dyDescent="0.3">
      <c r="A39">
        <v>60</v>
      </c>
      <c r="B39">
        <v>100</v>
      </c>
      <c r="C39">
        <v>2</v>
      </c>
      <c r="D39">
        <v>166</v>
      </c>
    </row>
    <row r="40" spans="1:4" x14ac:dyDescent="0.3">
      <c r="A40">
        <v>60</v>
      </c>
      <c r="B40">
        <v>100</v>
      </c>
      <c r="C40">
        <v>3</v>
      </c>
      <c r="D40">
        <v>159</v>
      </c>
    </row>
    <row r="41" spans="1:4" x14ac:dyDescent="0.3">
      <c r="A41">
        <v>60</v>
      </c>
      <c r="B41">
        <v>100</v>
      </c>
      <c r="C41">
        <v>4</v>
      </c>
      <c r="D41">
        <v>161</v>
      </c>
    </row>
    <row r="42" spans="1:4" x14ac:dyDescent="0.3">
      <c r="A42">
        <v>75</v>
      </c>
      <c r="B42">
        <v>0</v>
      </c>
      <c r="C42">
        <v>1</v>
      </c>
      <c r="D42">
        <v>160</v>
      </c>
    </row>
    <row r="43" spans="1:4" x14ac:dyDescent="0.3">
      <c r="A43">
        <v>75</v>
      </c>
      <c r="B43">
        <v>0</v>
      </c>
      <c r="C43">
        <v>2</v>
      </c>
      <c r="D43">
        <v>165</v>
      </c>
    </row>
    <row r="44" spans="1:4" x14ac:dyDescent="0.3">
      <c r="A44">
        <v>75</v>
      </c>
      <c r="B44">
        <v>0</v>
      </c>
      <c r="C44">
        <v>3</v>
      </c>
      <c r="D44">
        <v>170</v>
      </c>
    </row>
    <row r="45" spans="1:4" x14ac:dyDescent="0.3">
      <c r="A45">
        <v>75</v>
      </c>
      <c r="B45">
        <v>0</v>
      </c>
      <c r="C45">
        <v>4</v>
      </c>
      <c r="D45">
        <v>165</v>
      </c>
    </row>
    <row r="46" spans="1:4" x14ac:dyDescent="0.3">
      <c r="A46">
        <v>75</v>
      </c>
      <c r="B46">
        <v>25</v>
      </c>
      <c r="C46">
        <v>1</v>
      </c>
      <c r="D46">
        <v>180</v>
      </c>
    </row>
    <row r="47" spans="1:4" x14ac:dyDescent="0.3">
      <c r="A47">
        <v>75</v>
      </c>
      <c r="B47">
        <v>25</v>
      </c>
      <c r="C47">
        <v>2</v>
      </c>
      <c r="D47">
        <v>185</v>
      </c>
    </row>
    <row r="48" spans="1:4" x14ac:dyDescent="0.3">
      <c r="A48">
        <v>75</v>
      </c>
      <c r="B48">
        <v>25</v>
      </c>
      <c r="C48">
        <v>3</v>
      </c>
      <c r="D48">
        <v>180</v>
      </c>
    </row>
    <row r="49" spans="1:4" x14ac:dyDescent="0.3">
      <c r="A49">
        <v>75</v>
      </c>
      <c r="B49">
        <v>25</v>
      </c>
      <c r="C49">
        <v>4</v>
      </c>
      <c r="D49">
        <v>190</v>
      </c>
    </row>
    <row r="50" spans="1:4" x14ac:dyDescent="0.3">
      <c r="A50">
        <v>75</v>
      </c>
      <c r="B50">
        <v>50</v>
      </c>
      <c r="C50">
        <v>1</v>
      </c>
      <c r="D50">
        <v>200</v>
      </c>
    </row>
    <row r="51" spans="1:4" x14ac:dyDescent="0.3">
      <c r="A51">
        <v>75</v>
      </c>
      <c r="B51">
        <v>50</v>
      </c>
      <c r="C51">
        <v>2</v>
      </c>
      <c r="D51">
        <v>210</v>
      </c>
    </row>
    <row r="52" spans="1:4" x14ac:dyDescent="0.3">
      <c r="A52">
        <v>75</v>
      </c>
      <c r="B52">
        <v>50</v>
      </c>
      <c r="C52">
        <v>3</v>
      </c>
      <c r="D52">
        <v>207</v>
      </c>
    </row>
    <row r="53" spans="1:4" x14ac:dyDescent="0.3">
      <c r="A53">
        <v>75</v>
      </c>
      <c r="B53">
        <v>50</v>
      </c>
      <c r="C53">
        <v>4</v>
      </c>
      <c r="D53">
        <v>216</v>
      </c>
    </row>
    <row r="54" spans="1:4" x14ac:dyDescent="0.3">
      <c r="A54">
        <v>75</v>
      </c>
      <c r="B54">
        <v>75</v>
      </c>
      <c r="C54">
        <v>1</v>
      </c>
      <c r="D54">
        <v>217</v>
      </c>
    </row>
    <row r="55" spans="1:4" x14ac:dyDescent="0.3">
      <c r="A55">
        <v>75</v>
      </c>
      <c r="B55">
        <v>75</v>
      </c>
      <c r="C55">
        <v>2</v>
      </c>
      <c r="D55">
        <v>214</v>
      </c>
    </row>
    <row r="56" spans="1:4" x14ac:dyDescent="0.3">
      <c r="A56">
        <v>75</v>
      </c>
      <c r="B56">
        <v>75</v>
      </c>
      <c r="C56">
        <v>3</v>
      </c>
      <c r="D56">
        <v>219</v>
      </c>
    </row>
    <row r="57" spans="1:4" x14ac:dyDescent="0.3">
      <c r="A57">
        <v>75</v>
      </c>
      <c r="B57">
        <v>75</v>
      </c>
      <c r="C57">
        <v>4</v>
      </c>
      <c r="D57">
        <v>225</v>
      </c>
    </row>
    <row r="58" spans="1:4" x14ac:dyDescent="0.3">
      <c r="A58">
        <v>75</v>
      </c>
      <c r="B58">
        <v>100</v>
      </c>
      <c r="C58">
        <v>1</v>
      </c>
      <c r="D58">
        <v>202</v>
      </c>
    </row>
    <row r="59" spans="1:4" x14ac:dyDescent="0.3">
      <c r="A59">
        <v>75</v>
      </c>
      <c r="B59">
        <v>100</v>
      </c>
      <c r="C59">
        <v>2</v>
      </c>
      <c r="D59">
        <v>205</v>
      </c>
    </row>
    <row r="60" spans="1:4" x14ac:dyDescent="0.3">
      <c r="A60">
        <v>75</v>
      </c>
      <c r="B60">
        <v>100</v>
      </c>
      <c r="C60">
        <v>3</v>
      </c>
      <c r="D60">
        <v>210</v>
      </c>
    </row>
    <row r="61" spans="1:4" x14ac:dyDescent="0.3">
      <c r="A61">
        <v>75</v>
      </c>
      <c r="B61">
        <v>100</v>
      </c>
      <c r="C61">
        <v>4</v>
      </c>
      <c r="D61">
        <v>208</v>
      </c>
    </row>
    <row r="62" spans="1:4" x14ac:dyDescent="0.3">
      <c r="A62">
        <v>90</v>
      </c>
      <c r="B62">
        <v>0</v>
      </c>
      <c r="C62">
        <v>1</v>
      </c>
      <c r="D62">
        <v>98.4</v>
      </c>
    </row>
    <row r="63" spans="1:4" x14ac:dyDescent="0.3">
      <c r="A63">
        <v>90</v>
      </c>
      <c r="B63">
        <v>0</v>
      </c>
      <c r="C63">
        <v>2</v>
      </c>
      <c r="D63">
        <v>102.5</v>
      </c>
    </row>
    <row r="64" spans="1:4" x14ac:dyDescent="0.3">
      <c r="A64">
        <v>90</v>
      </c>
      <c r="B64">
        <v>0</v>
      </c>
      <c r="C64">
        <v>3</v>
      </c>
      <c r="D64">
        <v>105.78</v>
      </c>
    </row>
    <row r="65" spans="1:4" x14ac:dyDescent="0.3">
      <c r="A65">
        <v>90</v>
      </c>
      <c r="B65">
        <v>0</v>
      </c>
      <c r="C65">
        <v>4</v>
      </c>
      <c r="D65">
        <v>106.6</v>
      </c>
    </row>
    <row r="66" spans="1:4" x14ac:dyDescent="0.3">
      <c r="A66">
        <v>90</v>
      </c>
      <c r="B66">
        <v>25</v>
      </c>
      <c r="C66">
        <v>1</v>
      </c>
      <c r="D66">
        <v>114.8</v>
      </c>
    </row>
    <row r="67" spans="1:4" x14ac:dyDescent="0.3">
      <c r="A67">
        <v>90</v>
      </c>
      <c r="B67">
        <v>25</v>
      </c>
      <c r="C67">
        <v>2</v>
      </c>
      <c r="D67">
        <v>120.54</v>
      </c>
    </row>
    <row r="68" spans="1:4" x14ac:dyDescent="0.3">
      <c r="A68">
        <v>90</v>
      </c>
      <c r="B68">
        <v>25</v>
      </c>
      <c r="C68">
        <v>3</v>
      </c>
      <c r="D68">
        <v>118.08</v>
      </c>
    </row>
    <row r="69" spans="1:4" x14ac:dyDescent="0.3">
      <c r="A69">
        <v>90</v>
      </c>
      <c r="B69">
        <v>25</v>
      </c>
      <c r="C69">
        <v>4</v>
      </c>
      <c r="D69">
        <v>116.44</v>
      </c>
    </row>
    <row r="70" spans="1:4" x14ac:dyDescent="0.3">
      <c r="A70">
        <v>90</v>
      </c>
      <c r="B70">
        <v>50</v>
      </c>
      <c r="C70">
        <v>1</v>
      </c>
      <c r="D70">
        <v>123</v>
      </c>
    </row>
    <row r="71" spans="1:4" x14ac:dyDescent="0.3">
      <c r="A71">
        <v>90</v>
      </c>
      <c r="B71">
        <v>50</v>
      </c>
      <c r="C71">
        <v>2</v>
      </c>
      <c r="D71">
        <v>125.46</v>
      </c>
    </row>
    <row r="72" spans="1:4" x14ac:dyDescent="0.3">
      <c r="A72">
        <v>90</v>
      </c>
      <c r="B72">
        <v>50</v>
      </c>
      <c r="C72">
        <v>3</v>
      </c>
      <c r="D72">
        <v>126.28</v>
      </c>
    </row>
    <row r="73" spans="1:4" x14ac:dyDescent="0.3">
      <c r="A73">
        <v>90</v>
      </c>
      <c r="B73">
        <v>50</v>
      </c>
      <c r="C73">
        <v>4</v>
      </c>
      <c r="D73">
        <v>124.64</v>
      </c>
    </row>
    <row r="74" spans="1:4" x14ac:dyDescent="0.3">
      <c r="A74">
        <v>90</v>
      </c>
      <c r="B74">
        <v>75</v>
      </c>
      <c r="C74">
        <v>1</v>
      </c>
      <c r="D74">
        <v>134.47999999999999</v>
      </c>
    </row>
    <row r="75" spans="1:4" x14ac:dyDescent="0.3">
      <c r="A75">
        <v>90</v>
      </c>
      <c r="B75">
        <v>75</v>
      </c>
      <c r="C75">
        <v>2</v>
      </c>
      <c r="D75">
        <v>126.94</v>
      </c>
    </row>
    <row r="76" spans="1:4" x14ac:dyDescent="0.3">
      <c r="A76">
        <v>90</v>
      </c>
      <c r="B76">
        <v>75</v>
      </c>
      <c r="C76">
        <v>3</v>
      </c>
      <c r="D76">
        <v>128.58000000000001</v>
      </c>
    </row>
    <row r="77" spans="1:4" x14ac:dyDescent="0.3">
      <c r="A77">
        <v>90</v>
      </c>
      <c r="B77">
        <v>75</v>
      </c>
      <c r="C77">
        <v>4</v>
      </c>
      <c r="D77">
        <v>125.3</v>
      </c>
    </row>
    <row r="78" spans="1:4" x14ac:dyDescent="0.3">
      <c r="A78">
        <v>90</v>
      </c>
      <c r="B78">
        <v>100</v>
      </c>
      <c r="C78">
        <v>1</v>
      </c>
      <c r="D78">
        <v>129.4</v>
      </c>
    </row>
    <row r="79" spans="1:4" x14ac:dyDescent="0.3">
      <c r="A79">
        <v>90</v>
      </c>
      <c r="B79">
        <v>100</v>
      </c>
      <c r="C79">
        <v>2</v>
      </c>
      <c r="D79">
        <v>112.68</v>
      </c>
    </row>
    <row r="80" spans="1:4" x14ac:dyDescent="0.3">
      <c r="A80">
        <v>90</v>
      </c>
      <c r="B80">
        <v>100</v>
      </c>
      <c r="C80">
        <v>3</v>
      </c>
      <c r="D80">
        <v>114.32</v>
      </c>
    </row>
    <row r="81" spans="1:4" x14ac:dyDescent="0.3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2F5A-3F66-4273-9DE4-F5C5AC06B66F}">
  <dimension ref="A1:J25"/>
  <sheetViews>
    <sheetView workbookViewId="0">
      <selection activeCell="G28" sqref="G28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0" x14ac:dyDescent="0.3">
      <c r="A1" s="16" t="s">
        <v>36</v>
      </c>
      <c r="B1" s="16" t="s">
        <v>30</v>
      </c>
      <c r="C1" s="16" t="s">
        <v>31</v>
      </c>
    </row>
    <row r="2" spans="1:10" x14ac:dyDescent="0.3">
      <c r="A2" s="16">
        <v>0</v>
      </c>
      <c r="B2" s="16" t="s">
        <v>116</v>
      </c>
      <c r="C2" s="77">
        <v>8.1999999999999993</v>
      </c>
      <c r="D2" s="4"/>
      <c r="E2" s="4"/>
      <c r="F2" s="4"/>
      <c r="G2" s="4"/>
      <c r="J2" s="4"/>
    </row>
    <row r="3" spans="1:10" x14ac:dyDescent="0.3">
      <c r="A3" s="16">
        <v>0</v>
      </c>
      <c r="B3" s="16" t="s">
        <v>117</v>
      </c>
      <c r="C3" s="77">
        <v>8.5</v>
      </c>
      <c r="D3" s="4"/>
      <c r="E3" s="4"/>
      <c r="F3" s="4"/>
      <c r="G3" s="4"/>
      <c r="J3" s="4"/>
    </row>
    <row r="4" spans="1:10" x14ac:dyDescent="0.3">
      <c r="A4" s="16">
        <v>0</v>
      </c>
      <c r="B4" s="16" t="s">
        <v>118</v>
      </c>
      <c r="C4" s="77">
        <v>8.8000000000000007</v>
      </c>
      <c r="D4" s="4"/>
      <c r="E4" s="4"/>
      <c r="F4" s="4"/>
      <c r="G4" s="4"/>
      <c r="J4" s="4"/>
    </row>
    <row r="5" spans="1:10" x14ac:dyDescent="0.3">
      <c r="A5" s="16">
        <v>0</v>
      </c>
      <c r="B5" s="16" t="s">
        <v>119</v>
      </c>
      <c r="C5" s="77">
        <v>8.7639999999999993</v>
      </c>
      <c r="D5" s="4"/>
      <c r="E5" s="4"/>
      <c r="F5" s="4"/>
      <c r="G5" s="4"/>
      <c r="J5" s="4"/>
    </row>
    <row r="6" spans="1:10" x14ac:dyDescent="0.3">
      <c r="A6" s="16">
        <v>25</v>
      </c>
      <c r="B6" s="16" t="s">
        <v>116</v>
      </c>
      <c r="C6" s="77">
        <v>8.9440000000000008</v>
      </c>
      <c r="D6" s="4"/>
      <c r="E6" s="4"/>
      <c r="F6" s="4"/>
      <c r="G6" s="4"/>
      <c r="J6" s="4"/>
    </row>
    <row r="7" spans="1:10" x14ac:dyDescent="0.3">
      <c r="A7" s="16">
        <v>25</v>
      </c>
      <c r="B7" s="16" t="s">
        <v>117</v>
      </c>
      <c r="C7" s="77">
        <v>8.8420000000000005</v>
      </c>
      <c r="D7" s="41"/>
      <c r="E7" s="41"/>
      <c r="F7" s="41"/>
      <c r="J7" s="4"/>
    </row>
    <row r="8" spans="1:10" x14ac:dyDescent="0.3">
      <c r="A8" s="16">
        <v>25</v>
      </c>
      <c r="B8" s="16" t="s">
        <v>118</v>
      </c>
      <c r="C8" s="77">
        <v>8.86</v>
      </c>
      <c r="D8" s="11"/>
      <c r="E8" s="41"/>
      <c r="F8" s="41"/>
      <c r="G8" s="4"/>
    </row>
    <row r="9" spans="1:10" x14ac:dyDescent="0.3">
      <c r="A9" s="16">
        <v>25</v>
      </c>
      <c r="B9" s="16" t="s">
        <v>119</v>
      </c>
      <c r="C9" s="77">
        <v>8.8360000000000003</v>
      </c>
      <c r="D9" s="41"/>
      <c r="E9" s="41"/>
      <c r="F9" s="41"/>
      <c r="G9" s="41"/>
      <c r="H9" s="41"/>
      <c r="I9" s="41"/>
      <c r="J9" s="41"/>
    </row>
    <row r="10" spans="1:10" x14ac:dyDescent="0.3">
      <c r="A10" s="16">
        <v>50</v>
      </c>
      <c r="B10" s="16" t="s">
        <v>116</v>
      </c>
      <c r="C10" s="77">
        <v>9.52</v>
      </c>
      <c r="D10" s="41"/>
      <c r="E10" s="41"/>
      <c r="F10" s="41"/>
      <c r="G10" s="41"/>
      <c r="H10" s="11"/>
      <c r="I10" s="17"/>
      <c r="J10" s="17"/>
    </row>
    <row r="11" spans="1:10" x14ac:dyDescent="0.3">
      <c r="A11" s="16">
        <v>50</v>
      </c>
      <c r="B11" s="16" t="s">
        <v>117</v>
      </c>
      <c r="C11" s="77">
        <v>9.64</v>
      </c>
      <c r="D11" s="41"/>
      <c r="E11" s="41"/>
      <c r="F11" s="41"/>
      <c r="G11" s="41"/>
      <c r="H11" s="11"/>
      <c r="I11" s="17"/>
      <c r="J11" s="17"/>
    </row>
    <row r="12" spans="1:10" x14ac:dyDescent="0.3">
      <c r="A12" s="16">
        <v>50</v>
      </c>
      <c r="B12" s="16" t="s">
        <v>118</v>
      </c>
      <c r="C12" s="77">
        <v>9.5559999999999992</v>
      </c>
      <c r="D12" s="18"/>
      <c r="E12" s="18"/>
      <c r="F12" s="73"/>
      <c r="G12" s="41"/>
      <c r="H12" s="11"/>
      <c r="I12" s="17"/>
      <c r="J12" s="17"/>
    </row>
    <row r="13" spans="1:10" x14ac:dyDescent="0.3">
      <c r="A13" s="16">
        <v>50</v>
      </c>
      <c r="B13" s="16" t="s">
        <v>119</v>
      </c>
      <c r="C13" s="77">
        <v>9.843</v>
      </c>
      <c r="D13" s="18"/>
      <c r="E13" s="18"/>
      <c r="F13" s="73"/>
      <c r="G13" s="41"/>
      <c r="H13" s="11"/>
      <c r="I13" s="17"/>
      <c r="J13" s="17"/>
    </row>
    <row r="14" spans="1:10" x14ac:dyDescent="0.3">
      <c r="A14" s="16">
        <v>75</v>
      </c>
      <c r="B14" s="16" t="s">
        <v>116</v>
      </c>
      <c r="C14" s="77">
        <v>10.006</v>
      </c>
      <c r="D14" s="18"/>
      <c r="E14" s="18"/>
      <c r="F14" s="73"/>
      <c r="G14" s="41"/>
      <c r="H14" s="11"/>
      <c r="I14" s="17"/>
      <c r="J14" s="17"/>
    </row>
    <row r="15" spans="1:10" x14ac:dyDescent="0.3">
      <c r="A15" s="16">
        <v>75</v>
      </c>
      <c r="B15" s="16" t="s">
        <v>117</v>
      </c>
      <c r="C15" s="77">
        <v>10.618</v>
      </c>
      <c r="D15" s="18"/>
      <c r="E15" s="18"/>
      <c r="F15" s="73"/>
      <c r="G15" s="41"/>
      <c r="H15" s="11"/>
      <c r="I15" s="17"/>
      <c r="J15" s="17"/>
    </row>
    <row r="16" spans="1:10" x14ac:dyDescent="0.3">
      <c r="A16" s="16">
        <v>75</v>
      </c>
      <c r="B16" s="16" t="s">
        <v>118</v>
      </c>
      <c r="C16" s="77">
        <v>10.24</v>
      </c>
      <c r="D16" s="18"/>
      <c r="E16" s="18"/>
      <c r="F16" s="74"/>
      <c r="G16" s="41"/>
      <c r="H16" s="11"/>
      <c r="I16" s="17"/>
      <c r="J16" s="17"/>
    </row>
    <row r="17" spans="1:10" x14ac:dyDescent="0.3">
      <c r="A17" s="16">
        <v>75</v>
      </c>
      <c r="B17" s="16" t="s">
        <v>119</v>
      </c>
      <c r="C17" s="77">
        <v>10.119999999999999</v>
      </c>
      <c r="D17" s="41"/>
      <c r="E17" s="41"/>
      <c r="F17" s="41"/>
      <c r="G17" s="41"/>
      <c r="H17" s="41"/>
      <c r="J17" s="24"/>
    </row>
    <row r="18" spans="1:10" x14ac:dyDescent="0.3">
      <c r="A18" s="16">
        <v>100</v>
      </c>
      <c r="B18" s="16" t="s">
        <v>116</v>
      </c>
      <c r="C18" s="77">
        <v>10.792</v>
      </c>
      <c r="D18" s="11"/>
      <c r="E18" s="41"/>
      <c r="F18" s="41"/>
      <c r="G18" s="41"/>
      <c r="H18" s="41"/>
      <c r="J18" s="17"/>
    </row>
    <row r="19" spans="1:10" x14ac:dyDescent="0.3">
      <c r="A19" s="16">
        <v>100</v>
      </c>
      <c r="B19" s="16" t="s">
        <v>117</v>
      </c>
      <c r="C19" s="77">
        <v>10.912000000000001</v>
      </c>
      <c r="D19" s="41"/>
      <c r="E19" s="41"/>
      <c r="F19" s="41"/>
      <c r="G19" s="41"/>
      <c r="H19" s="41"/>
      <c r="J19" s="17"/>
    </row>
    <row r="20" spans="1:10" x14ac:dyDescent="0.3">
      <c r="A20" s="16">
        <v>100</v>
      </c>
      <c r="B20" s="16" t="s">
        <v>118</v>
      </c>
      <c r="C20" s="77">
        <v>11.02</v>
      </c>
      <c r="G20" s="41"/>
      <c r="H20" s="41"/>
      <c r="J20" s="17"/>
    </row>
    <row r="21" spans="1:10" x14ac:dyDescent="0.3">
      <c r="A21" s="16">
        <v>100</v>
      </c>
      <c r="B21" s="16" t="s">
        <v>119</v>
      </c>
      <c r="C21" s="77">
        <v>10.9</v>
      </c>
      <c r="G21" s="41"/>
      <c r="H21" s="41"/>
      <c r="J21" s="17"/>
    </row>
    <row r="22" spans="1:10" x14ac:dyDescent="0.3">
      <c r="G22" s="41"/>
      <c r="H22" s="41"/>
      <c r="J22" s="17"/>
    </row>
    <row r="23" spans="1:10" x14ac:dyDescent="0.3">
      <c r="G23" s="41"/>
      <c r="H23" s="41"/>
      <c r="J23" s="17"/>
    </row>
    <row r="24" spans="1:10" x14ac:dyDescent="0.3">
      <c r="G24" s="41"/>
      <c r="H24" s="41"/>
      <c r="J24" s="17"/>
    </row>
    <row r="25" spans="1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sheetPr codeName="Planilha11"/>
  <dimension ref="A1:J781"/>
  <sheetViews>
    <sheetView zoomScale="130" zoomScaleNormal="130" workbookViewId="0">
      <selection activeCell="C20" sqref="C20"/>
    </sheetView>
  </sheetViews>
  <sheetFormatPr defaultColWidth="9.109375" defaultRowHeight="14.4" x14ac:dyDescent="0.3"/>
  <cols>
    <col min="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 x14ac:dyDescent="0.3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 x14ac:dyDescent="0.3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 x14ac:dyDescent="0.3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 x14ac:dyDescent="0.3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 x14ac:dyDescent="0.3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 x14ac:dyDescent="0.3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 x14ac:dyDescent="0.3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 x14ac:dyDescent="0.3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 x14ac:dyDescent="0.3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 x14ac:dyDescent="0.3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 x14ac:dyDescent="0.3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 x14ac:dyDescent="0.3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 x14ac:dyDescent="0.3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 x14ac:dyDescent="0.3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 x14ac:dyDescent="0.3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 x14ac:dyDescent="0.3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 x14ac:dyDescent="0.3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 x14ac:dyDescent="0.3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 x14ac:dyDescent="0.3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 x14ac:dyDescent="0.3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 x14ac:dyDescent="0.3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 x14ac:dyDescent="0.3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 x14ac:dyDescent="0.3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 x14ac:dyDescent="0.3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 x14ac:dyDescent="0.3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 x14ac:dyDescent="0.3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 x14ac:dyDescent="0.3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 x14ac:dyDescent="0.3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 x14ac:dyDescent="0.3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 x14ac:dyDescent="0.3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 x14ac:dyDescent="0.3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 x14ac:dyDescent="0.3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 x14ac:dyDescent="0.3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 x14ac:dyDescent="0.3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 x14ac:dyDescent="0.3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 x14ac:dyDescent="0.3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 x14ac:dyDescent="0.3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 x14ac:dyDescent="0.3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 x14ac:dyDescent="0.3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 x14ac:dyDescent="0.3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 x14ac:dyDescent="0.3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 x14ac:dyDescent="0.3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 x14ac:dyDescent="0.3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 x14ac:dyDescent="0.3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 x14ac:dyDescent="0.3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 x14ac:dyDescent="0.3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 x14ac:dyDescent="0.3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 x14ac:dyDescent="0.3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 x14ac:dyDescent="0.3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 x14ac:dyDescent="0.3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 x14ac:dyDescent="0.3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 x14ac:dyDescent="0.3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 x14ac:dyDescent="0.3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 x14ac:dyDescent="0.3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 x14ac:dyDescent="0.3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 x14ac:dyDescent="0.3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 x14ac:dyDescent="0.3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 x14ac:dyDescent="0.3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 x14ac:dyDescent="0.3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 x14ac:dyDescent="0.3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 x14ac:dyDescent="0.3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 x14ac:dyDescent="0.3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 x14ac:dyDescent="0.3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 x14ac:dyDescent="0.3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 x14ac:dyDescent="0.3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 x14ac:dyDescent="0.3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 x14ac:dyDescent="0.3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 x14ac:dyDescent="0.3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 x14ac:dyDescent="0.3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 x14ac:dyDescent="0.3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 x14ac:dyDescent="0.3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 x14ac:dyDescent="0.3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 x14ac:dyDescent="0.3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 x14ac:dyDescent="0.3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 x14ac:dyDescent="0.3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 x14ac:dyDescent="0.3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 x14ac:dyDescent="0.3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 x14ac:dyDescent="0.3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 x14ac:dyDescent="0.3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 x14ac:dyDescent="0.3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 x14ac:dyDescent="0.3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 x14ac:dyDescent="0.3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 x14ac:dyDescent="0.3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 x14ac:dyDescent="0.3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 x14ac:dyDescent="0.3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 x14ac:dyDescent="0.3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 x14ac:dyDescent="0.3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 x14ac:dyDescent="0.3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 x14ac:dyDescent="0.3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 x14ac:dyDescent="0.3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 x14ac:dyDescent="0.3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 x14ac:dyDescent="0.3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 x14ac:dyDescent="0.3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 x14ac:dyDescent="0.3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 x14ac:dyDescent="0.3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 x14ac:dyDescent="0.3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 x14ac:dyDescent="0.3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 x14ac:dyDescent="0.3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 x14ac:dyDescent="0.3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 x14ac:dyDescent="0.3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 x14ac:dyDescent="0.3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 x14ac:dyDescent="0.3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 x14ac:dyDescent="0.3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 x14ac:dyDescent="0.3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 x14ac:dyDescent="0.3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 x14ac:dyDescent="0.3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 x14ac:dyDescent="0.3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 x14ac:dyDescent="0.3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 x14ac:dyDescent="0.3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 x14ac:dyDescent="0.3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 x14ac:dyDescent="0.3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 x14ac:dyDescent="0.3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 x14ac:dyDescent="0.3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 x14ac:dyDescent="0.3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 x14ac:dyDescent="0.3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 x14ac:dyDescent="0.3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 x14ac:dyDescent="0.3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 x14ac:dyDescent="0.3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 x14ac:dyDescent="0.3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 x14ac:dyDescent="0.3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 x14ac:dyDescent="0.3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 x14ac:dyDescent="0.3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 x14ac:dyDescent="0.3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 x14ac:dyDescent="0.3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 x14ac:dyDescent="0.3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 x14ac:dyDescent="0.3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 x14ac:dyDescent="0.3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 x14ac:dyDescent="0.3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 x14ac:dyDescent="0.3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 x14ac:dyDescent="0.3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 x14ac:dyDescent="0.3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 x14ac:dyDescent="0.3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 x14ac:dyDescent="0.3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 x14ac:dyDescent="0.3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 x14ac:dyDescent="0.3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 x14ac:dyDescent="0.3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 x14ac:dyDescent="0.3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 x14ac:dyDescent="0.3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 x14ac:dyDescent="0.3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 x14ac:dyDescent="0.3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 x14ac:dyDescent="0.3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 x14ac:dyDescent="0.3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 x14ac:dyDescent="0.3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 x14ac:dyDescent="0.3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 x14ac:dyDescent="0.3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 x14ac:dyDescent="0.3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 x14ac:dyDescent="0.3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 x14ac:dyDescent="0.3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 x14ac:dyDescent="0.3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 x14ac:dyDescent="0.3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 x14ac:dyDescent="0.3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 x14ac:dyDescent="0.3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 x14ac:dyDescent="0.3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 x14ac:dyDescent="0.3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 x14ac:dyDescent="0.3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 x14ac:dyDescent="0.3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 x14ac:dyDescent="0.3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 x14ac:dyDescent="0.3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 x14ac:dyDescent="0.3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 x14ac:dyDescent="0.3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 x14ac:dyDescent="0.3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 x14ac:dyDescent="0.3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 x14ac:dyDescent="0.3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 x14ac:dyDescent="0.3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 x14ac:dyDescent="0.3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 x14ac:dyDescent="0.3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 x14ac:dyDescent="0.3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 x14ac:dyDescent="0.3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 x14ac:dyDescent="0.3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 x14ac:dyDescent="0.3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 x14ac:dyDescent="0.3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 x14ac:dyDescent="0.3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 x14ac:dyDescent="0.3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 x14ac:dyDescent="0.3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 x14ac:dyDescent="0.3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 x14ac:dyDescent="0.3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 x14ac:dyDescent="0.3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 x14ac:dyDescent="0.3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 x14ac:dyDescent="0.3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 x14ac:dyDescent="0.3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 x14ac:dyDescent="0.3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 x14ac:dyDescent="0.3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 x14ac:dyDescent="0.3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 x14ac:dyDescent="0.3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 x14ac:dyDescent="0.3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 x14ac:dyDescent="0.3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 x14ac:dyDescent="0.3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 x14ac:dyDescent="0.3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 x14ac:dyDescent="0.3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 x14ac:dyDescent="0.3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 x14ac:dyDescent="0.3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 x14ac:dyDescent="0.3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 x14ac:dyDescent="0.3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 x14ac:dyDescent="0.3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 x14ac:dyDescent="0.3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 x14ac:dyDescent="0.3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 x14ac:dyDescent="0.3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 x14ac:dyDescent="0.3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 x14ac:dyDescent="0.3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 x14ac:dyDescent="0.3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 x14ac:dyDescent="0.3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 x14ac:dyDescent="0.3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 x14ac:dyDescent="0.3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 x14ac:dyDescent="0.3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 x14ac:dyDescent="0.3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 x14ac:dyDescent="0.3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 x14ac:dyDescent="0.3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 x14ac:dyDescent="0.3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 x14ac:dyDescent="0.3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 x14ac:dyDescent="0.3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 x14ac:dyDescent="0.3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 x14ac:dyDescent="0.3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 x14ac:dyDescent="0.3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 x14ac:dyDescent="0.3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 x14ac:dyDescent="0.3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 x14ac:dyDescent="0.3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 x14ac:dyDescent="0.3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 x14ac:dyDescent="0.3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 x14ac:dyDescent="0.3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 x14ac:dyDescent="0.3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 x14ac:dyDescent="0.3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 x14ac:dyDescent="0.3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 x14ac:dyDescent="0.3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 x14ac:dyDescent="0.3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 x14ac:dyDescent="0.3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 x14ac:dyDescent="0.3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 x14ac:dyDescent="0.3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 x14ac:dyDescent="0.3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 x14ac:dyDescent="0.3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 x14ac:dyDescent="0.3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 x14ac:dyDescent="0.3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 x14ac:dyDescent="0.3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 x14ac:dyDescent="0.3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 x14ac:dyDescent="0.3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 x14ac:dyDescent="0.3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 x14ac:dyDescent="0.3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 x14ac:dyDescent="0.3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 x14ac:dyDescent="0.3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 x14ac:dyDescent="0.3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 x14ac:dyDescent="0.3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 x14ac:dyDescent="0.3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 x14ac:dyDescent="0.3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 x14ac:dyDescent="0.3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 x14ac:dyDescent="0.3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 x14ac:dyDescent="0.3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 x14ac:dyDescent="0.3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 x14ac:dyDescent="0.3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 x14ac:dyDescent="0.3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 x14ac:dyDescent="0.3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 x14ac:dyDescent="0.3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 x14ac:dyDescent="0.3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 x14ac:dyDescent="0.3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 x14ac:dyDescent="0.3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 x14ac:dyDescent="0.3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 x14ac:dyDescent="0.3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 x14ac:dyDescent="0.3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 x14ac:dyDescent="0.3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 x14ac:dyDescent="0.3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 x14ac:dyDescent="0.3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 x14ac:dyDescent="0.3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 x14ac:dyDescent="0.3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 x14ac:dyDescent="0.3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 x14ac:dyDescent="0.3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 x14ac:dyDescent="0.3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 x14ac:dyDescent="0.3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 x14ac:dyDescent="0.3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 x14ac:dyDescent="0.3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 x14ac:dyDescent="0.3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 x14ac:dyDescent="0.3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 x14ac:dyDescent="0.3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 x14ac:dyDescent="0.3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 x14ac:dyDescent="0.3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 x14ac:dyDescent="0.3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 x14ac:dyDescent="0.3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 x14ac:dyDescent="0.3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 x14ac:dyDescent="0.3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 x14ac:dyDescent="0.3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 x14ac:dyDescent="0.3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 x14ac:dyDescent="0.3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 x14ac:dyDescent="0.3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 x14ac:dyDescent="0.3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 x14ac:dyDescent="0.3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 x14ac:dyDescent="0.3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 x14ac:dyDescent="0.3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 x14ac:dyDescent="0.3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 x14ac:dyDescent="0.3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 x14ac:dyDescent="0.3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 x14ac:dyDescent="0.3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 x14ac:dyDescent="0.3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 x14ac:dyDescent="0.3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 x14ac:dyDescent="0.3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 x14ac:dyDescent="0.3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 x14ac:dyDescent="0.3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 x14ac:dyDescent="0.3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 x14ac:dyDescent="0.3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 x14ac:dyDescent="0.3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 x14ac:dyDescent="0.3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 x14ac:dyDescent="0.3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 x14ac:dyDescent="0.3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 x14ac:dyDescent="0.3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 x14ac:dyDescent="0.3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 x14ac:dyDescent="0.3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 x14ac:dyDescent="0.3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 x14ac:dyDescent="0.3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 x14ac:dyDescent="0.3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 x14ac:dyDescent="0.3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 x14ac:dyDescent="0.3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 x14ac:dyDescent="0.3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 x14ac:dyDescent="0.3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 x14ac:dyDescent="0.3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 x14ac:dyDescent="0.3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 x14ac:dyDescent="0.3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 x14ac:dyDescent="0.3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 x14ac:dyDescent="0.3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 x14ac:dyDescent="0.3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 x14ac:dyDescent="0.3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 x14ac:dyDescent="0.3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 x14ac:dyDescent="0.3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 x14ac:dyDescent="0.3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 x14ac:dyDescent="0.3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 x14ac:dyDescent="0.3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 x14ac:dyDescent="0.3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 x14ac:dyDescent="0.3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 x14ac:dyDescent="0.3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 x14ac:dyDescent="0.3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 x14ac:dyDescent="0.3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 x14ac:dyDescent="0.3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 x14ac:dyDescent="0.3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 x14ac:dyDescent="0.3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 x14ac:dyDescent="0.3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 x14ac:dyDescent="0.3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 x14ac:dyDescent="0.3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 x14ac:dyDescent="0.3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 x14ac:dyDescent="0.3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 x14ac:dyDescent="0.3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 x14ac:dyDescent="0.3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 x14ac:dyDescent="0.3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 x14ac:dyDescent="0.3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 x14ac:dyDescent="0.3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 x14ac:dyDescent="0.3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 x14ac:dyDescent="0.3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 x14ac:dyDescent="0.3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 x14ac:dyDescent="0.3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 x14ac:dyDescent="0.3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 x14ac:dyDescent="0.3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 x14ac:dyDescent="0.3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 x14ac:dyDescent="0.3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 x14ac:dyDescent="0.3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 x14ac:dyDescent="0.3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 x14ac:dyDescent="0.3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 x14ac:dyDescent="0.3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 x14ac:dyDescent="0.3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 x14ac:dyDescent="0.3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 x14ac:dyDescent="0.3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 x14ac:dyDescent="0.3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 x14ac:dyDescent="0.3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 x14ac:dyDescent="0.3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 x14ac:dyDescent="0.3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 x14ac:dyDescent="0.3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 x14ac:dyDescent="0.3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 x14ac:dyDescent="0.3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 x14ac:dyDescent="0.3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 x14ac:dyDescent="0.3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 x14ac:dyDescent="0.3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 x14ac:dyDescent="0.3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 x14ac:dyDescent="0.3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 x14ac:dyDescent="0.3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 x14ac:dyDescent="0.3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 x14ac:dyDescent="0.3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 x14ac:dyDescent="0.3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 x14ac:dyDescent="0.3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 x14ac:dyDescent="0.3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 x14ac:dyDescent="0.3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 x14ac:dyDescent="0.3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 x14ac:dyDescent="0.3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 x14ac:dyDescent="0.3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 x14ac:dyDescent="0.3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 x14ac:dyDescent="0.3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 x14ac:dyDescent="0.3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 x14ac:dyDescent="0.3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 x14ac:dyDescent="0.3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 x14ac:dyDescent="0.3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 x14ac:dyDescent="0.3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 x14ac:dyDescent="0.3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 x14ac:dyDescent="0.3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 x14ac:dyDescent="0.3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 x14ac:dyDescent="0.3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 x14ac:dyDescent="0.3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 x14ac:dyDescent="0.3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 x14ac:dyDescent="0.3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 x14ac:dyDescent="0.3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 x14ac:dyDescent="0.3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 x14ac:dyDescent="0.3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 x14ac:dyDescent="0.3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 x14ac:dyDescent="0.3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 x14ac:dyDescent="0.3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 x14ac:dyDescent="0.3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 x14ac:dyDescent="0.3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 x14ac:dyDescent="0.3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 x14ac:dyDescent="0.3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 x14ac:dyDescent="0.3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 x14ac:dyDescent="0.3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 x14ac:dyDescent="0.3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 x14ac:dyDescent="0.3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 x14ac:dyDescent="0.3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 x14ac:dyDescent="0.3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 x14ac:dyDescent="0.3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 x14ac:dyDescent="0.3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 x14ac:dyDescent="0.3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 x14ac:dyDescent="0.3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 x14ac:dyDescent="0.3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 x14ac:dyDescent="0.3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 x14ac:dyDescent="0.3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 x14ac:dyDescent="0.3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 x14ac:dyDescent="0.3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 x14ac:dyDescent="0.3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 x14ac:dyDescent="0.3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 x14ac:dyDescent="0.3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 x14ac:dyDescent="0.3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 x14ac:dyDescent="0.3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 x14ac:dyDescent="0.3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 x14ac:dyDescent="0.3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 x14ac:dyDescent="0.3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 x14ac:dyDescent="0.3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 x14ac:dyDescent="0.3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 x14ac:dyDescent="0.3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 x14ac:dyDescent="0.3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 x14ac:dyDescent="0.3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 x14ac:dyDescent="0.3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 x14ac:dyDescent="0.3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 x14ac:dyDescent="0.3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 x14ac:dyDescent="0.3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 x14ac:dyDescent="0.3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 x14ac:dyDescent="0.3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 x14ac:dyDescent="0.3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 x14ac:dyDescent="0.3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 x14ac:dyDescent="0.3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 x14ac:dyDescent="0.3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 x14ac:dyDescent="0.3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 x14ac:dyDescent="0.3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 x14ac:dyDescent="0.3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 x14ac:dyDescent="0.3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 x14ac:dyDescent="0.3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 x14ac:dyDescent="0.3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 x14ac:dyDescent="0.3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 x14ac:dyDescent="0.3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 x14ac:dyDescent="0.3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 x14ac:dyDescent="0.3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 x14ac:dyDescent="0.3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 x14ac:dyDescent="0.3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 x14ac:dyDescent="0.3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 x14ac:dyDescent="0.3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 x14ac:dyDescent="0.3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 x14ac:dyDescent="0.3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 x14ac:dyDescent="0.3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 x14ac:dyDescent="0.3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 x14ac:dyDescent="0.3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 x14ac:dyDescent="0.3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 x14ac:dyDescent="0.3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 x14ac:dyDescent="0.3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 x14ac:dyDescent="0.3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 x14ac:dyDescent="0.3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 x14ac:dyDescent="0.3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 x14ac:dyDescent="0.3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 x14ac:dyDescent="0.3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 x14ac:dyDescent="0.3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 x14ac:dyDescent="0.3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 x14ac:dyDescent="0.3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 x14ac:dyDescent="0.3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 x14ac:dyDescent="0.3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 x14ac:dyDescent="0.3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 x14ac:dyDescent="0.3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 x14ac:dyDescent="0.3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 x14ac:dyDescent="0.3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 x14ac:dyDescent="0.3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 x14ac:dyDescent="0.3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 x14ac:dyDescent="0.3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 x14ac:dyDescent="0.3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 x14ac:dyDescent="0.3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 x14ac:dyDescent="0.3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 x14ac:dyDescent="0.3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 x14ac:dyDescent="0.3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 x14ac:dyDescent="0.3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 x14ac:dyDescent="0.3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 x14ac:dyDescent="0.3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 x14ac:dyDescent="0.3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 x14ac:dyDescent="0.3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 x14ac:dyDescent="0.3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 x14ac:dyDescent="0.3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 x14ac:dyDescent="0.3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 x14ac:dyDescent="0.3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 x14ac:dyDescent="0.3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 x14ac:dyDescent="0.3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 x14ac:dyDescent="0.3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 x14ac:dyDescent="0.3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 x14ac:dyDescent="0.3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 x14ac:dyDescent="0.3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 x14ac:dyDescent="0.3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 x14ac:dyDescent="0.3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 x14ac:dyDescent="0.3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 x14ac:dyDescent="0.3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 x14ac:dyDescent="0.3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 x14ac:dyDescent="0.3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 x14ac:dyDescent="0.3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 x14ac:dyDescent="0.3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 x14ac:dyDescent="0.3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 x14ac:dyDescent="0.3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 x14ac:dyDescent="0.3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 x14ac:dyDescent="0.3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 x14ac:dyDescent="0.3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 x14ac:dyDescent="0.3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 x14ac:dyDescent="0.3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 x14ac:dyDescent="0.3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 x14ac:dyDescent="0.3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 x14ac:dyDescent="0.3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 x14ac:dyDescent="0.3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 x14ac:dyDescent="0.3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 x14ac:dyDescent="0.3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 x14ac:dyDescent="0.3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 x14ac:dyDescent="0.3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 x14ac:dyDescent="0.3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 x14ac:dyDescent="0.3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 x14ac:dyDescent="0.3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 x14ac:dyDescent="0.3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 x14ac:dyDescent="0.3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 x14ac:dyDescent="0.3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 x14ac:dyDescent="0.3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 x14ac:dyDescent="0.3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 x14ac:dyDescent="0.3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 x14ac:dyDescent="0.3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 x14ac:dyDescent="0.3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 x14ac:dyDescent="0.3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 x14ac:dyDescent="0.3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 x14ac:dyDescent="0.3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 x14ac:dyDescent="0.3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 x14ac:dyDescent="0.3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 x14ac:dyDescent="0.3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 x14ac:dyDescent="0.3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 x14ac:dyDescent="0.3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 x14ac:dyDescent="0.3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 x14ac:dyDescent="0.3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 x14ac:dyDescent="0.3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 x14ac:dyDescent="0.3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 x14ac:dyDescent="0.3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 x14ac:dyDescent="0.3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 x14ac:dyDescent="0.3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 x14ac:dyDescent="0.3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 x14ac:dyDescent="0.3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 x14ac:dyDescent="0.3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 x14ac:dyDescent="0.3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 x14ac:dyDescent="0.3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 x14ac:dyDescent="0.3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 x14ac:dyDescent="0.3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 x14ac:dyDescent="0.3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 x14ac:dyDescent="0.3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 x14ac:dyDescent="0.3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 x14ac:dyDescent="0.3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 x14ac:dyDescent="0.3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 x14ac:dyDescent="0.3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 x14ac:dyDescent="0.3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 x14ac:dyDescent="0.3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 x14ac:dyDescent="0.3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 x14ac:dyDescent="0.3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 x14ac:dyDescent="0.3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 x14ac:dyDescent="0.3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 x14ac:dyDescent="0.3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 x14ac:dyDescent="0.3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 x14ac:dyDescent="0.3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 x14ac:dyDescent="0.3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 x14ac:dyDescent="0.3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 x14ac:dyDescent="0.3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 x14ac:dyDescent="0.3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 x14ac:dyDescent="0.3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 x14ac:dyDescent="0.3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 x14ac:dyDescent="0.3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 x14ac:dyDescent="0.3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 x14ac:dyDescent="0.3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 x14ac:dyDescent="0.3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 x14ac:dyDescent="0.3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 x14ac:dyDescent="0.3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 x14ac:dyDescent="0.3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 x14ac:dyDescent="0.3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 x14ac:dyDescent="0.3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 x14ac:dyDescent="0.3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 x14ac:dyDescent="0.3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 x14ac:dyDescent="0.3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 x14ac:dyDescent="0.3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 x14ac:dyDescent="0.3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 x14ac:dyDescent="0.3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 x14ac:dyDescent="0.3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 x14ac:dyDescent="0.3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 x14ac:dyDescent="0.3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 x14ac:dyDescent="0.3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 x14ac:dyDescent="0.3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 x14ac:dyDescent="0.3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 x14ac:dyDescent="0.3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 x14ac:dyDescent="0.3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 x14ac:dyDescent="0.3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 x14ac:dyDescent="0.3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 x14ac:dyDescent="0.3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 x14ac:dyDescent="0.3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 x14ac:dyDescent="0.3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 x14ac:dyDescent="0.3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 x14ac:dyDescent="0.3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 x14ac:dyDescent="0.3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 x14ac:dyDescent="0.3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 x14ac:dyDescent="0.3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 x14ac:dyDescent="0.3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 x14ac:dyDescent="0.3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 x14ac:dyDescent="0.3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 x14ac:dyDescent="0.3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 x14ac:dyDescent="0.3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 x14ac:dyDescent="0.3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 x14ac:dyDescent="0.3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 x14ac:dyDescent="0.3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 x14ac:dyDescent="0.3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 x14ac:dyDescent="0.3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 x14ac:dyDescent="0.3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 x14ac:dyDescent="0.3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 x14ac:dyDescent="0.3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 x14ac:dyDescent="0.3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 x14ac:dyDescent="0.3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 x14ac:dyDescent="0.3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 x14ac:dyDescent="0.3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 x14ac:dyDescent="0.3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 x14ac:dyDescent="0.3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 x14ac:dyDescent="0.3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 x14ac:dyDescent="0.3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 x14ac:dyDescent="0.3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 x14ac:dyDescent="0.3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 x14ac:dyDescent="0.3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 x14ac:dyDescent="0.3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 x14ac:dyDescent="0.3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 x14ac:dyDescent="0.3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 x14ac:dyDescent="0.3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 x14ac:dyDescent="0.3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 x14ac:dyDescent="0.3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 x14ac:dyDescent="0.3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 x14ac:dyDescent="0.3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 x14ac:dyDescent="0.3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 x14ac:dyDescent="0.3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 x14ac:dyDescent="0.3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 x14ac:dyDescent="0.3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 x14ac:dyDescent="0.3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 x14ac:dyDescent="0.3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 x14ac:dyDescent="0.3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 x14ac:dyDescent="0.3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 x14ac:dyDescent="0.3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 x14ac:dyDescent="0.3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 x14ac:dyDescent="0.3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 x14ac:dyDescent="0.3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 x14ac:dyDescent="0.3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 x14ac:dyDescent="0.3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 x14ac:dyDescent="0.3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 x14ac:dyDescent="0.3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 x14ac:dyDescent="0.3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 x14ac:dyDescent="0.3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 x14ac:dyDescent="0.3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 x14ac:dyDescent="0.3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 x14ac:dyDescent="0.3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 x14ac:dyDescent="0.3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 x14ac:dyDescent="0.3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 x14ac:dyDescent="0.3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 x14ac:dyDescent="0.3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 x14ac:dyDescent="0.3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 x14ac:dyDescent="0.3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 x14ac:dyDescent="0.3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 x14ac:dyDescent="0.3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 x14ac:dyDescent="0.3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 x14ac:dyDescent="0.3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 x14ac:dyDescent="0.3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 x14ac:dyDescent="0.3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 x14ac:dyDescent="0.3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 x14ac:dyDescent="0.3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 x14ac:dyDescent="0.3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 x14ac:dyDescent="0.3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 x14ac:dyDescent="0.3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 x14ac:dyDescent="0.3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 x14ac:dyDescent="0.3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 x14ac:dyDescent="0.3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 x14ac:dyDescent="0.3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 x14ac:dyDescent="0.3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 x14ac:dyDescent="0.3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 x14ac:dyDescent="0.3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 x14ac:dyDescent="0.3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 x14ac:dyDescent="0.3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 x14ac:dyDescent="0.3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 x14ac:dyDescent="0.3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 x14ac:dyDescent="0.3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 x14ac:dyDescent="0.3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 x14ac:dyDescent="0.3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 x14ac:dyDescent="0.3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 x14ac:dyDescent="0.3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 x14ac:dyDescent="0.3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 x14ac:dyDescent="0.3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 x14ac:dyDescent="0.3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 x14ac:dyDescent="0.3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 x14ac:dyDescent="0.3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 x14ac:dyDescent="0.3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 x14ac:dyDescent="0.3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 x14ac:dyDescent="0.3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 x14ac:dyDescent="0.3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 x14ac:dyDescent="0.3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 x14ac:dyDescent="0.3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 x14ac:dyDescent="0.3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 x14ac:dyDescent="0.3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 x14ac:dyDescent="0.3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 x14ac:dyDescent="0.3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 x14ac:dyDescent="0.3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 x14ac:dyDescent="0.3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 x14ac:dyDescent="0.3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 x14ac:dyDescent="0.3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 x14ac:dyDescent="0.3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 x14ac:dyDescent="0.3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 x14ac:dyDescent="0.3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 x14ac:dyDescent="0.3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 x14ac:dyDescent="0.3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 x14ac:dyDescent="0.3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 x14ac:dyDescent="0.3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 x14ac:dyDescent="0.3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 x14ac:dyDescent="0.3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 x14ac:dyDescent="0.3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 x14ac:dyDescent="0.3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 x14ac:dyDescent="0.3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 x14ac:dyDescent="0.3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 x14ac:dyDescent="0.3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 x14ac:dyDescent="0.3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 x14ac:dyDescent="0.3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 x14ac:dyDescent="0.3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 x14ac:dyDescent="0.3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 x14ac:dyDescent="0.3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 x14ac:dyDescent="0.3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 x14ac:dyDescent="0.3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 x14ac:dyDescent="0.3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 x14ac:dyDescent="0.3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 x14ac:dyDescent="0.3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 x14ac:dyDescent="0.3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 x14ac:dyDescent="0.3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 x14ac:dyDescent="0.3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 x14ac:dyDescent="0.3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 x14ac:dyDescent="0.3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 x14ac:dyDescent="0.3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 x14ac:dyDescent="0.3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 x14ac:dyDescent="0.3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 x14ac:dyDescent="0.3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 x14ac:dyDescent="0.3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 x14ac:dyDescent="0.3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 x14ac:dyDescent="0.3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 x14ac:dyDescent="0.3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 x14ac:dyDescent="0.3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 x14ac:dyDescent="0.3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 x14ac:dyDescent="0.3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 x14ac:dyDescent="0.3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 x14ac:dyDescent="0.3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 x14ac:dyDescent="0.3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 x14ac:dyDescent="0.3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 x14ac:dyDescent="0.3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 x14ac:dyDescent="0.3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 x14ac:dyDescent="0.3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 x14ac:dyDescent="0.3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 x14ac:dyDescent="0.3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 x14ac:dyDescent="0.3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 x14ac:dyDescent="0.3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 x14ac:dyDescent="0.3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 x14ac:dyDescent="0.3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 x14ac:dyDescent="0.3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 x14ac:dyDescent="0.3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 x14ac:dyDescent="0.3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 x14ac:dyDescent="0.3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 x14ac:dyDescent="0.3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 x14ac:dyDescent="0.3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 x14ac:dyDescent="0.3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 x14ac:dyDescent="0.3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 x14ac:dyDescent="0.3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 x14ac:dyDescent="0.3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 x14ac:dyDescent="0.3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 x14ac:dyDescent="0.3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 x14ac:dyDescent="0.3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 x14ac:dyDescent="0.3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6F4B-CCAE-4AAF-AE2E-C9668BE505A2}">
  <dimension ref="A1:O25"/>
  <sheetViews>
    <sheetView workbookViewId="0">
      <selection activeCell="G2" sqref="G2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5" x14ac:dyDescent="0.3">
      <c r="B1" t="s">
        <v>36</v>
      </c>
      <c r="C1" t="s">
        <v>116</v>
      </c>
      <c r="D1" t="s">
        <v>117</v>
      </c>
      <c r="E1" t="s">
        <v>118</v>
      </c>
      <c r="F1" t="s">
        <v>119</v>
      </c>
      <c r="G1" t="s">
        <v>165</v>
      </c>
      <c r="H1" t="s">
        <v>166</v>
      </c>
      <c r="I1" t="s">
        <v>167</v>
      </c>
      <c r="J1" t="s">
        <v>168</v>
      </c>
      <c r="L1" t="s">
        <v>148</v>
      </c>
      <c r="M1">
        <f>H7-(B7*G7)/5</f>
        <v>605.55000000000291</v>
      </c>
      <c r="N1" t="s">
        <v>149</v>
      </c>
      <c r="O1" t="s">
        <v>150</v>
      </c>
    </row>
    <row r="2" spans="1:15" x14ac:dyDescent="0.3">
      <c r="B2">
        <v>0</v>
      </c>
      <c r="C2" s="17">
        <v>8.1999999999999993</v>
      </c>
      <c r="D2" s="17">
        <v>8.5</v>
      </c>
      <c r="E2" s="17">
        <v>8.8000000000000007</v>
      </c>
      <c r="F2" s="17">
        <v>8.7639999999999993</v>
      </c>
      <c r="G2" s="4">
        <f>SUM(C2:F2)</f>
        <v>34.263999999999996</v>
      </c>
      <c r="H2">
        <f>G2*B2</f>
        <v>0</v>
      </c>
      <c r="I2">
        <f>B2^2</f>
        <v>0</v>
      </c>
      <c r="J2" s="4">
        <f>G2^2</f>
        <v>1174.0216959999998</v>
      </c>
      <c r="L2" t="s">
        <v>151</v>
      </c>
      <c r="M2">
        <f>4*(I7-(B7^2)/5 )</f>
        <v>25000</v>
      </c>
    </row>
    <row r="3" spans="1:15" x14ac:dyDescent="0.3">
      <c r="B3">
        <v>25</v>
      </c>
      <c r="C3" s="17">
        <v>8.9440000000000008</v>
      </c>
      <c r="D3" s="17">
        <v>8.8420000000000005</v>
      </c>
      <c r="E3" s="17">
        <v>8.86</v>
      </c>
      <c r="F3" s="17">
        <v>8.8360000000000003</v>
      </c>
      <c r="G3" s="4">
        <f t="shared" ref="G3:G6" si="0">SUM(C3:F3)</f>
        <v>35.481999999999999</v>
      </c>
      <c r="H3">
        <f t="shared" ref="H3:H6" si="1">G3*B3</f>
        <v>887.05</v>
      </c>
      <c r="I3">
        <f t="shared" ref="I3:I6" si="2">B3^2</f>
        <v>625</v>
      </c>
      <c r="J3" s="4">
        <f t="shared" ref="J3:J6" si="3">G3^2</f>
        <v>1258.9723239999998</v>
      </c>
      <c r="L3" t="s">
        <v>152</v>
      </c>
      <c r="M3">
        <f>J7-(G7^2)/5</f>
        <v>59.447019200002615</v>
      </c>
    </row>
    <row r="4" spans="1:15" x14ac:dyDescent="0.3">
      <c r="B4">
        <v>50</v>
      </c>
      <c r="C4" s="17">
        <v>9.52</v>
      </c>
      <c r="D4" s="17">
        <v>9.64</v>
      </c>
      <c r="E4" s="17">
        <v>9.5559999999999992</v>
      </c>
      <c r="F4" s="17">
        <v>9.843</v>
      </c>
      <c r="G4" s="4">
        <f t="shared" si="0"/>
        <v>38.558999999999997</v>
      </c>
      <c r="H4">
        <f t="shared" si="1"/>
        <v>1927.9499999999998</v>
      </c>
      <c r="I4">
        <f t="shared" si="2"/>
        <v>2500</v>
      </c>
      <c r="J4" s="4">
        <f t="shared" si="3"/>
        <v>1486.7964809999999</v>
      </c>
      <c r="L4" t="s">
        <v>153</v>
      </c>
      <c r="M4">
        <f>M1/M2</f>
        <v>2.4222000000000115E-2</v>
      </c>
    </row>
    <row r="5" spans="1:15" x14ac:dyDescent="0.3">
      <c r="B5">
        <v>75</v>
      </c>
      <c r="C5" s="17">
        <v>10.006</v>
      </c>
      <c r="D5" s="17">
        <v>10.618</v>
      </c>
      <c r="E5" s="17">
        <v>10.24</v>
      </c>
      <c r="F5" s="17">
        <v>10.119999999999999</v>
      </c>
      <c r="G5" s="4">
        <f t="shared" si="0"/>
        <v>40.984000000000002</v>
      </c>
      <c r="H5">
        <f t="shared" si="1"/>
        <v>3073.8</v>
      </c>
      <c r="I5">
        <f t="shared" si="2"/>
        <v>5625</v>
      </c>
      <c r="J5" s="4">
        <f t="shared" si="3"/>
        <v>1679.6882560000001</v>
      </c>
      <c r="L5" t="s">
        <v>154</v>
      </c>
      <c r="M5">
        <f>G8-M4*B8</f>
        <v>8.4345499999999962</v>
      </c>
    </row>
    <row r="6" spans="1:15" x14ac:dyDescent="0.3">
      <c r="B6">
        <v>100</v>
      </c>
      <c r="C6" s="17">
        <v>10.792</v>
      </c>
      <c r="D6" s="17">
        <v>10.912000000000001</v>
      </c>
      <c r="E6" s="17">
        <v>11.02</v>
      </c>
      <c r="F6" s="17">
        <v>10.9</v>
      </c>
      <c r="G6" s="4">
        <f t="shared" si="0"/>
        <v>43.624000000000002</v>
      </c>
      <c r="H6">
        <f t="shared" si="1"/>
        <v>4362.4000000000005</v>
      </c>
      <c r="I6">
        <f t="shared" si="2"/>
        <v>10000</v>
      </c>
      <c r="J6" s="4">
        <f t="shared" si="3"/>
        <v>1903.0533760000003</v>
      </c>
      <c r="L6" t="s">
        <v>155</v>
      </c>
      <c r="M6">
        <f>(J7-G7^2/5)/4</f>
        <v>14.861754800000654</v>
      </c>
    </row>
    <row r="7" spans="1:15" x14ac:dyDescent="0.3">
      <c r="A7" t="s">
        <v>158</v>
      </c>
      <c r="B7">
        <f>SUM(B2:B6)</f>
        <v>250</v>
      </c>
      <c r="C7" s="41"/>
      <c r="D7" s="41"/>
      <c r="E7" s="41"/>
      <c r="F7" s="41"/>
      <c r="G7">
        <f>SUM(G2:G6)</f>
        <v>192.91299999999998</v>
      </c>
      <c r="H7">
        <f>SUM(H2:H6)</f>
        <v>10251.200000000001</v>
      </c>
      <c r="I7">
        <f>SUM(I2:I6)</f>
        <v>18750</v>
      </c>
      <c r="J7" s="4">
        <f>SUM(J2:J6)</f>
        <v>7502.5321330000006</v>
      </c>
      <c r="L7" t="s">
        <v>156</v>
      </c>
      <c r="M7">
        <f>M1^2/M2</f>
        <v>14.667632100000141</v>
      </c>
    </row>
    <row r="8" spans="1:15" x14ac:dyDescent="0.3">
      <c r="A8" t="s">
        <v>160</v>
      </c>
      <c r="B8">
        <f>AVERAGE(B2:B6)</f>
        <v>50</v>
      </c>
      <c r="C8" s="41"/>
      <c r="D8" s="11"/>
      <c r="E8" s="41"/>
      <c r="F8" s="41"/>
      <c r="G8" s="4">
        <f>AVERAGE(C2:F6)</f>
        <v>9.6456500000000016</v>
      </c>
      <c r="L8" t="s">
        <v>157</v>
      </c>
      <c r="M8">
        <f>M6-M7</f>
        <v>0.19412270000051279</v>
      </c>
    </row>
    <row r="9" spans="1:15" x14ac:dyDescent="0.3">
      <c r="C9" s="41"/>
      <c r="D9" s="41"/>
      <c r="E9" s="41"/>
      <c r="F9" s="41"/>
      <c r="G9" s="41"/>
      <c r="H9" s="41"/>
      <c r="I9" s="41"/>
      <c r="J9" s="41"/>
      <c r="L9" t="s">
        <v>159</v>
      </c>
      <c r="M9">
        <f>M7/M6</f>
        <v>0.98693810370222879</v>
      </c>
    </row>
    <row r="10" spans="1:15" x14ac:dyDescent="0.3">
      <c r="C10" s="41"/>
      <c r="D10" s="41"/>
      <c r="E10" s="41"/>
      <c r="F10" s="41"/>
      <c r="G10" s="41"/>
      <c r="H10" s="11"/>
      <c r="I10" s="17"/>
      <c r="J10" s="17"/>
    </row>
    <row r="11" spans="1:15" x14ac:dyDescent="0.3">
      <c r="A11" t="s">
        <v>58</v>
      </c>
      <c r="B11" t="s">
        <v>59</v>
      </c>
      <c r="C11" s="41" t="s">
        <v>60</v>
      </c>
      <c r="D11" s="41" t="s">
        <v>61</v>
      </c>
      <c r="E11" s="41" t="s">
        <v>64</v>
      </c>
      <c r="F11" s="41" t="s">
        <v>169</v>
      </c>
      <c r="G11" s="41"/>
      <c r="H11" s="11"/>
      <c r="I11" s="17"/>
      <c r="J11" s="17"/>
    </row>
    <row r="12" spans="1:15" x14ac:dyDescent="0.3">
      <c r="A12" t="s">
        <v>30</v>
      </c>
      <c r="B12">
        <v>3</v>
      </c>
      <c r="C12" s="18">
        <v>0.156828150000002</v>
      </c>
      <c r="D12" s="18">
        <v>5.2276050000000601E-2</v>
      </c>
      <c r="E12" s="18">
        <v>1.63539994932005</v>
      </c>
      <c r="F12" s="73">
        <v>0.233347631828799</v>
      </c>
      <c r="G12" s="41"/>
      <c r="H12" s="11"/>
      <c r="I12" s="17"/>
      <c r="J12" s="17"/>
    </row>
    <row r="13" spans="1:15" x14ac:dyDescent="0.3">
      <c r="A13" t="s">
        <v>36</v>
      </c>
      <c r="B13">
        <v>4</v>
      </c>
      <c r="C13" s="18">
        <v>14.8617548</v>
      </c>
      <c r="D13" s="18">
        <v>3.7154387</v>
      </c>
      <c r="E13" s="18">
        <v>116.233500076645</v>
      </c>
      <c r="F13" s="73">
        <v>1.73766959711771E-9</v>
      </c>
      <c r="G13" s="41"/>
      <c r="H13" s="11"/>
      <c r="I13" s="17"/>
      <c r="J13" s="17"/>
    </row>
    <row r="14" spans="1:15" x14ac:dyDescent="0.3">
      <c r="A14" t="s">
        <v>170</v>
      </c>
      <c r="B14">
        <v>1</v>
      </c>
      <c r="C14" s="18">
        <v>14.667632100000001</v>
      </c>
      <c r="D14" s="18">
        <f>C14/B14</f>
        <v>14.667632100000001</v>
      </c>
      <c r="E14" s="18">
        <f>D14/D16</f>
        <v>458.86108060928137</v>
      </c>
      <c r="F14" s="73">
        <f>FDIST(E14,B14,B16)</f>
        <v>6.2494307565524186E-11</v>
      </c>
      <c r="G14" s="41"/>
      <c r="H14" s="11"/>
      <c r="I14" s="17"/>
      <c r="J14" s="17"/>
    </row>
    <row r="15" spans="1:15" x14ac:dyDescent="0.3">
      <c r="A15" t="s">
        <v>171</v>
      </c>
      <c r="B15">
        <v>3</v>
      </c>
      <c r="C15" s="18">
        <v>0.19412270000000001</v>
      </c>
      <c r="D15" s="18">
        <f>C15/B15</f>
        <v>6.4707566666666674E-2</v>
      </c>
      <c r="E15" s="18">
        <f>D15/D16</f>
        <v>2.0243065657655666</v>
      </c>
      <c r="F15" s="73">
        <f>FDIST(E15,B15,B16)</f>
        <v>0.16426206011562317</v>
      </c>
      <c r="G15" s="41"/>
      <c r="H15" s="11"/>
      <c r="I15" s="17"/>
      <c r="J15" s="17"/>
    </row>
    <row r="16" spans="1:15" x14ac:dyDescent="0.3">
      <c r="A16" t="s">
        <v>172</v>
      </c>
      <c r="B16">
        <v>12</v>
      </c>
      <c r="C16" s="18">
        <v>0.38358360000000302</v>
      </c>
      <c r="D16" s="18">
        <v>3.19653000000003E-2</v>
      </c>
      <c r="E16" s="18"/>
      <c r="F16" s="74"/>
      <c r="G16" s="41"/>
      <c r="H16" s="11"/>
      <c r="I16" s="17"/>
      <c r="J16" s="17"/>
    </row>
    <row r="17" spans="3:10" x14ac:dyDescent="0.3">
      <c r="C17" s="41"/>
      <c r="D17" s="41"/>
      <c r="E17" s="41"/>
      <c r="F17" s="41"/>
      <c r="G17" s="41"/>
      <c r="H17" s="41"/>
      <c r="J17" s="24"/>
    </row>
    <row r="18" spans="3:10" x14ac:dyDescent="0.3">
      <c r="C18" s="41"/>
      <c r="D18" s="11"/>
      <c r="E18" s="41"/>
      <c r="F18" s="41"/>
      <c r="G18" s="41"/>
      <c r="H18" s="41"/>
      <c r="J18" s="17"/>
    </row>
    <row r="19" spans="3:10" x14ac:dyDescent="0.3">
      <c r="C19" s="41"/>
      <c r="D19" s="41"/>
      <c r="E19" s="41"/>
      <c r="F19" s="41"/>
      <c r="G19" s="41"/>
      <c r="H19" s="41"/>
      <c r="J19" s="17"/>
    </row>
    <row r="20" spans="3:10" x14ac:dyDescent="0.3">
      <c r="G20" s="41"/>
      <c r="H20" s="41"/>
      <c r="J20" s="17"/>
    </row>
    <row r="21" spans="3:10" x14ac:dyDescent="0.3">
      <c r="G21" s="41"/>
      <c r="H21" s="41"/>
      <c r="J21" s="17"/>
    </row>
    <row r="22" spans="3:10" x14ac:dyDescent="0.3">
      <c r="G22" s="41"/>
      <c r="H22" s="41"/>
      <c r="J22" s="17"/>
    </row>
    <row r="23" spans="3:10" x14ac:dyDescent="0.3">
      <c r="G23" s="41"/>
      <c r="H23" s="41"/>
      <c r="J23" s="17"/>
    </row>
    <row r="24" spans="3:10" x14ac:dyDescent="0.3">
      <c r="G24" s="41"/>
      <c r="H24" s="41"/>
      <c r="J24" s="17"/>
    </row>
    <row r="25" spans="3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80D95-030C-4DFD-8D07-B60CA8851D7F}">
  <dimension ref="A1:R25"/>
  <sheetViews>
    <sheetView workbookViewId="0">
      <selection activeCell="B9" sqref="B9"/>
    </sheetView>
  </sheetViews>
  <sheetFormatPr defaultRowHeight="14.4" x14ac:dyDescent="0.3"/>
  <cols>
    <col min="1" max="3" width="12.109375" style="83" bestFit="1" customWidth="1"/>
    <col min="4" max="4" width="12.5546875" style="83" bestFit="1" customWidth="1"/>
    <col min="5" max="5" width="8.5546875" style="83" bestFit="1" customWidth="1"/>
    <col min="6" max="6" width="9.21875" style="83" bestFit="1" customWidth="1"/>
    <col min="7" max="16384" width="8.88671875" style="83"/>
  </cols>
  <sheetData>
    <row r="1" spans="1:18" x14ac:dyDescent="0.3">
      <c r="A1" s="83" t="s">
        <v>205</v>
      </c>
      <c r="B1" s="83" t="s">
        <v>206</v>
      </c>
    </row>
    <row r="2" spans="1:18" x14ac:dyDescent="0.3">
      <c r="A2" s="83">
        <v>75</v>
      </c>
      <c r="B2" s="4">
        <v>0</v>
      </c>
      <c r="C2" s="4"/>
      <c r="D2" s="4"/>
      <c r="E2" s="4"/>
      <c r="F2" s="17"/>
      <c r="G2" s="4"/>
      <c r="J2" s="4"/>
      <c r="R2" s="4"/>
    </row>
    <row r="3" spans="1:18" x14ac:dyDescent="0.3">
      <c r="A3" s="83">
        <v>100</v>
      </c>
      <c r="B3" s="4">
        <v>0.65</v>
      </c>
      <c r="C3" s="4"/>
      <c r="D3" s="4"/>
      <c r="E3" s="4"/>
      <c r="F3" s="17"/>
      <c r="G3" s="4"/>
      <c r="J3" s="4"/>
      <c r="R3" s="4"/>
    </row>
    <row r="4" spans="1:18" x14ac:dyDescent="0.3">
      <c r="A4" s="83">
        <v>100</v>
      </c>
      <c r="B4" s="4">
        <v>0.5</v>
      </c>
      <c r="C4" s="4"/>
      <c r="D4" s="4"/>
      <c r="E4" s="4"/>
      <c r="F4" s="17"/>
      <c r="G4" s="4"/>
      <c r="J4" s="4"/>
      <c r="R4" s="4"/>
    </row>
    <row r="5" spans="1:18" x14ac:dyDescent="0.3">
      <c r="A5" s="83">
        <v>120</v>
      </c>
      <c r="B5" s="4">
        <v>1</v>
      </c>
      <c r="C5" s="4"/>
      <c r="D5" s="4"/>
      <c r="E5" s="4"/>
      <c r="F5" s="17"/>
      <c r="G5" s="4"/>
      <c r="J5" s="4"/>
      <c r="R5" s="4"/>
    </row>
    <row r="6" spans="1:18" x14ac:dyDescent="0.3">
      <c r="A6" s="83">
        <v>130</v>
      </c>
      <c r="B6" s="4">
        <v>0.95</v>
      </c>
      <c r="C6" s="4"/>
      <c r="D6" s="4"/>
      <c r="E6" s="4"/>
      <c r="F6" s="17"/>
      <c r="G6" s="4"/>
      <c r="J6" s="4"/>
      <c r="R6" s="4"/>
    </row>
    <row r="7" spans="1:18" x14ac:dyDescent="0.3">
      <c r="A7" s="83">
        <v>130</v>
      </c>
      <c r="B7" s="4">
        <v>1.3</v>
      </c>
      <c r="C7" s="4"/>
      <c r="D7" s="4"/>
      <c r="E7" s="4"/>
      <c r="F7" s="85"/>
      <c r="G7" s="4"/>
      <c r="J7" s="4"/>
      <c r="R7" s="4"/>
    </row>
    <row r="8" spans="1:18" x14ac:dyDescent="0.3">
      <c r="A8" s="83">
        <v>160</v>
      </c>
      <c r="B8" s="4">
        <v>1.8</v>
      </c>
      <c r="C8" s="4"/>
      <c r="D8" s="4"/>
      <c r="E8" s="4"/>
      <c r="F8" s="85"/>
      <c r="G8" s="4"/>
      <c r="R8" s="4"/>
    </row>
    <row r="9" spans="1:18" x14ac:dyDescent="0.3">
      <c r="A9" s="83">
        <v>190</v>
      </c>
      <c r="B9" s="4">
        <v>2.8</v>
      </c>
      <c r="C9" s="4"/>
      <c r="D9" s="4"/>
      <c r="E9" s="4"/>
      <c r="F9" s="85"/>
      <c r="G9" s="85"/>
      <c r="I9" s="85"/>
      <c r="J9" s="85"/>
      <c r="R9" s="4"/>
    </row>
    <row r="10" spans="1:18" x14ac:dyDescent="0.3">
      <c r="A10" s="83">
        <v>200</v>
      </c>
      <c r="B10" s="4">
        <v>2.5</v>
      </c>
      <c r="C10" s="4"/>
      <c r="D10" s="4"/>
      <c r="E10" s="4"/>
      <c r="F10" s="85"/>
      <c r="G10" s="85"/>
      <c r="H10" s="87"/>
      <c r="I10" s="17"/>
      <c r="J10" s="17"/>
      <c r="R10" s="4"/>
    </row>
    <row r="11" spans="1:18" x14ac:dyDescent="0.3">
      <c r="A11" s="83">
        <v>240</v>
      </c>
      <c r="B11" s="4">
        <v>4.3</v>
      </c>
      <c r="C11" s="4"/>
      <c r="D11" s="4"/>
      <c r="E11" s="4"/>
      <c r="F11" s="85"/>
      <c r="G11" s="85"/>
      <c r="H11" s="11"/>
      <c r="I11" s="17"/>
      <c r="J11" s="17"/>
      <c r="R11" s="4"/>
    </row>
    <row r="12" spans="1:18" x14ac:dyDescent="0.3">
      <c r="A12" s="83">
        <v>250</v>
      </c>
      <c r="B12" s="4">
        <v>4.5</v>
      </c>
      <c r="C12" s="4"/>
      <c r="D12" s="4"/>
      <c r="E12" s="4"/>
      <c r="F12" s="73"/>
      <c r="G12" s="85"/>
      <c r="H12" s="87"/>
      <c r="I12" s="17"/>
      <c r="J12" s="17"/>
      <c r="R12" s="4"/>
    </row>
    <row r="13" spans="1:18" x14ac:dyDescent="0.3">
      <c r="A13" s="82"/>
      <c r="B13" s="82"/>
      <c r="C13" s="86"/>
      <c r="D13" s="86"/>
      <c r="E13" s="86"/>
      <c r="F13" s="73"/>
      <c r="G13" s="85"/>
      <c r="H13" s="11"/>
      <c r="I13" s="17"/>
      <c r="J13" s="17"/>
    </row>
    <row r="14" spans="1:18" x14ac:dyDescent="0.3">
      <c r="A14" s="17"/>
      <c r="B14" s="17"/>
      <c r="C14" s="4"/>
      <c r="D14" s="4"/>
      <c r="E14" s="4"/>
      <c r="F14" s="73"/>
      <c r="G14" s="85"/>
      <c r="H14" s="11"/>
      <c r="I14" s="17"/>
      <c r="J14" s="17"/>
    </row>
    <row r="15" spans="1:18" x14ac:dyDescent="0.3">
      <c r="C15" s="18"/>
      <c r="D15" s="18"/>
      <c r="E15" s="18"/>
      <c r="F15" s="73"/>
      <c r="G15" s="85"/>
      <c r="H15" s="11"/>
      <c r="I15" s="17"/>
      <c r="J15" s="17"/>
    </row>
    <row r="16" spans="1:18" x14ac:dyDescent="0.3">
      <c r="C16" s="18"/>
      <c r="D16" s="18"/>
      <c r="E16" s="18"/>
      <c r="F16" s="74"/>
      <c r="G16" s="85"/>
      <c r="H16" s="11"/>
      <c r="I16" s="17"/>
      <c r="J16" s="17"/>
    </row>
    <row r="17" spans="3:10" x14ac:dyDescent="0.3">
      <c r="C17" s="85"/>
      <c r="D17" s="85"/>
      <c r="E17" s="85"/>
      <c r="F17" s="85"/>
      <c r="G17" s="85"/>
      <c r="H17" s="85"/>
      <c r="J17" s="24"/>
    </row>
    <row r="18" spans="3:10" x14ac:dyDescent="0.3">
      <c r="C18" s="85"/>
      <c r="D18" s="11"/>
      <c r="E18" s="85"/>
      <c r="F18" s="85"/>
      <c r="G18" s="85"/>
      <c r="H18" s="85"/>
      <c r="J18" s="17"/>
    </row>
    <row r="19" spans="3:10" x14ac:dyDescent="0.3">
      <c r="C19" s="85"/>
      <c r="D19" s="85"/>
      <c r="E19" s="85"/>
      <c r="F19" s="85"/>
      <c r="G19" s="85"/>
      <c r="H19" s="85"/>
      <c r="J19" s="17"/>
    </row>
    <row r="20" spans="3:10" x14ac:dyDescent="0.3">
      <c r="G20" s="85"/>
      <c r="H20" s="85"/>
      <c r="J20" s="17"/>
    </row>
    <row r="21" spans="3:10" x14ac:dyDescent="0.3">
      <c r="G21" s="85"/>
      <c r="H21" s="85"/>
      <c r="J21" s="17"/>
    </row>
    <row r="22" spans="3:10" x14ac:dyDescent="0.3">
      <c r="G22" s="85"/>
      <c r="H22" s="85"/>
      <c r="J22" s="17"/>
    </row>
    <row r="23" spans="3:10" x14ac:dyDescent="0.3">
      <c r="G23" s="85"/>
      <c r="H23" s="85"/>
      <c r="J23" s="17"/>
    </row>
    <row r="24" spans="3:10" x14ac:dyDescent="0.3">
      <c r="G24" s="85"/>
      <c r="H24" s="85"/>
      <c r="J24" s="17"/>
    </row>
    <row r="25" spans="3:10" x14ac:dyDescent="0.3">
      <c r="G25" s="85"/>
      <c r="H25" s="85"/>
      <c r="J25" s="1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2DBF-F4F2-45D0-9265-E517EA6518FB}">
  <dimension ref="A1:S25"/>
  <sheetViews>
    <sheetView workbookViewId="0">
      <selection activeCell="D8" sqref="D8"/>
    </sheetView>
  </sheetViews>
  <sheetFormatPr defaultRowHeight="14.4" x14ac:dyDescent="0.3"/>
  <cols>
    <col min="1" max="1" width="6" style="83" bestFit="1" customWidth="1"/>
    <col min="2" max="4" width="12.109375" style="83" bestFit="1" customWidth="1"/>
    <col min="5" max="5" width="12.5546875" style="83" bestFit="1" customWidth="1"/>
    <col min="6" max="6" width="8.5546875" style="83" bestFit="1" customWidth="1"/>
    <col min="7" max="7" width="9.21875" style="83" bestFit="1" customWidth="1"/>
    <col min="8" max="16384" width="8.88671875" style="83"/>
  </cols>
  <sheetData>
    <row r="1" spans="1:19" x14ac:dyDescent="0.3">
      <c r="B1" s="83" t="s">
        <v>205</v>
      </c>
      <c r="C1" s="83" t="s">
        <v>206</v>
      </c>
      <c r="D1" s="83" t="s">
        <v>144</v>
      </c>
      <c r="E1" s="83" t="s">
        <v>142</v>
      </c>
      <c r="F1" s="83" t="s">
        <v>143</v>
      </c>
      <c r="H1" s="83" t="s">
        <v>198</v>
      </c>
      <c r="I1" s="83">
        <f>D13-(B13*C13)/11</f>
        <v>876.4545454545455</v>
      </c>
    </row>
    <row r="2" spans="1:19" x14ac:dyDescent="0.3">
      <c r="B2" s="83">
        <v>75</v>
      </c>
      <c r="C2" s="4">
        <v>0</v>
      </c>
      <c r="D2" s="4">
        <f>B2*C2</f>
        <v>0</v>
      </c>
      <c r="E2" s="4">
        <f>B2^2</f>
        <v>5625</v>
      </c>
      <c r="F2" s="4">
        <f>C2^2</f>
        <v>0</v>
      </c>
      <c r="G2" s="17"/>
      <c r="H2" s="4" t="s">
        <v>199</v>
      </c>
      <c r="I2" s="83">
        <f>E13-B13^2/11</f>
        <v>34440.909090909088</v>
      </c>
      <c r="K2" s="4"/>
      <c r="S2" s="4"/>
    </row>
    <row r="3" spans="1:19" x14ac:dyDescent="0.3">
      <c r="B3" s="83">
        <v>100</v>
      </c>
      <c r="C3" s="4">
        <v>0.65</v>
      </c>
      <c r="D3" s="4">
        <f t="shared" ref="D3:D12" si="0">B3*C3</f>
        <v>65</v>
      </c>
      <c r="E3" s="4">
        <f t="shared" ref="E3:F12" si="1">B3^2</f>
        <v>10000</v>
      </c>
      <c r="F3" s="4">
        <f t="shared" si="1"/>
        <v>0.42250000000000004</v>
      </c>
      <c r="G3" s="17"/>
      <c r="H3" s="4" t="s">
        <v>200</v>
      </c>
      <c r="I3" s="83">
        <f>F13-C13^2/11</f>
        <v>22.872272727272716</v>
      </c>
      <c r="K3" s="4"/>
      <c r="S3" s="4"/>
    </row>
    <row r="4" spans="1:19" x14ac:dyDescent="0.3">
      <c r="B4" s="83">
        <v>100</v>
      </c>
      <c r="C4" s="4">
        <v>0.5</v>
      </c>
      <c r="D4" s="4">
        <f t="shared" si="0"/>
        <v>50</v>
      </c>
      <c r="E4" s="4">
        <f t="shared" si="1"/>
        <v>10000</v>
      </c>
      <c r="F4" s="4">
        <f t="shared" si="1"/>
        <v>0.25</v>
      </c>
      <c r="G4" s="17"/>
      <c r="H4" s="4" t="s">
        <v>201</v>
      </c>
      <c r="I4" s="83">
        <f>I1/I2</f>
        <v>2.5448066517091202E-2</v>
      </c>
      <c r="K4" s="4"/>
      <c r="S4" s="4"/>
    </row>
    <row r="5" spans="1:19" x14ac:dyDescent="0.3">
      <c r="B5" s="83">
        <v>120</v>
      </c>
      <c r="C5" s="4">
        <v>1</v>
      </c>
      <c r="D5" s="4">
        <f t="shared" si="0"/>
        <v>120</v>
      </c>
      <c r="E5" s="4">
        <f t="shared" si="1"/>
        <v>14400</v>
      </c>
      <c r="F5" s="4">
        <f t="shared" si="1"/>
        <v>1</v>
      </c>
      <c r="G5" s="17"/>
      <c r="H5" s="4" t="s">
        <v>202</v>
      </c>
      <c r="I5" s="83">
        <f>C14-I4*B14</f>
        <v>-2.0758611587699622</v>
      </c>
      <c r="K5" s="4"/>
      <c r="S5" s="4"/>
    </row>
    <row r="6" spans="1:19" x14ac:dyDescent="0.3">
      <c r="B6" s="83">
        <v>130</v>
      </c>
      <c r="C6" s="4">
        <v>0.95</v>
      </c>
      <c r="D6" s="4">
        <f t="shared" si="0"/>
        <v>123.5</v>
      </c>
      <c r="E6" s="4">
        <f t="shared" si="1"/>
        <v>16900</v>
      </c>
      <c r="F6" s="4">
        <f t="shared" si="1"/>
        <v>0.90249999999999997</v>
      </c>
      <c r="G6" s="17"/>
      <c r="H6" s="4" t="s">
        <v>203</v>
      </c>
      <c r="I6" s="83">
        <f>I3</f>
        <v>22.872272727272716</v>
      </c>
      <c r="K6" s="4"/>
      <c r="S6" s="4"/>
    </row>
    <row r="7" spans="1:19" x14ac:dyDescent="0.3">
      <c r="B7" s="83">
        <v>130</v>
      </c>
      <c r="C7" s="4">
        <v>1.3</v>
      </c>
      <c r="D7" s="4">
        <f t="shared" si="0"/>
        <v>169</v>
      </c>
      <c r="E7" s="4">
        <f t="shared" si="1"/>
        <v>16900</v>
      </c>
      <c r="F7" s="4">
        <f t="shared" si="1"/>
        <v>1.6900000000000002</v>
      </c>
      <c r="G7" s="85"/>
      <c r="H7" s="4" t="s">
        <v>204</v>
      </c>
      <c r="I7" s="83">
        <f>I1^2/I2</f>
        <v>22.304073571934207</v>
      </c>
      <c r="K7" s="4"/>
      <c r="S7" s="4"/>
    </row>
    <row r="8" spans="1:19" x14ac:dyDescent="0.3">
      <c r="B8" s="83">
        <v>160</v>
      </c>
      <c r="C8" s="4">
        <v>1.8</v>
      </c>
      <c r="D8" s="4">
        <f t="shared" si="0"/>
        <v>288</v>
      </c>
      <c r="E8" s="4">
        <f t="shared" si="1"/>
        <v>25600</v>
      </c>
      <c r="F8" s="4">
        <f t="shared" si="1"/>
        <v>3.24</v>
      </c>
      <c r="G8" s="85"/>
      <c r="H8" s="4" t="s">
        <v>55</v>
      </c>
      <c r="I8" s="83">
        <f>I7/I6</f>
        <v>0.97515773084233159</v>
      </c>
      <c r="S8" s="4"/>
    </row>
    <row r="9" spans="1:19" x14ac:dyDescent="0.3">
      <c r="B9" s="83">
        <v>190</v>
      </c>
      <c r="C9" s="4">
        <v>2.8</v>
      </c>
      <c r="D9" s="4">
        <f t="shared" si="0"/>
        <v>532</v>
      </c>
      <c r="E9" s="4">
        <f t="shared" si="1"/>
        <v>36100</v>
      </c>
      <c r="F9" s="4">
        <f t="shared" si="1"/>
        <v>7.839999999999999</v>
      </c>
      <c r="G9" s="85"/>
      <c r="H9" s="85" t="s">
        <v>179</v>
      </c>
      <c r="I9" s="83">
        <f>I1/SQRT(I2*I3)</f>
        <v>0.98750074979330082</v>
      </c>
      <c r="J9" s="85"/>
      <c r="K9" s="85"/>
      <c r="S9" s="4"/>
    </row>
    <row r="10" spans="1:19" x14ac:dyDescent="0.3">
      <c r="B10" s="83">
        <v>200</v>
      </c>
      <c r="C10" s="4">
        <v>2.5</v>
      </c>
      <c r="D10" s="4">
        <f t="shared" si="0"/>
        <v>500</v>
      </c>
      <c r="E10" s="4">
        <f t="shared" si="1"/>
        <v>40000</v>
      </c>
      <c r="F10" s="4">
        <f t="shared" si="1"/>
        <v>6.25</v>
      </c>
      <c r="G10" s="85"/>
      <c r="H10" s="85"/>
      <c r="I10" s="87"/>
      <c r="J10" s="17"/>
      <c r="K10" s="17"/>
      <c r="S10" s="4"/>
    </row>
    <row r="11" spans="1:19" x14ac:dyDescent="0.3">
      <c r="B11" s="83">
        <v>240</v>
      </c>
      <c r="C11" s="4">
        <v>4.3</v>
      </c>
      <c r="D11" s="4">
        <f t="shared" si="0"/>
        <v>1032</v>
      </c>
      <c r="E11" s="4">
        <f t="shared" si="1"/>
        <v>57600</v>
      </c>
      <c r="F11" s="4">
        <f t="shared" si="1"/>
        <v>18.489999999999998</v>
      </c>
      <c r="G11" s="85"/>
      <c r="H11" s="85"/>
      <c r="I11" s="11"/>
      <c r="J11" s="17"/>
      <c r="K11" s="17"/>
      <c r="S11" s="4"/>
    </row>
    <row r="12" spans="1:19" x14ac:dyDescent="0.3">
      <c r="B12" s="83">
        <v>250</v>
      </c>
      <c r="C12" s="4">
        <v>4.5</v>
      </c>
      <c r="D12" s="4">
        <f t="shared" si="0"/>
        <v>1125</v>
      </c>
      <c r="E12" s="4">
        <f t="shared" si="1"/>
        <v>62500</v>
      </c>
      <c r="F12" s="4">
        <f t="shared" si="1"/>
        <v>20.25</v>
      </c>
      <c r="G12" s="73"/>
      <c r="H12" s="85"/>
      <c r="I12" s="87"/>
      <c r="J12" s="17"/>
      <c r="K12" s="17"/>
      <c r="S12" s="4"/>
    </row>
    <row r="13" spans="1:19" x14ac:dyDescent="0.3">
      <c r="A13" s="82" t="s">
        <v>158</v>
      </c>
      <c r="B13" s="82">
        <f>SUM(B2:B12)</f>
        <v>1695</v>
      </c>
      <c r="C13" s="82">
        <f>SUM(C2:C12)</f>
        <v>20.3</v>
      </c>
      <c r="D13" s="86">
        <f t="shared" ref="D13:F13" si="2">SUM(D2:D12)</f>
        <v>4004.5</v>
      </c>
      <c r="E13" s="86">
        <f t="shared" si="2"/>
        <v>295625</v>
      </c>
      <c r="F13" s="86">
        <f t="shared" si="2"/>
        <v>60.334999999999994</v>
      </c>
      <c r="G13" s="73"/>
      <c r="H13" s="85"/>
      <c r="I13" s="11"/>
      <c r="J13" s="17"/>
      <c r="K13" s="17"/>
    </row>
    <row r="14" spans="1:19" x14ac:dyDescent="0.3">
      <c r="A14" s="83" t="s">
        <v>160</v>
      </c>
      <c r="B14" s="17">
        <f>AVERAGE(B2:B12)</f>
        <v>154.09090909090909</v>
      </c>
      <c r="C14" s="17">
        <f>AVERAGE(C2:C12)</f>
        <v>1.8454545454545455</v>
      </c>
      <c r="D14" s="4"/>
      <c r="E14" s="4"/>
      <c r="F14" s="4"/>
      <c r="G14" s="73"/>
      <c r="H14" s="85"/>
      <c r="I14" s="11"/>
      <c r="J14" s="17"/>
      <c r="K14" s="17"/>
    </row>
    <row r="15" spans="1:19" x14ac:dyDescent="0.3">
      <c r="D15" s="18"/>
      <c r="E15" s="18"/>
      <c r="F15" s="18"/>
      <c r="G15" s="73"/>
      <c r="H15" s="85"/>
      <c r="I15" s="11"/>
      <c r="J15" s="17"/>
      <c r="K15" s="17"/>
    </row>
    <row r="16" spans="1:19" x14ac:dyDescent="0.3">
      <c r="D16" s="18"/>
      <c r="E16" s="18"/>
      <c r="F16" s="18"/>
      <c r="G16" s="74"/>
      <c r="H16" s="85"/>
      <c r="I16" s="11"/>
      <c r="J16" s="17"/>
      <c r="K16" s="17"/>
    </row>
    <row r="17" spans="4:11" x14ac:dyDescent="0.3">
      <c r="D17" s="85"/>
      <c r="E17" s="85"/>
      <c r="F17" s="85"/>
      <c r="G17" s="85"/>
      <c r="H17" s="85"/>
      <c r="I17" s="85"/>
      <c r="K17" s="24"/>
    </row>
    <row r="18" spans="4:11" x14ac:dyDescent="0.3">
      <c r="D18" s="85"/>
      <c r="E18" s="11"/>
      <c r="F18" s="85"/>
      <c r="G18" s="85"/>
      <c r="H18" s="85"/>
      <c r="I18" s="85"/>
      <c r="K18" s="17"/>
    </row>
    <row r="19" spans="4:11" x14ac:dyDescent="0.3">
      <c r="D19" s="85"/>
      <c r="E19" s="85"/>
      <c r="F19" s="85"/>
      <c r="G19" s="85"/>
      <c r="H19" s="85"/>
      <c r="I19" s="85"/>
      <c r="K19" s="17"/>
    </row>
    <row r="20" spans="4:11" x14ac:dyDescent="0.3">
      <c r="H20" s="85"/>
      <c r="I20" s="85"/>
      <c r="K20" s="17"/>
    </row>
    <row r="21" spans="4:11" x14ac:dyDescent="0.3">
      <c r="H21" s="85"/>
      <c r="I21" s="85"/>
      <c r="K21" s="17"/>
    </row>
    <row r="22" spans="4:11" x14ac:dyDescent="0.3">
      <c r="H22" s="85"/>
      <c r="I22" s="85"/>
      <c r="K22" s="17"/>
    </row>
    <row r="23" spans="4:11" x14ac:dyDescent="0.3">
      <c r="H23" s="85"/>
      <c r="I23" s="85"/>
      <c r="K23" s="17"/>
    </row>
    <row r="24" spans="4:11" x14ac:dyDescent="0.3">
      <c r="H24" s="85"/>
      <c r="I24" s="85"/>
      <c r="K24" s="17"/>
    </row>
    <row r="25" spans="4:11" x14ac:dyDescent="0.3">
      <c r="H25" s="85"/>
      <c r="I25" s="85"/>
      <c r="K25" s="1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3DDC-BE10-4B63-AF76-A436FCFFE5A6}">
  <dimension ref="A1:C14"/>
  <sheetViews>
    <sheetView workbookViewId="0">
      <selection activeCell="G9" sqref="G9"/>
    </sheetView>
  </sheetViews>
  <sheetFormatPr defaultRowHeight="15" x14ac:dyDescent="0.3"/>
  <cols>
    <col min="1" max="1" width="9" style="88" bestFit="1" customWidth="1"/>
    <col min="2" max="3" width="9.77734375" style="88" bestFit="1" customWidth="1"/>
    <col min="4" max="16384" width="8.88671875" style="88"/>
  </cols>
  <sheetData>
    <row r="1" spans="1:3" ht="15.6" x14ac:dyDescent="0.3">
      <c r="A1" s="89" t="s">
        <v>207</v>
      </c>
      <c r="B1" s="89" t="s">
        <v>174</v>
      </c>
      <c r="C1" s="89" t="s">
        <v>175</v>
      </c>
    </row>
    <row r="2" spans="1:3" ht="15.6" x14ac:dyDescent="0.3">
      <c r="A2" s="91">
        <v>1</v>
      </c>
      <c r="B2" s="92">
        <v>0.60199999999999998</v>
      </c>
      <c r="C2" s="92">
        <v>0.61899999999999999</v>
      </c>
    </row>
    <row r="3" spans="1:3" ht="15.6" x14ac:dyDescent="0.3">
      <c r="A3" s="91">
        <v>2</v>
      </c>
      <c r="B3" s="92">
        <v>0.63600000000000001</v>
      </c>
      <c r="C3" s="92">
        <v>0.62</v>
      </c>
    </row>
    <row r="4" spans="1:3" ht="15.6" x14ac:dyDescent="0.3">
      <c r="A4" s="91">
        <v>3</v>
      </c>
      <c r="B4" s="92">
        <v>0.60399999999999998</v>
      </c>
      <c r="C4" s="92">
        <v>0.62</v>
      </c>
    </row>
    <row r="5" spans="1:3" ht="15.6" x14ac:dyDescent="0.3">
      <c r="A5" s="91">
        <v>4</v>
      </c>
      <c r="B5" s="92">
        <v>0.54800000000000004</v>
      </c>
      <c r="C5" s="92">
        <v>0.53800000000000003</v>
      </c>
    </row>
    <row r="6" spans="1:3" ht="15.6" x14ac:dyDescent="0.3">
      <c r="A6" s="91">
        <v>5</v>
      </c>
      <c r="B6" s="92">
        <v>0.59</v>
      </c>
      <c r="C6" s="92">
        <v>0.61599999999999999</v>
      </c>
    </row>
    <row r="7" spans="1:3" ht="15.6" x14ac:dyDescent="0.3">
      <c r="A7" s="91">
        <v>6</v>
      </c>
      <c r="B7" s="92">
        <v>0.59199999999999997</v>
      </c>
      <c r="C7" s="92">
        <v>0.60099999999999998</v>
      </c>
    </row>
    <row r="8" spans="1:3" ht="15.6" x14ac:dyDescent="0.3">
      <c r="A8" s="91">
        <v>7</v>
      </c>
      <c r="B8" s="92">
        <v>0.625</v>
      </c>
      <c r="C8" s="92">
        <v>0.66400000000000003</v>
      </c>
    </row>
    <row r="9" spans="1:3" ht="15.6" x14ac:dyDescent="0.3">
      <c r="A9" s="91">
        <v>8</v>
      </c>
      <c r="B9" s="92">
        <v>0.64100000000000001</v>
      </c>
      <c r="C9" s="92">
        <v>0.65200000000000002</v>
      </c>
    </row>
    <row r="10" spans="1:3" ht="15.6" x14ac:dyDescent="0.3">
      <c r="A10" s="91">
        <v>9</v>
      </c>
      <c r="B10" s="92">
        <v>0.60599999999999998</v>
      </c>
      <c r="C10" s="92">
        <v>0.57899999999999996</v>
      </c>
    </row>
    <row r="11" spans="1:3" ht="15.6" x14ac:dyDescent="0.3">
      <c r="A11" s="91">
        <v>10</v>
      </c>
      <c r="B11" s="92">
        <v>0.502</v>
      </c>
      <c r="C11" s="92">
        <v>0.501</v>
      </c>
    </row>
    <row r="12" spans="1:3" ht="15.6" x14ac:dyDescent="0.3">
      <c r="A12" s="98">
        <v>11</v>
      </c>
      <c r="B12" s="99">
        <v>0.58799999999999997</v>
      </c>
      <c r="C12" s="99">
        <v>0.59</v>
      </c>
    </row>
    <row r="13" spans="1:3" ht="15.6" x14ac:dyDescent="0.3">
      <c r="A13" s="98">
        <v>12</v>
      </c>
      <c r="B13" s="99">
        <v>0.59399999999999997</v>
      </c>
      <c r="C13" s="99">
        <v>0.622</v>
      </c>
    </row>
    <row r="14" spans="1:3" ht="15.6" x14ac:dyDescent="0.3">
      <c r="A14" s="98">
        <v>13</v>
      </c>
      <c r="B14" s="99">
        <v>0.626</v>
      </c>
      <c r="C14" s="99">
        <v>0.60599999999999998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6D57-738D-45F7-9FB6-D1DB8E58E523}">
  <dimension ref="A1:J16"/>
  <sheetViews>
    <sheetView workbookViewId="0">
      <selection activeCell="I13" sqref="I13"/>
    </sheetView>
  </sheetViews>
  <sheetFormatPr defaultRowHeight="15.6" x14ac:dyDescent="0.3"/>
  <cols>
    <col min="1" max="1" width="8.88671875" style="89"/>
    <col min="2" max="2" width="9.109375" style="89" bestFit="1" customWidth="1"/>
    <col min="3" max="4" width="9.88671875" style="89" bestFit="1" customWidth="1"/>
    <col min="5" max="7" width="9" style="89" bestFit="1" customWidth="1"/>
    <col min="8" max="9" width="8.88671875" style="89"/>
    <col min="10" max="10" width="10.21875" style="89" bestFit="1" customWidth="1"/>
    <col min="11" max="16384" width="8.88671875" style="89"/>
  </cols>
  <sheetData>
    <row r="1" spans="1:10" x14ac:dyDescent="0.3">
      <c r="B1" s="89" t="s">
        <v>207</v>
      </c>
      <c r="C1" s="89" t="s">
        <v>174</v>
      </c>
      <c r="D1" s="89" t="s">
        <v>175</v>
      </c>
      <c r="E1" s="90" t="s">
        <v>144</v>
      </c>
      <c r="F1" s="90" t="s">
        <v>142</v>
      </c>
      <c r="G1" s="90" t="s">
        <v>143</v>
      </c>
      <c r="H1" s="90"/>
      <c r="I1" s="90" t="s">
        <v>198</v>
      </c>
      <c r="J1" s="90">
        <f>E15-(C15*D15)/13</f>
        <v>1.7445076923076286E-2</v>
      </c>
    </row>
    <row r="2" spans="1:10" x14ac:dyDescent="0.3">
      <c r="B2" s="91">
        <v>1</v>
      </c>
      <c r="C2" s="92">
        <v>0.60199999999999998</v>
      </c>
      <c r="D2" s="92">
        <v>0.61899999999999999</v>
      </c>
      <c r="E2" s="93">
        <f>C2*D2</f>
        <v>0.37263799999999997</v>
      </c>
      <c r="F2" s="93">
        <f>C2^2</f>
        <v>0.36240399999999995</v>
      </c>
      <c r="G2" s="93">
        <f>D2^2</f>
        <v>0.38316099999999997</v>
      </c>
      <c r="H2" s="94"/>
      <c r="I2" s="93" t="s">
        <v>199</v>
      </c>
      <c r="J2" s="90">
        <f>F15-C15^2/13</f>
        <v>1.682323076922998E-2</v>
      </c>
    </row>
    <row r="3" spans="1:10" x14ac:dyDescent="0.3">
      <c r="B3" s="91">
        <v>2</v>
      </c>
      <c r="C3" s="92">
        <v>0.63600000000000001</v>
      </c>
      <c r="D3" s="92">
        <v>0.62</v>
      </c>
      <c r="E3" s="93">
        <f t="shared" ref="E3:E12" si="0">C3*D3</f>
        <v>0.39432</v>
      </c>
      <c r="F3" s="93">
        <f t="shared" ref="F3:G12" si="1">C3^2</f>
        <v>0.40449600000000002</v>
      </c>
      <c r="G3" s="93">
        <f t="shared" si="1"/>
        <v>0.38440000000000002</v>
      </c>
      <c r="H3" s="94"/>
      <c r="I3" s="93" t="s">
        <v>200</v>
      </c>
      <c r="J3" s="90">
        <f>G15-D15^2/13</f>
        <v>2.2863692307692141E-2</v>
      </c>
    </row>
    <row r="4" spans="1:10" x14ac:dyDescent="0.3">
      <c r="B4" s="91">
        <v>3</v>
      </c>
      <c r="C4" s="92">
        <v>0.60399999999999998</v>
      </c>
      <c r="D4" s="92">
        <v>0.62</v>
      </c>
      <c r="E4" s="93">
        <f t="shared" si="0"/>
        <v>0.37447999999999998</v>
      </c>
      <c r="F4" s="93">
        <f t="shared" si="1"/>
        <v>0.36481599999999997</v>
      </c>
      <c r="G4" s="93">
        <f t="shared" si="1"/>
        <v>0.38440000000000002</v>
      </c>
      <c r="H4" s="94"/>
      <c r="I4" s="93" t="s">
        <v>179</v>
      </c>
      <c r="J4" s="95">
        <f>J1/SQRT(J2*J3)</f>
        <v>0.88949805787377378</v>
      </c>
    </row>
    <row r="5" spans="1:10" x14ac:dyDescent="0.3">
      <c r="B5" s="91">
        <v>4</v>
      </c>
      <c r="C5" s="92">
        <v>0.54800000000000004</v>
      </c>
      <c r="D5" s="92">
        <v>0.53800000000000003</v>
      </c>
      <c r="E5" s="93">
        <f t="shared" si="0"/>
        <v>0.29482400000000003</v>
      </c>
      <c r="F5" s="93">
        <f t="shared" si="1"/>
        <v>0.30030400000000007</v>
      </c>
      <c r="G5" s="93">
        <f t="shared" si="1"/>
        <v>0.28944400000000003</v>
      </c>
      <c r="H5" s="94"/>
      <c r="I5" s="93"/>
      <c r="J5" s="90"/>
    </row>
    <row r="6" spans="1:10" x14ac:dyDescent="0.3">
      <c r="B6" s="91">
        <v>5</v>
      </c>
      <c r="C6" s="92">
        <v>0.59</v>
      </c>
      <c r="D6" s="92">
        <v>0.61599999999999999</v>
      </c>
      <c r="E6" s="93">
        <f t="shared" si="0"/>
        <v>0.36343999999999999</v>
      </c>
      <c r="F6" s="93">
        <f t="shared" si="1"/>
        <v>0.34809999999999997</v>
      </c>
      <c r="G6" s="93">
        <f t="shared" si="1"/>
        <v>0.37945600000000002</v>
      </c>
      <c r="H6" s="94"/>
      <c r="I6" s="93"/>
      <c r="J6" s="90"/>
    </row>
    <row r="7" spans="1:10" x14ac:dyDescent="0.3">
      <c r="B7" s="91">
        <v>6</v>
      </c>
      <c r="C7" s="92">
        <v>0.59199999999999997</v>
      </c>
      <c r="D7" s="92">
        <v>0.60099999999999998</v>
      </c>
      <c r="E7" s="93">
        <f t="shared" si="0"/>
        <v>0.355792</v>
      </c>
      <c r="F7" s="93">
        <f t="shared" si="1"/>
        <v>0.35046399999999994</v>
      </c>
      <c r="G7" s="93">
        <f t="shared" si="1"/>
        <v>0.36120099999999999</v>
      </c>
      <c r="I7" s="93"/>
      <c r="J7" s="90"/>
    </row>
    <row r="8" spans="1:10" x14ac:dyDescent="0.3">
      <c r="B8" s="91">
        <v>7</v>
      </c>
      <c r="C8" s="92">
        <v>0.625</v>
      </c>
      <c r="D8" s="92">
        <v>0.66400000000000003</v>
      </c>
      <c r="E8" s="93">
        <f t="shared" si="0"/>
        <v>0.41500000000000004</v>
      </c>
      <c r="F8" s="93">
        <f t="shared" si="1"/>
        <v>0.390625</v>
      </c>
      <c r="G8" s="93">
        <f t="shared" si="1"/>
        <v>0.44089600000000007</v>
      </c>
      <c r="I8" s="93"/>
      <c r="J8" s="90"/>
    </row>
    <row r="9" spans="1:10" x14ac:dyDescent="0.3">
      <c r="B9" s="91">
        <v>8</v>
      </c>
      <c r="C9" s="92">
        <v>0.64100000000000001</v>
      </c>
      <c r="D9" s="92">
        <v>0.65200000000000002</v>
      </c>
      <c r="E9" s="93">
        <f t="shared" si="0"/>
        <v>0.41793200000000003</v>
      </c>
      <c r="F9" s="93">
        <f t="shared" si="1"/>
        <v>0.410881</v>
      </c>
      <c r="G9" s="93">
        <f t="shared" si="1"/>
        <v>0.42510400000000004</v>
      </c>
      <c r="J9" s="90"/>
    </row>
    <row r="10" spans="1:10" x14ac:dyDescent="0.3">
      <c r="B10" s="91">
        <v>9</v>
      </c>
      <c r="C10" s="92">
        <v>0.60599999999999998</v>
      </c>
      <c r="D10" s="92">
        <v>0.57899999999999996</v>
      </c>
      <c r="E10" s="93">
        <f t="shared" si="0"/>
        <v>0.35087399999999996</v>
      </c>
      <c r="F10" s="93">
        <f t="shared" si="1"/>
        <v>0.36723600000000001</v>
      </c>
      <c r="G10" s="93">
        <f t="shared" si="1"/>
        <v>0.33524099999999996</v>
      </c>
      <c r="J10" s="96"/>
    </row>
    <row r="11" spans="1:10" x14ac:dyDescent="0.3">
      <c r="B11" s="91">
        <v>10</v>
      </c>
      <c r="C11" s="92">
        <v>0.502</v>
      </c>
      <c r="D11" s="92">
        <v>0.501</v>
      </c>
      <c r="E11" s="93">
        <f t="shared" si="0"/>
        <v>0.251502</v>
      </c>
      <c r="F11" s="93">
        <f t="shared" si="1"/>
        <v>0.25200400000000001</v>
      </c>
      <c r="G11" s="93">
        <f t="shared" si="1"/>
        <v>0.25100099999999997</v>
      </c>
      <c r="J11" s="97"/>
    </row>
    <row r="12" spans="1:10" x14ac:dyDescent="0.3">
      <c r="B12" s="98">
        <v>11</v>
      </c>
      <c r="C12" s="99">
        <v>0.58799999999999997</v>
      </c>
      <c r="D12" s="99">
        <v>0.59</v>
      </c>
      <c r="E12" s="93">
        <f t="shared" si="0"/>
        <v>0.34691999999999995</v>
      </c>
      <c r="F12" s="93">
        <f t="shared" si="1"/>
        <v>0.34574399999999994</v>
      </c>
      <c r="G12" s="93">
        <f t="shared" si="1"/>
        <v>0.34809999999999997</v>
      </c>
      <c r="H12" s="100"/>
      <c r="J12" s="96"/>
    </row>
    <row r="13" spans="1:10" x14ac:dyDescent="0.3">
      <c r="B13" s="98">
        <v>12</v>
      </c>
      <c r="C13" s="99">
        <v>0.59399999999999997</v>
      </c>
      <c r="D13" s="99">
        <v>0.622</v>
      </c>
      <c r="E13" s="93">
        <f t="shared" ref="E13:E14" si="2">C13*D13</f>
        <v>0.36946799999999996</v>
      </c>
      <c r="F13" s="93">
        <f t="shared" ref="F13:F14" si="3">C13^2</f>
        <v>0.35283599999999998</v>
      </c>
      <c r="G13" s="93">
        <f t="shared" ref="G13:G14" si="4">D13^2</f>
        <v>0.38688400000000001</v>
      </c>
      <c r="H13" s="100"/>
      <c r="J13" s="97"/>
    </row>
    <row r="14" spans="1:10" x14ac:dyDescent="0.3">
      <c r="B14" s="98">
        <v>13</v>
      </c>
      <c r="C14" s="99">
        <v>0.626</v>
      </c>
      <c r="D14" s="99">
        <v>0.60599999999999998</v>
      </c>
      <c r="E14" s="93">
        <f t="shared" si="2"/>
        <v>0.37935599999999997</v>
      </c>
      <c r="F14" s="93">
        <f t="shared" si="3"/>
        <v>0.391876</v>
      </c>
      <c r="G14" s="93">
        <f t="shared" si="4"/>
        <v>0.36723600000000001</v>
      </c>
    </row>
    <row r="15" spans="1:10" x14ac:dyDescent="0.3">
      <c r="A15" s="90" t="s">
        <v>158</v>
      </c>
      <c r="C15" s="94">
        <f>SUM(C2:C14)</f>
        <v>7.7540000000000004</v>
      </c>
      <c r="D15" s="94">
        <f>SUM(D2:D14)</f>
        <v>7.8280000000000003</v>
      </c>
      <c r="E15" s="94">
        <f t="shared" ref="E15:G15" si="5">SUM(E2:E14)</f>
        <v>4.6865459999999999</v>
      </c>
      <c r="F15" s="94">
        <f t="shared" si="5"/>
        <v>4.6417859999999997</v>
      </c>
      <c r="G15" s="94">
        <f t="shared" si="5"/>
        <v>4.7365240000000002</v>
      </c>
    </row>
    <row r="16" spans="1:10" x14ac:dyDescent="0.3">
      <c r="A16" s="90"/>
      <c r="C16" s="94"/>
      <c r="D16" s="94"/>
      <c r="E16" s="93"/>
      <c r="F16" s="93"/>
      <c r="G16" s="93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08DF-9F19-4BED-8F3A-513129BD06D5}">
  <dimension ref="A1:C12"/>
  <sheetViews>
    <sheetView workbookViewId="0">
      <selection activeCell="H25" sqref="H25"/>
    </sheetView>
  </sheetViews>
  <sheetFormatPr defaultRowHeight="15" x14ac:dyDescent="0.25"/>
  <cols>
    <col min="1" max="1" width="9" style="27" bestFit="1" customWidth="1"/>
    <col min="2" max="3" width="9.77734375" style="27" bestFit="1" customWidth="1"/>
    <col min="4" max="16384" width="8.88671875" style="27"/>
  </cols>
  <sheetData>
    <row r="1" spans="1:3" x14ac:dyDescent="0.25">
      <c r="A1" s="27" t="s">
        <v>173</v>
      </c>
      <c r="B1" s="27" t="s">
        <v>182</v>
      </c>
      <c r="C1" s="27" t="s">
        <v>183</v>
      </c>
    </row>
    <row r="2" spans="1:3" x14ac:dyDescent="0.25">
      <c r="A2" s="75">
        <v>1</v>
      </c>
      <c r="B2" s="75">
        <v>2.4500000000000002</v>
      </c>
      <c r="C2" s="75">
        <v>1.4</v>
      </c>
    </row>
    <row r="3" spans="1:3" x14ac:dyDescent="0.25">
      <c r="A3" s="75">
        <v>2</v>
      </c>
      <c r="B3" s="75">
        <v>2.5</v>
      </c>
      <c r="C3" s="75">
        <v>1.43</v>
      </c>
    </row>
    <row r="4" spans="1:3" x14ac:dyDescent="0.25">
      <c r="A4" s="75">
        <v>3</v>
      </c>
      <c r="B4" s="75">
        <v>2.69</v>
      </c>
      <c r="C4" s="75">
        <v>1.52</v>
      </c>
    </row>
    <row r="5" spans="1:3" x14ac:dyDescent="0.25">
      <c r="A5" s="75">
        <v>4</v>
      </c>
      <c r="B5" s="75">
        <v>2.8</v>
      </c>
      <c r="C5" s="75">
        <v>1.64</v>
      </c>
    </row>
    <row r="6" spans="1:3" x14ac:dyDescent="0.25">
      <c r="A6" s="75">
        <v>5</v>
      </c>
      <c r="B6" s="75">
        <v>2.62</v>
      </c>
      <c r="C6" s="75">
        <v>1.55</v>
      </c>
    </row>
    <row r="7" spans="1:3" x14ac:dyDescent="0.25">
      <c r="A7" s="75">
        <v>6</v>
      </c>
      <c r="B7" s="75">
        <v>2.12</v>
      </c>
      <c r="C7" s="75">
        <v>1.5</v>
      </c>
    </row>
    <row r="8" spans="1:3" x14ac:dyDescent="0.25">
      <c r="A8" s="75">
        <v>7</v>
      </c>
      <c r="B8" s="75">
        <v>3.15</v>
      </c>
      <c r="C8" s="75">
        <v>1.78</v>
      </c>
    </row>
    <row r="9" spans="1:3" x14ac:dyDescent="0.25">
      <c r="A9" s="75">
        <v>8</v>
      </c>
      <c r="B9" s="75">
        <v>2.97</v>
      </c>
      <c r="C9" s="75">
        <v>1.84</v>
      </c>
    </row>
    <row r="10" spans="1:3" x14ac:dyDescent="0.25">
      <c r="A10" s="75">
        <v>9</v>
      </c>
      <c r="B10" s="75">
        <v>3.1</v>
      </c>
      <c r="C10" s="75">
        <v>1.78</v>
      </c>
    </row>
    <row r="11" spans="1:3" x14ac:dyDescent="0.25">
      <c r="A11" s="75">
        <v>10</v>
      </c>
      <c r="B11" s="75">
        <v>3.02</v>
      </c>
      <c r="C11" s="75">
        <v>1.6</v>
      </c>
    </row>
    <row r="12" spans="1:3" x14ac:dyDescent="0.25">
      <c r="B12" s="76"/>
      <c r="C12" s="76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REG_DATA</vt:lpstr>
      <vt:lpstr>REG_ANALISE</vt:lpstr>
      <vt:lpstr>REG_DEL_DATA</vt:lpstr>
      <vt:lpstr>REG_DEL_ANALISE</vt:lpstr>
      <vt:lpstr>REG_PRATICA</vt:lpstr>
      <vt:lpstr>REG_PRATICA_ANALISE</vt:lpstr>
      <vt:lpstr>COR_DATA_DENSIDADE</vt:lpstr>
      <vt:lpstr>COR_DATA_DENSIDADE_ANALISE</vt:lpstr>
      <vt:lpstr>CORRELACAO_DATA</vt:lpstr>
      <vt:lpstr>CORRELACAO_ANALISE</vt:lpstr>
      <vt:lpstr>COR_EXERCICIO</vt:lpstr>
      <vt:lpstr>REG_EXERCICIO</vt:lpstr>
      <vt:lpstr>COBERTURA_N_MASSA</vt:lpstr>
      <vt:lpstr>COBERTURA_N_SOJA</vt:lpstr>
      <vt:lpstr>DIC-DBC</vt:lpstr>
      <vt:lpstr>EFEITOS</vt:lpstr>
      <vt:lpstr>TABELA_AF_RAD</vt:lpstr>
      <vt:lpstr>DIC-DBC-ANOVA</vt:lpstr>
      <vt:lpstr>QUALI</vt:lpstr>
      <vt:lpstr>QUANTI_LINEAR</vt:lpstr>
      <vt:lpstr>QUANTI_QUADRATICA</vt:lpstr>
      <vt:lpstr>FAT1_SI</vt:lpstr>
      <vt:lpstr>FAT1_CI</vt:lpstr>
      <vt:lpstr>FAT1_CI2</vt:lpstr>
      <vt:lpstr>FAT1_CI2_TAB</vt:lpstr>
      <vt:lpstr>FAT1_CI_PRATICA</vt:lpstr>
      <vt:lpstr>FAT2_SI</vt:lpstr>
      <vt:lpstr>FAT2_CI</vt:lpstr>
      <vt:lpstr>FAT3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2022-07-19T11:21:38Z</dcterms:modified>
</cp:coreProperties>
</file>